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Los Angeles\Ross Center\Financing\CDLAC\2026 R2\Draft\TAB 40 - CTCAC E-App\"/>
    </mc:Choice>
  </mc:AlternateContent>
  <xr:revisionPtr revIDLastSave="0" documentId="13_ncr:1_{1E7A246A-458A-4409-8A6A-1C4B40AE39C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57480" yWindow="-945" windowWidth="29040" windowHeight="15720" firstSheet="2" activeTab="3" xr2:uid="{9E11AFA1-AF0B-4092-BF8E-8810B2CE0706}"/>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6" i="4" l="1"/>
  <c r="S85" i="4"/>
  <c r="S93" i="4"/>
  <c r="G53" i="7"/>
  <c r="E41" i="7"/>
  <c r="A41" i="7"/>
  <c r="G24" i="7"/>
  <c r="AA957" i="3"/>
  <c r="AA940" i="3"/>
  <c r="AA928" i="3"/>
  <c r="AA927" i="3"/>
  <c r="Q637" i="3"/>
  <c r="Q636" i="3"/>
  <c r="Q635" i="3"/>
  <c r="T635" i="3"/>
  <c r="P427" i="3"/>
  <c r="S99" i="4"/>
  <c r="S95" i="4"/>
  <c r="S94" i="4"/>
  <c r="S92" i="4"/>
  <c r="S91" i="4"/>
  <c r="S89" i="4"/>
  <c r="S87" i="4"/>
  <c r="S84" i="4"/>
  <c r="S80" i="4"/>
  <c r="S65" i="4"/>
  <c r="S79" i="4"/>
  <c r="S52" i="4"/>
  <c r="S51" i="4"/>
  <c r="S50" i="4"/>
  <c r="S41" i="4" l="1"/>
  <c r="S40" i="4"/>
  <c r="S30" i="4" l="1"/>
  <c r="S29" i="4"/>
  <c r="S31" i="4"/>
  <c r="S32" i="4"/>
  <c r="S33" i="4"/>
  <c r="S34" i="4"/>
  <c r="S35" i="4"/>
  <c r="S36" i="4"/>
  <c r="S37" i="4"/>
  <c r="S10" i="4"/>
  <c r="AC394" i="3"/>
  <c r="H30" i="4" l="1"/>
  <c r="I29" i="4"/>
  <c r="S43" i="4" l="1"/>
  <c r="W861"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4" i="24" l="1" a="1"/>
  <c r="BB4" i="24" s="1"/>
  <c r="BB5" i="24" a="1"/>
  <c r="BB5"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I5" i="8"/>
  <c r="J5"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E24" i="4" s="1"/>
  <c r="R24" i="4" s="1"/>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I24" i="7"/>
  <c r="K24" i="7" s="1"/>
  <c r="M24" i="7" s="1"/>
  <c r="O24" i="7" s="1"/>
  <c r="Q24" i="7" s="1"/>
  <c r="S24" i="7" s="1"/>
  <c r="U24" i="7" s="1"/>
  <c r="W24" i="7" s="1"/>
  <c r="Y24" i="7" s="1"/>
  <c r="AA24" i="7" s="1"/>
  <c r="AC24" i="7" s="1"/>
  <c r="AE24" i="7" s="1"/>
  <c r="AG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F11" i="4"/>
  <c r="F26" i="4"/>
  <c r="F42" i="4"/>
  <c r="F54" i="4"/>
  <c r="F62" i="4"/>
  <c r="N11" i="4"/>
  <c r="O11" i="4"/>
  <c r="B13" i="4"/>
  <c r="B14" i="4"/>
  <c r="E14" i="4" s="1"/>
  <c r="R14" i="4" s="1"/>
  <c r="B15" i="4"/>
  <c r="B17" i="4"/>
  <c r="E17" i="4" s="1"/>
  <c r="R17" i="4" s="1"/>
  <c r="B18" i="4"/>
  <c r="E18" i="4" s="1"/>
  <c r="B19" i="4"/>
  <c r="E19" i="4" s="1"/>
  <c r="R19" i="4" s="1"/>
  <c r="B20" i="4"/>
  <c r="E20" i="4" s="1"/>
  <c r="R20" i="4" s="1"/>
  <c r="B21" i="4"/>
  <c r="E21" i="4" s="1"/>
  <c r="R21" i="4" s="1"/>
  <c r="B22" i="4"/>
  <c r="E22" i="4" s="1"/>
  <c r="R22" i="4" s="1"/>
  <c r="B23" i="4"/>
  <c r="E23" i="4" s="1"/>
  <c r="R23" i="4" s="1"/>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B41" i="4"/>
  <c r="E41" i="4" s="1"/>
  <c r="R41" i="4" s="1"/>
  <c r="G42" i="4"/>
  <c r="H42" i="4"/>
  <c r="K42" i="4"/>
  <c r="L42" i="4"/>
  <c r="O42" i="4"/>
  <c r="Q42" i="4"/>
  <c r="B43" i="4"/>
  <c r="E43" i="4" s="1"/>
  <c r="R43" i="4" s="1"/>
  <c r="B45" i="4"/>
  <c r="E45" i="4" s="1"/>
  <c r="R45" i="4" s="1"/>
  <c r="B46" i="4"/>
  <c r="E46" i="4" s="1"/>
  <c r="R46" i="4" s="1"/>
  <c r="B47" i="4"/>
  <c r="E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B73" i="4"/>
  <c r="E73" i="4" s="1"/>
  <c r="R73" i="4" s="1"/>
  <c r="B74" i="4"/>
  <c r="E74" i="4" s="1"/>
  <c r="R74" i="4" s="1"/>
  <c r="B75" i="4"/>
  <c r="B76" i="4"/>
  <c r="E76" i="4" s="1"/>
  <c r="R76" i="4" s="1"/>
  <c r="F77" i="4"/>
  <c r="G77" i="4"/>
  <c r="H77" i="4"/>
  <c r="I77" i="4"/>
  <c r="K77" i="4"/>
  <c r="L77" i="4"/>
  <c r="Q77" i="4"/>
  <c r="B79" i="4"/>
  <c r="E79" i="4" s="1"/>
  <c r="R79" i="4" s="1"/>
  <c r="B83" i="4"/>
  <c r="E83" i="4" s="1"/>
  <c r="R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B102" i="4"/>
  <c r="E102" i="4" s="1"/>
  <c r="R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4" i="8" l="1"/>
  <c r="B26" i="13"/>
  <c r="E9" i="4"/>
  <c r="R9" i="4" s="1"/>
  <c r="E13" i="4"/>
  <c r="R13" i="4" s="1"/>
  <c r="E30" i="4"/>
  <c r="R30" i="4" s="1"/>
  <c r="E99" i="4"/>
  <c r="R99" i="4" s="1"/>
  <c r="E85" i="4"/>
  <c r="R85" i="4" s="1"/>
  <c r="R96" i="4" s="1"/>
  <c r="AF1036" i="3"/>
  <c r="AJ1034" i="3" s="1"/>
  <c r="E75" i="4"/>
  <c r="R75" i="4" s="1"/>
  <c r="AC895" i="3"/>
  <c r="E29" i="4"/>
  <c r="R29" i="4" s="1"/>
  <c r="E42" i="4"/>
  <c r="E26" i="4"/>
  <c r="E54" i="4"/>
  <c r="E70" i="4"/>
  <c r="E11" i="4"/>
  <c r="R18" i="4"/>
  <c r="R26" i="4" s="1"/>
  <c r="R40" i="4"/>
  <c r="R42" i="4" s="1"/>
  <c r="BE23" i="3"/>
  <c r="E4" i="4"/>
  <c r="E62" i="4"/>
  <c r="R47" i="4"/>
  <c r="R54" i="4" s="1"/>
  <c r="R101" i="4"/>
  <c r="R72" i="4"/>
  <c r="R10" i="4"/>
  <c r="E81" i="4"/>
  <c r="AD209" i="20"/>
  <c r="E15" i="4"/>
  <c r="R15" i="4"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R62" i="4"/>
  <c r="D63" i="13"/>
  <c r="D97" i="13" s="1"/>
  <c r="D105" i="13" s="1"/>
  <c r="B97" i="11"/>
  <c r="C55" i="11"/>
  <c r="D23" i="11"/>
  <c r="D19" i="11"/>
  <c r="D14" i="11"/>
  <c r="D7" i="11"/>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11" i="4" l="1"/>
  <c r="E31" i="4"/>
  <c r="R31" i="4" s="1"/>
  <c r="R38" i="4" s="1"/>
  <c r="E77" i="4"/>
  <c r="E104" i="4"/>
  <c r="R77" i="4"/>
  <c r="E96" i="4"/>
  <c r="R104" i="4"/>
  <c r="BE68" i="3"/>
  <c r="Z817" i="3"/>
  <c r="E6" i="7" s="1"/>
  <c r="M969" i="3"/>
  <c r="M970" i="3" s="1"/>
  <c r="AJ634" i="20"/>
  <c r="AK816" i="20" s="1"/>
  <c r="T841" i="20" s="1"/>
  <c r="AF841" i="20" s="1"/>
  <c r="BE82" i="3" s="1"/>
  <c r="G108" i="21"/>
  <c r="AD210" i="20"/>
  <c r="D105" i="11"/>
  <c r="R4" i="4"/>
  <c r="R8" i="4" s="1"/>
  <c r="E8" i="4"/>
  <c r="N190" i="24"/>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R63" i="4" l="1"/>
  <c r="R97" i="4" s="1"/>
  <c r="R105" i="4" s="1"/>
  <c r="F38" i="4"/>
  <c r="F63" i="4" s="1"/>
  <c r="F97" i="4" s="1"/>
  <c r="F105" i="4" s="1"/>
  <c r="E38" i="4"/>
  <c r="E63" i="4" s="1"/>
  <c r="E97" i="4" s="1"/>
  <c r="E105" i="4" s="1"/>
  <c r="AC464" i="3"/>
  <c r="O20" i="21"/>
  <c r="P20" i="21" s="1" a="1"/>
  <c r="P20" i="21" s="1"/>
  <c r="S20"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R12" i="4"/>
  <c r="E12" i="4"/>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J1016" i="3"/>
  <c r="AJ1038" i="3"/>
  <c r="AJ1010" i="3"/>
  <c r="AJ1025" i="3"/>
  <c r="AJ1045" i="3"/>
  <c r="I15" i="21" s="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T29" i="15" l="1"/>
  <c r="E62" i="7"/>
  <c r="E69" i="7" s="1"/>
  <c r="G69" i="7" s="1"/>
  <c r="I69" i="7" s="1"/>
  <c r="K69" i="7" s="1"/>
  <c r="M69" i="7" s="1"/>
  <c r="O69" i="7" s="1"/>
  <c r="Q69" i="7" s="1"/>
  <c r="S69" i="7" s="1"/>
  <c r="U69" i="7" s="1"/>
  <c r="W69" i="7" s="1"/>
  <c r="Y69" i="7" s="1"/>
  <c r="AA69" i="7" s="1"/>
  <c r="AC69" i="7" s="1"/>
  <c r="AE69" i="7" s="1"/>
  <c r="AG69" i="7" s="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E66" i="7" l="1"/>
  <c r="E67" i="7"/>
  <c r="E68" i="7"/>
  <c r="G68" i="7" s="1"/>
  <c r="I68" i="7" s="1"/>
  <c r="K68" i="7" s="1"/>
  <c r="M68" i="7" s="1"/>
  <c r="O68" i="7" s="1"/>
  <c r="Q68" i="7" s="1"/>
  <c r="S68" i="7" s="1"/>
  <c r="U68" i="7" s="1"/>
  <c r="W68" i="7" s="1"/>
  <c r="Y68" i="7" s="1"/>
  <c r="AA68" i="7" s="1"/>
  <c r="AC68" i="7" s="1"/>
  <c r="AE68" i="7" s="1"/>
  <c r="AG68" i="7" s="1"/>
  <c r="AP572" i="20"/>
  <c r="AF565" i="20" s="1"/>
  <c r="AF566" i="20" s="1"/>
  <c r="AK572" i="20" s="1"/>
  <c r="T840" i="20" s="1"/>
  <c r="AF840" i="20" s="1"/>
  <c r="BE81" i="3" s="1"/>
  <c r="Y38" i="15"/>
  <c r="Y40" i="15" s="1"/>
  <c r="AA53" i="7"/>
  <c r="Y58" i="7"/>
  <c r="AD38" i="15"/>
  <c r="AD40" i="15" s="1"/>
  <c r="G129" i="21"/>
  <c r="E17" i="21" s="1"/>
  <c r="E14" i="21" s="1"/>
  <c r="E18" i="21" s="1"/>
  <c r="K49" i="7"/>
  <c r="S4" i="7"/>
  <c r="Q5" i="7"/>
  <c r="O7" i="7"/>
  <c r="O11" i="7" s="1"/>
  <c r="O37" i="7" s="1"/>
  <c r="Q6" i="7"/>
  <c r="M45" i="7"/>
  <c r="M49" i="7"/>
  <c r="I66" i="7"/>
  <c r="I67" i="7"/>
  <c r="I62" i="7"/>
  <c r="K47" i="7"/>
  <c r="K60" i="7"/>
  <c r="K48" i="7"/>
  <c r="U22" i="7"/>
  <c r="U35" i="7" s="1"/>
  <c r="W15" i="7"/>
  <c r="U9" i="7"/>
  <c r="W8" i="7"/>
  <c r="E70" i="7" l="1"/>
  <c r="E72" i="7" s="1"/>
  <c r="G70" i="7"/>
  <c r="G72" i="7" s="1"/>
  <c r="Y41" i="15"/>
  <c r="AB50" i="15" s="1"/>
  <c r="AC53" i="7"/>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BE62" i="3" l="1"/>
  <c r="AB54" i="15"/>
  <c r="AB55" i="15" s="1"/>
  <c r="AB56" i="15" s="1"/>
  <c r="AG53" i="7"/>
  <c r="AG58" i="7" s="1"/>
  <c r="AE58" i="7"/>
  <c r="M70" i="7"/>
  <c r="M72" i="7" s="1"/>
  <c r="W5" i="7"/>
  <c r="Y4" i="7"/>
  <c r="U7" i="7"/>
  <c r="U11" i="7" s="1"/>
  <c r="U37" i="7" s="1"/>
  <c r="W6" i="7"/>
  <c r="O67" i="7"/>
  <c r="O66" i="7"/>
  <c r="O62" i="7"/>
  <c r="Q60" i="7"/>
  <c r="Q48" i="7"/>
  <c r="Q47" i="7"/>
  <c r="S49" i="7"/>
  <c r="S45" i="7"/>
  <c r="AC15" i="7"/>
  <c r="AA22" i="7"/>
  <c r="AA35" i="7" s="1"/>
  <c r="AC8" i="7"/>
  <c r="AA9" i="7"/>
  <c r="M26" i="3" l="1"/>
  <c r="AB57" i="15"/>
  <c r="AB59" i="15" s="1"/>
  <c r="AB77" i="15" s="1"/>
  <c r="AB78" i="15" s="1"/>
  <c r="I10" i="21" s="1"/>
  <c r="AA4" i="7"/>
  <c r="Y5" i="7"/>
  <c r="Y6" i="7"/>
  <c r="W7" i="7"/>
  <c r="W11" i="7" s="1"/>
  <c r="W37" i="7" s="1"/>
  <c r="U45" i="7"/>
  <c r="U49" i="7"/>
  <c r="Q66" i="7"/>
  <c r="Q67" i="7"/>
  <c r="Q62" i="7"/>
  <c r="S48" i="7"/>
  <c r="S47" i="7"/>
  <c r="S60" i="7"/>
  <c r="O70" i="7"/>
  <c r="O72" i="7" s="1"/>
  <c r="AE15" i="7"/>
  <c r="AC22" i="7"/>
  <c r="AC35" i="7" s="1"/>
  <c r="AC9" i="7"/>
  <c r="AE8" i="7"/>
  <c r="AB79" i="15" l="1"/>
  <c r="AB81" i="15" s="1"/>
  <c r="J82" i="15" s="1"/>
  <c r="BE19" i="3"/>
  <c r="P204" i="3"/>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AF843" i="20" s="1"/>
  <c r="BE70" i="3" s="1"/>
  <c r="H3" i="21"/>
  <c r="BE73" i="3" l="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02B51224-5F4F-45F6-AE2E-DDEF7CE0CE7C}">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<sst xmlns="http://schemas.openxmlformats.org/spreadsheetml/2006/main" count="5224" uniqueCount="2819">
  <si>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</si>
  <si>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</si>
  <si>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</si>
  <si>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</si>
  <si>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</si>
  <si>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</si>
  <si>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</si>
  <si>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</si>
  <si>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</si>
  <si>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</si>
  <si>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</si>
  <si>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</si>
  <si>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</si>
  <si>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</si>
  <si>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</si>
  <si>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</si>
  <si>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</si>
  <si>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</si>
  <si>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</si>
  <si>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</si>
  <si>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</si>
  <si>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</si>
  <si>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</si>
  <si>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</si>
  <si>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</si>
  <si>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</si>
  <si>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</si>
  <si>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</si>
  <si>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</si>
  <si>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</si>
  <si>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</si>
  <si>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</si>
  <si>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</si>
  <si>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</si>
  <si>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</si>
  <si>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</si>
  <si>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</si>
  <si>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</si>
  <si>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</si>
  <si>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</si>
  <si>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</si>
  <si>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</si>
  <si>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</si>
  <si>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</si>
  <si>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</si>
  <si>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</si>
  <si>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</si>
  <si>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</si>
  <si>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</si>
  <si>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</si>
  <si>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</si>
  <si>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</si>
  <si>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</si>
  <si>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</si>
  <si>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</si>
  <si>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</si>
  <si>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</si>
  <si>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</si>
  <si>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</si>
  <si>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</si>
  <si>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</si>
  <si>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</si>
  <si>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</si>
  <si>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</si>
  <si>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</si>
  <si>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</si>
  <si>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</si>
  <si>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</si>
  <si>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</si>
  <si>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</si>
  <si>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</si>
  <si>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</si>
  <si>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</si>
  <si>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</si>
  <si>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</si>
  <si>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</si>
  <si>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</si>
  <si>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</si>
  <si>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</si>
  <si>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</si>
  <si>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</si>
  <si>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</si>
  <si>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</si>
  <si>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</si>
  <si>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</si>
  <si>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</si>
  <si>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</si>
  <si>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</si>
  <si>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</si>
  <si>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</si>
  <si>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</si>
  <si>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</si>
  <si>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</si>
  <si>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</si>
  <si>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</si>
  <si>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</si>
  <si>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</si>
  <si>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</si>
  <si>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</si>
  <si>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</si>
  <si>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</si>
  <si>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</si>
  <si>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</si>
  <si>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</si>
  <si>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</si>
  <si>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</si>
  <si>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</si>
  <si>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</si>
  <si>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</si>
  <si>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</si>
  <si>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</si>
  <si>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</si>
  <si>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</si>
  <si>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</si>
  <si>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</si>
  <si>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</si>
  <si>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</si>
  <si>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</si>
  <si>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</si>
  <si>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</si>
  <si>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</si>
  <si>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</si>
  <si>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</si>
  <si>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</si>
  <si>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</si>
  <si>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</si>
  <si>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</si>
  <si>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</si>
  <si>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</si>
  <si>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</si>
  <si>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</si>
  <si>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</si>
  <si>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</si>
  <si>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</si>
  <si>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</si>
  <si>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</si>
  <si>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</si>
  <si>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</si>
  <si>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</si>
  <si>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</si>
  <si>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</si>
  <si>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</si>
  <si>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</si>
  <si>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</si>
  <si>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</si>
  <si>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</si>
  <si>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</si>
  <si>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</si>
  <si>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</si>
  <si>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</si>
  <si>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</si>
  <si>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</si>
  <si>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</si>
  <si>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</si>
  <si>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</si>
  <si>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</si>
  <si>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</si>
  <si>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</si>
  <si>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</si>
  <si>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</si>
  <si>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</si>
  <si>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</si>
  <si>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</si>
  <si>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</si>
  <si>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</si>
  <si>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</si>
  <si>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</si>
  <si>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</si>
  <si>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</si>
  <si>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</si>
  <si>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</si>
  <si>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</si>
  <si>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</si>
  <si>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</si>
  <si>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</si>
  <si>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</si>
  <si>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</si>
  <si>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</si>
  <si>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</si>
  <si>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</si>
  <si>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</si>
  <si>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</si>
  <si>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</si>
  <si>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</si>
  <si>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</si>
  <si>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</si>
  <si>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</si>
  <si>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</si>
  <si>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</si>
  <si>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</si>
  <si>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</si>
  <si>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</si>
  <si>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</si>
  <si>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</si>
  <si>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</si>
  <si>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</si>
  <si>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</si>
  <si>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</si>
  <si>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</si>
  <si>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</si>
  <si>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</si>
  <si>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</si>
  <si>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</si>
  <si>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</si>
  <si>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</si>
  <si>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</si>
  <si>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</si>
  <si>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</si>
  <si>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</si>
  <si>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</si>
  <si>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</si>
  <si>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</si>
  <si>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</si>
  <si>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</si>
  <si>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</si>
  <si>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</si>
  <si>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</si>
  <si>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</si>
  <si>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</si>
  <si>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</si>
  <si>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</si>
  <si>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</si>
  <si>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</si>
  <si>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</si>
  <si>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</si>
  <si>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</si>
  <si>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</si>
  <si>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</si>
  <si>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</si>
  <si>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</si>
  <si>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</si>
  <si>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</si>
  <si>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</si>
  <si>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</si>
  <si>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</si>
  <si>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</si>
  <si>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</si>
  <si>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</si>
  <si>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</si>
  <si>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</si>
  <si>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</si>
  <si>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</si>
  <si>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</si>
  <si>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</si>
  <si>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</si>
  <si>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</si>
  <si>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</si>
  <si>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</si>
  <si>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</si>
  <si>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</si>
  <si>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</si>
  <si>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</si>
  <si>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</si>
  <si>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</si>
  <si>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</si>
  <si>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</si>
  <si>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</si>
  <si>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</si>
  <si>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</si>
  <si>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</si>
  <si>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</si>
  <si>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</si>
  <si>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</si>
  <si>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</si>
  <si>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</si>
  <si>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</si>
  <si>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</si>
  <si>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</si>
  <si>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</si>
  <si>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</si>
  <si>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</si>
  <si>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</si>
  <si>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</si>
  <si>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</si>
  <si>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</si>
  <si>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</si>
  <si>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</si>
  <si>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</si>
  <si>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</si>
  <si>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</si>
  <si>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</si>
  <si>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</si>
  <si>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</si>
  <si>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</si>
  <si>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</si>
  <si>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</si>
  <si>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</si>
  <si>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</si>
  <si>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</si>
  <si>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</si>
  <si>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</si>
  <si>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</si>
  <si>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</si>
  <si>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</si>
  <si>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</si>
  <si>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</si>
  <si>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</si>
  <si>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</si>
  <si>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</si>
  <si>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</si>
  <si>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</si>
  <si>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</si>
  <si>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</si>
  <si>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</si>
  <si>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</si>
  <si>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</si>
  <si>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</si>
  <si>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</si>
  <si>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</si>
  <si>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</si>
  <si>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</si>
  <si>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</si>
  <si>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</si>
  <si>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</si>
  <si>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</si>
  <si>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</si>
  <si>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</si>
  <si>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</si>
  <si>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</si>
  <si>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</si>
  <si>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</si>
  <si>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</si>
  <si>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</si>
  <si>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</si>
  <si>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</si>
  <si>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</si>
  <si>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</si>
  <si>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</si>
  <si>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</si>
  <si>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</si>
  <si>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</si>
  <si>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</si>
  <si>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</si>
  <si>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</si>
  <si>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</si>
  <si>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</si>
  <si>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</si>
  <si>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</si>
  <si>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</si>
  <si>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</si>
  <si>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</si>
  <si>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</si>
  <si>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</si>
  <si>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</si>
  <si>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</si>
  <si>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</si>
  <si>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</si>
  <si>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</si>
  <si>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</si>
  <si>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</si>
  <si>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</si>
  <si>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</si>
  <si>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</si>
  <si>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</si>
  <si>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</si>
  <si>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</si>
  <si>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</si>
  <si>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</si>
  <si>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</si>
  <si>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</si>
  <si>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</si>
  <si>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</si>
  <si>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</si>
  <si>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</si>
  <si>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</si>
  <si>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</si>
  <si>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</si>
  <si>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</si>
  <si>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</si>
  <si>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</si>
  <si>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</si>
  <si>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</si>
  <si>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</si>
  <si>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</si>
  <si>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</si>
  <si>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</si>
  <si>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</si>
  <si>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</si>
  <si>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</si>
  <si>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</si>
  <si>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</si>
  <si>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</si>
  <si>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</si>
  <si>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</si>
  <si>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</si>
  <si>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</si>
  <si>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</si>
  <si>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</si>
  <si>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</si>
  <si>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</si>
  <si>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</si>
  <si>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</si>
  <si>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</si>
  <si>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</si>
  <si>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</si>
  <si>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</si>
  <si>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</si>
  <si>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</si>
  <si>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</si>
  <si>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</si>
  <si>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</si>
  <si>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</si>
  <si>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</si>
  <si>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</si>
  <si>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</si>
  <si>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</si>
  <si>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</si>
  <si>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</si>
  <si>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</si>
  <si>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</si>
  <si>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</si>
  <si>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</si>
  <si>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</si>
  <si>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</si>
  <si>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</si>
  <si>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</si>
  <si>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</si>
  <si>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</si>
  <si>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</si>
  <si>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</si>
  <si>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</si>
  <si>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</si>
  <si>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</si>
  <si>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</si>
  <si>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</si>
  <si>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</si>
  <si>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</si>
  <si>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</si>
  <si>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</si>
  <si>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</si>
  <si>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</si>
  <si>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</si>
  <si>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</si>
  <si>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</si>
  <si>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</si>
  <si>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</si>
  <si>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</si>
  <si>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</si>
  <si>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</si>
  <si>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</si>
  <si>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</si>
  <si>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</si>
  <si>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</si>
  <si>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</si>
  <si>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</si>
  <si>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</si>
  <si>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</si>
  <si>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</si>
  <si>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</si>
  <si>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</si>
  <si>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</si>
  <si>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</si>
  <si>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</si>
  <si>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</si>
  <si>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</si>
  <si>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</si>
  <si>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</si>
  <si>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</si>
  <si>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</si>
  <si>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</si>
  <si>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</si>
  <si>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</si>
  <si>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</si>
  <si>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</si>
  <si>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</si>
  <si>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</si>
  <si>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</si>
  <si>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</si>
  <si>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</si>
  <si>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</si>
  <si>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</si>
  <si>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</si>
  <si>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</si>
  <si>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</si>
  <si>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</si>
  <si>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</si>
  <si>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</si>
  <si>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</si>
  <si>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</si>
  <si>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</si>
  <si>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</si>
  <si>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</si>
  <si>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</si>
  <si>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</si>
  <si>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</si>
  <si>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</si>
  <si>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</si>
  <si>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</si>
  <si>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</si>
  <si>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</si>
  <si>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</si>
  <si>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</si>
  <si>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</si>
  <si>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</si>
  <si>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</si>
  <si>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</si>
  <si>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</si>
  <si>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</si>
  <si>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</si>
  <si>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</si>
  <si>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</si>
  <si>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</si>
  <si>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</si>
  <si>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</si>
  <si>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</si>
  <si>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</si>
  <si>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</si>
  <si>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</si>
  <si>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</si>
  <si>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</si>
  <si>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</si>
  <si>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</si>
  <si>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</si>
  <si>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</si>
  <si>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</si>
  <si>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</si>
  <si>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</si>
  <si>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</si>
  <si>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</si>
  <si>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</si>
  <si>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</si>
  <si>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</si>
  <si>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</si>
  <si>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</si>
  <si>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</si>
  <si>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</si>
  <si>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</si>
  <si>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</si>
  <si>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</si>
  <si>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</si>
  <si>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</si>
  <si>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</si>
  <si>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</si>
  <si>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</si>
  <si>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</si>
  <si>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</si>
  <si>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</si>
  <si>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</si>
  <si>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</si>
  <si>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</si>
  <si>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</si>
  <si>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</si>
  <si>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</si>
  <si>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</si>
  <si>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</si>
  <si>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</si>
  <si>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</si>
  <si>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</si>
  <si>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</si>
  <si>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</si>
  <si>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</si>
  <si>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</si>
  <si>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</si>
  <si>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</si>
  <si>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</si>
  <si>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</si>
  <si>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</si>
  <si>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</si>
  <si>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</si>
  <si>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</si>
  <si>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</si>
  <si>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</si>
  <si>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</si>
  <si>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</si>
  <si>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</si>
  <si>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</si>
  <si>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</si>
  <si>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</si>
  <si>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</si>
  <si>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</si>
  <si>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</si>
  <si>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</si>
  <si>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</si>
  <si>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</si>
  <si>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</si>
  <si>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</si>
  <si>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</si>
  <si>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</si>
  <si>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</si>
  <si>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</si>
  <si>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</si>
  <si>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</si>
  <si>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</si>
  <si>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</si>
  <si>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</si>
  <si>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</si>
  <si>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</si>
  <si>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</si>
  <si>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</si>
  <si>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</si>
  <si>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</si>
  <si>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</si>
  <si>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</si>
  <si>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</si>
  <si>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</si>
  <si>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</si>
  <si>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</si>
  <si>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</si>
  <si>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</si>
  <si>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</si>
  <si>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</si>
  <si>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</si>
  <si>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</si>
  <si>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</si>
  <si>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</si>
  <si>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</si>
  <si>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</si>
  <si>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</si>
  <si>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</si>
  <si>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</si>
  <si>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</si>
  <si>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</si>
  <si>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</si>
  <si>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</si>
  <si>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</si>
  <si>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</si>
  <si>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</si>
  <si>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</si>
  <si>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</si>
  <si>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</si>
  <si>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</si>
  <si>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</si>
  <si>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</si>
  <si>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</si>
  <si>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</si>
  <si>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</si>
  <si>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</si>
  <si>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</si>
  <si>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</si>
  <si>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</si>
  <si>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</si>
  <si>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</si>
  <si>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</si>
  <si>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</si>
  <si>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</si>
  <si>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</si>
  <si>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</si>
  <si>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</si>
  <si>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</si>
  <si>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</si>
  <si>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</si>
  <si>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</si>
  <si>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</si>
  <si>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</si>
  <si>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</si>
  <si>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</si>
  <si>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</si>
  <si>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</si>
  <si>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</si>
  <si>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</si>
  <si>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</si>
  <si>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</si>
  <si>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</si>
  <si>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</si>
  <si>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</si>
  <si>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</si>
  <si>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</si>
  <si>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</si>
  <si>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</si>
  <si>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</si>
  <si>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</si>
  <si>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</si>
  <si>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</si>
  <si>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</si>
  <si>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</si>
  <si>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</si>
  <si>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</si>
  <si>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</si>
  <si>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</si>
  <si>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</si>
  <si>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</si>
  <si>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</si>
  <si>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</si>
  <si>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</si>
  <si>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</si>
  <si>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</si>
  <si>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</si>
  <si>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</si>
  <si>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</si>
  <si>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</si>
  <si>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</si>
  <si>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</si>
  <si>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</si>
  <si>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</si>
  <si>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</si>
  <si>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</si>
  <si>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</si>
  <si>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</si>
  <si>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</si>
  <si>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</si>
  <si>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</si>
  <si>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</si>
  <si>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</si>
  <si>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</si>
  <si>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</si>
  <si>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</si>
  <si>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</si>
  <si>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</si>
  <si>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</si>
  <si>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</si>
  <si>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</si>
  <si>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</si>
  <si>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</si>
  <si>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</si>
  <si>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</si>
  <si>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</si>
  <si>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</si>
  <si>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</si>
  <si>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</si>
  <si>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</si>
  <si>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</si>
  <si>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</si>
  <si>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</si>
  <si>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</si>
  <si>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</si>
  <si>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</si>
  <si>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</si>
  <si>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</si>
  <si>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</si>
  <si>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</si>
  <si>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</si>
  <si>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</si>
  <si>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</si>
  <si>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</si>
  <si>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</si>
  <si>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</si>
  <si>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</si>
  <si>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</si>
  <si>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</si>
  <si>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</si>
  <si>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</si>
  <si>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</si>
  <si>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</si>
  <si>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</si>
  <si>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</si>
  <si>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</si>
  <si>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</si>
  <si>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</si>
  <si>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</si>
  <si>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</si>
  <si>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</si>
  <si>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</si>
  <si>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</si>
  <si>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</si>
  <si>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</si>
  <si>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</si>
  <si>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</si>
  <si>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</si>
  <si>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</si>
  <si>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</si>
  <si>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</si>
  <si>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</si>
  <si>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</si>
  <si>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</si>
  <si>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</si>
  <si>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</si>
  <si>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</si>
  <si>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</si>
  <si>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</si>
  <si>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</si>
  <si>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</si>
  <si>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</si>
  <si>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</si>
  <si>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</si>
  <si>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</si>
  <si>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</si>
  <si>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</si>
  <si>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</si>
  <si>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</si>
  <si>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</si>
  <si>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</si>
  <si>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</si>
  <si>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</si>
  <si>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</si>
  <si>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</si>
  <si>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</si>
  <si>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</si>
  <si>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</si>
  <si>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</si>
  <si>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</si>
  <si>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</si>
  <si>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</si>
  <si>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</si>
  <si>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</si>
  <si>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</si>
  <si>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</si>
  <si>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</si>
  <si>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</si>
  <si>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</si>
  <si>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</si>
  <si>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</si>
  <si>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</si>
  <si>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</si>
  <si>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</si>
  <si>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</si>
  <si>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</si>
  <si>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</si>
  <si>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</si>
  <si>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</si>
  <si>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</si>
  <si>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</si>
  <si>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</si>
  <si>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</si>
  <si>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</si>
  <si>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</si>
  <si>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</si>
  <si>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</si>
  <si>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</si>
  <si>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</si>
  <si>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</si>
  <si>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</si>
  <si>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</si>
  <si>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</si>
  <si>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</si>
  <si>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</si>
  <si>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</si>
  <si>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</si>
  <si>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</si>
  <si>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</si>
  <si>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</si>
  <si>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</si>
  <si>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</si>
  <si>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</si>
  <si>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</si>
  <si>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</si>
  <si>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</si>
  <si>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</si>
  <si>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</si>
  <si>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</si>
  <si>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</si>
  <si>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</si>
  <si>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</si>
  <si>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</si>
  <si>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</si>
  <si>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</si>
  <si>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</si>
  <si>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</si>
  <si>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</si>
  <si>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</si>
  <si>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</si>
  <si>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</si>
  <si>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</si>
  <si>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</si>
  <si>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</si>
  <si>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</si>
  <si>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</si>
  <si>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</si>
  <si>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</si>
  <si>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</si>
  <si>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</si>
  <si>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</si>
  <si>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</si>
  <si>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</si>
  <si>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</si>
  <si>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</si>
  <si>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</si>
  <si>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</si>
  <si>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</si>
  <si>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</si>
  <si>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</si>
  <si>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</si>
  <si>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</si>
  <si>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</si>
  <si>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</si>
  <si>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</si>
  <si>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</si>
  <si>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</si>
  <si>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</si>
  <si>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</si>
  <si>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</si>
  <si>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</si>
  <si>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</si>
  <si>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</si>
  <si>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</si>
  <si>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</si>
  <si>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</si>
  <si>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</si>
  <si>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</si>
  <si>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</si>
  <si>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</si>
  <si>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</si>
  <si>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</si>
  <si>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</si>
  <si>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</si>
  <si>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</si>
  <si>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</si>
  <si>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</si>
  <si>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</si>
  <si>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</si>
  <si>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</si>
  <si>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</si>
  <si>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</si>
  <si>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</si>
  <si>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</si>
  <si>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</si>
  <si>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</si>
  <si>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</si>
  <si>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</si>
  <si>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</si>
  <si>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</si>
  <si>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</si>
  <si>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</si>
  <si>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</si>
  <si>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</si>
  <si>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</si>
  <si>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</si>
  <si>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</si>
  <si>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</si>
  <si>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</si>
  <si>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</si>
  <si>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</si>
  <si>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</si>
  <si>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</si>
  <si>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</si>
  <si>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</si>
  <si>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</si>
  <si>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</si>
  <si>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</si>
  <si>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</si>
  <si>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</si>
  <si>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</si>
  <si>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</si>
  <si>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</si>
  <si>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</si>
  <si>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</si>
  <si>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</si>
  <si>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</si>
  <si>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</si>
  <si>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</si>
  <si>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</si>
  <si>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</si>
  <si>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</si>
  <si>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</si>
  <si>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</si>
  <si>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</si>
  <si>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</si>
  <si>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</si>
  <si>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</si>
  <si>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</si>
  <si>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</si>
  <si>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</si>
  <si>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</si>
  <si>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</si>
  <si>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</si>
  <si>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</si>
  <si>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</si>
  <si>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</si>
  <si>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</si>
  <si>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</si>
  <si>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</si>
  <si>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</si>
  <si>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</si>
  <si>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</si>
  <si>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</si>
  <si>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</si>
  <si>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</si>
  <si>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</si>
  <si>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</si>
  <si>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</si>
  <si>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</si>
  <si>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</si>
  <si>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</si>
  <si>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</si>
  <si>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</si>
  <si>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</si>
  <si>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</si>
  <si>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</si>
  <si>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</si>
  <si>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</si>
  <si>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</si>
  <si>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</si>
  <si>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</si>
  <si>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</si>
  <si>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</si>
  <si>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</si>
  <si>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</si>
  <si>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</si>
  <si>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</si>
  <si>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</si>
  <si>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</si>
  <si>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</si>
  <si>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</si>
  <si>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</si>
  <si>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</si>
  <si>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</si>
  <si>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</si>
  <si>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</si>
  <si>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</si>
  <si>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</si>
  <si>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</si>
  <si>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</si>
  <si>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</si>
  <si>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</si>
  <si>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</si>
  <si>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</si>
  <si>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</si>
  <si>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</si>
  <si>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</si>
  <si>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</si>
  <si>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</si>
  <si>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</si>
  <si>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</si>
  <si>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</si>
  <si>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</si>
  <si>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</si>
  <si>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</si>
  <si>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</si>
  <si>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</si>
  <si>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</si>
  <si>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</si>
  <si>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</si>
  <si>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</si>
  <si>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</si>
  <si>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</si>
  <si>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</si>
  <si>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</si>
  <si>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</si>
  <si>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</si>
  <si>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</si>
  <si>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</si>
  <si>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</si>
  <si>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</si>
  <si>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</si>
  <si>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</si>
  <si>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</si>
  <si>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</si>
  <si>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</si>
  <si>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</si>
  <si>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</si>
  <si>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</si>
  <si>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</si>
  <si>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</si>
  <si>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</si>
  <si>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</si>
  <si>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</si>
  <si>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</si>
  <si>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</si>
  <si>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</si>
  <si>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</si>
  <si>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</si>
  <si>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</si>
  <si>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</si>
  <si>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</si>
  <si>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</si>
  <si>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</si>
  <si>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</si>
  <si>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</si>
  <si>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</si>
  <si>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</si>
  <si>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</si>
  <si>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</si>
  <si>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</si>
  <si>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</si>
  <si>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</si>
  <si>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</si>
  <si>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</si>
  <si>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</si>
  <si>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</si>
  <si>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</si>
  <si>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</si>
  <si>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</si>
  <si>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</si>
  <si>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</si>
  <si>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</si>
  <si>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</si>
  <si>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</si>
  <si>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</si>
  <si>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</si>
  <si>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</si>
  <si>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</si>
  <si>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</si>
  <si>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</si>
  <si>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</si>
  <si>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</si>
  <si>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</si>
  <si>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</si>
  <si>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</si>
  <si>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</si>
  <si>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</si>
  <si>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</si>
  <si>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</si>
  <si>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</si>
  <si>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</si>
  <si>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</si>
  <si>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</si>
  <si>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</si>
  <si>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</si>
  <si>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</si>
  <si>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</si>
  <si>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</si>
  <si>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</si>
  <si>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</si>
  <si>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</si>
  <si>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</si>
  <si>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</si>
  <si>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</si>
  <si>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</si>
  <si>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</si>
  <si>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</si>
  <si>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</si>
  <si>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</si>
  <si>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</si>
  <si>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</si>
  <si>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</si>
  <si>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</si>
  <si>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</si>
  <si>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</si>
  <si>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</si>
  <si>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</si>
  <si>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</si>
  <si>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</si>
  <si>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</si>
  <si>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</si>
  <si>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</si>
  <si>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</si>
  <si>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</si>
  <si>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</si>
  <si>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</si>
  <si>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</si>
  <si>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</si>
  <si>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</si>
  <si>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</si>
  <si>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</si>
  <si>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</si>
  <si>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</si>
  <si>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</si>
  <si>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</si>
  <si>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</si>
  <si>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</si>
  <si>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</si>
  <si>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</si>
  <si>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</si>
  <si>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</si>
  <si>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</si>
  <si>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</si>
  <si>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</si>
  <si>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</si>
  <si>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</si>
  <si>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</si>
  <si>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</si>
  <si>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</si>
  <si>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</si>
  <si>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</si>
  <si>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</si>
  <si>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</si>
  <si>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</si>
  <si>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</si>
  <si>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</si>
  <si>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</si>
  <si>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</si>
  <si>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</si>
  <si>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</si>
  <si>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</si>
  <si>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</si>
  <si>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</si>
  <si>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</si>
  <si>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</si>
  <si>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</si>
  <si>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</si>
  <si>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</si>
  <si>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</si>
  <si>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</si>
  <si>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</si>
  <si>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</si>
  <si>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</si>
  <si>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</si>
  <si>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</si>
  <si>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</si>
  <si>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</si>
  <si>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</si>
  <si>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</si>
  <si>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</si>
  <si>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</si>
  <si>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</si>
  <si>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</si>
  <si>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</si>
  <si>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</si>
  <si>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</si>
  <si>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</si>
  <si>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</si>
  <si>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</si>
  <si>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</si>
  <si>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</si>
  <si>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</si>
  <si>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</si>
  <si>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</si>
  <si>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</si>
  <si>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</si>
  <si>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</si>
  <si>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</si>
  <si>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</si>
  <si>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</si>
  <si>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</si>
  <si>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</si>
  <si>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</si>
  <si>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</si>
  <si>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</si>
  <si>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</si>
  <si>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</si>
  <si>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</si>
  <si>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</si>
  <si>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</si>
  <si>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</si>
  <si>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</si>
  <si>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</si>
  <si>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</si>
  <si>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</si>
  <si>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</si>
  <si>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</si>
  <si>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</si>
  <si>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</si>
  <si>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</si>
  <si>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</si>
  <si>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</si>
  <si>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</si>
  <si>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</si>
  <si>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</si>
  <si>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</si>
  <si>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</si>
  <si>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</si>
  <si>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</si>
  <si>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</si>
  <si>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</si>
  <si>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</si>
  <si>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</si>
  <si>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</si>
  <si>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</si>
  <si>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</si>
  <si>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</si>
  <si>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</si>
  <si>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</si>
  <si>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</si>
  <si>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</si>
  <si>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</si>
  <si>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</si>
  <si>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</si>
  <si>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</si>
  <si>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</si>
  <si>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</si>
  <si>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</si>
  <si>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</si>
  <si>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</si>
  <si>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</si>
  <si>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</si>
  <si>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</si>
  <si>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</si>
  <si>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</si>
  <si>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</si>
  <si>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</si>
  <si>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</si>
  <si>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</si>
  <si>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</si>
  <si>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</si>
  <si>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</si>
  <si>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</si>
  <si>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</si>
  <si>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</si>
  <si>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</si>
  <si>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</si>
  <si>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</si>
  <si>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</si>
  <si>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</si>
  <si>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</si>
  <si>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</si>
  <si>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</si>
  <si>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</si>
  <si>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</si>
  <si>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</si>
  <si>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</si>
  <si>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</si>
  <si>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</si>
  <si>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</si>
  <si>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</si>
  <si>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</si>
  <si>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</si>
  <si>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</si>
  <si>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</si>
  <si>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</si>
  <si>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</si>
  <si>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</si>
  <si>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</si>
  <si>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</si>
  <si>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</si>
  <si>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</si>
  <si>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</si>
  <si>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</si>
  <si>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</si>
  <si>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</si>
  <si>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</si>
  <si>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</si>
  <si>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</si>
  <si>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</si>
  <si>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</si>
  <si>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</si>
  <si>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</si>
  <si>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</si>
  <si>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</si>
  <si>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</si>
  <si>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</si>
  <si>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</si>
  <si>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</si>
  <si>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</si>
  <si>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</si>
  <si>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</si>
  <si>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</si>
  <si>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</si>
  <si>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</si>
  <si>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</si>
  <si>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</si>
  <si>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</si>
  <si>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</si>
  <si>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</si>
  <si>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</si>
  <si>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</si>
  <si>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</si>
  <si>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</si>
  <si>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</si>
  <si>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</si>
  <si>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</si>
  <si>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</si>
  <si>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</si>
  <si>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</si>
  <si>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</si>
  <si>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</si>
  <si>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</si>
  <si>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</si>
  <si>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</si>
  <si>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</si>
  <si>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</si>
  <si>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</si>
  <si>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</si>
  <si>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</si>
  <si>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</si>
  <si>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</si>
  <si>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</si>
  <si>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</si>
  <si>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</si>
  <si>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</si>
  <si>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</si>
  <si>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</si>
  <si>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</si>
  <si>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</si>
  <si>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</si>
  <si>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</si>
  <si>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</si>
  <si>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</si>
  <si>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</si>
  <si>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</si>
  <si>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</si>
  <si>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</si>
  <si>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</si>
  <si>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</si>
  <si>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</si>
  <si>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</si>
  <si>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</si>
  <si>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</si>
  <si>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</si>
  <si>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</si>
  <si>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</si>
  <si>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</si>
  <si>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</si>
  <si>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</si>
  <si>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</si>
  <si>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</si>
  <si>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</si>
  <si>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</si>
  <si>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</si>
  <si>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</si>
  <si>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</si>
  <si>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</si>
  <si>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</si>
  <si>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</si>
  <si>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</si>
  <si>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</si>
  <si>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</si>
  <si>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</si>
  <si>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</si>
  <si>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</si>
  <si>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</si>
  <si>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</si>
  <si>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</si>
  <si>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</si>
  <si>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</si>
  <si>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</si>
  <si>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</si>
  <si>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</si>
  <si>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</si>
  <si>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</si>
  <si>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</si>
  <si>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</si>
  <si>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</si>
  <si>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</si>
  <si>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</si>
  <si>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</si>
  <si>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</si>
  <si>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</si>
  <si>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</si>
  <si>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</si>
  <si>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</si>
  <si>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</si>
  <si>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</si>
  <si>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</si>
  <si>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</si>
  <si>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</si>
  <si>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</si>
  <si>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</si>
  <si>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</si>
  <si>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</si>
  <si>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</si>
  <si>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</si>
  <si>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</si>
  <si>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</si>
  <si>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</si>
  <si>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</si>
  <si>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</si>
  <si>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</si>
  <si>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</si>
  <si>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</si>
  <si>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</si>
  <si>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</si>
  <si>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</si>
  <si>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</si>
  <si>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</si>
  <si>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</si>
  <si>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</si>
  <si>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</si>
  <si>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</si>
  <si>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</si>
  <si>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</si>
  <si>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</si>
  <si>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</si>
  <si>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</si>
  <si>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</si>
  <si>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</si>
  <si>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</si>
  <si>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</si>
  <si>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</si>
  <si>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</si>
  <si>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</si>
  <si>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</si>
  <si>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</si>
  <si>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</si>
  <si>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</si>
  <si>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</si>
  <si>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</si>
  <si>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</si>
  <si>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</si>
  <si>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</si>
  <si>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</si>
  <si>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</si>
  <si>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</si>
  <si>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</si>
  <si>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</si>
  <si>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</si>
  <si>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</si>
  <si>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</si>
  <si>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</si>
  <si>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</si>
  <si>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</si>
  <si>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</si>
  <si>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</si>
  <si>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</si>
  <si>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</si>
  <si>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</si>
  <si>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</si>
  <si>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</si>
  <si>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</si>
  <si>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</si>
  <si>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</si>
  <si>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</si>
  <si>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</si>
  <si>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</si>
  <si>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</si>
  <si>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</si>
  <si>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</si>
  <si>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</si>
  <si>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</si>
  <si>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</si>
  <si>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</si>
  <si>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</si>
  <si>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</si>
  <si>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</si>
  <si>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</si>
  <si>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</si>
  <si>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</si>
  <si>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</si>
  <si>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</si>
  <si>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</si>
  <si>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</si>
  <si>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</si>
  <si>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</si>
  <si>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</si>
  <si>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</si>
  <si>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</si>
  <si>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</si>
  <si>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</si>
  <si>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</si>
  <si>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</si>
  <si>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</si>
  <si>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</si>
  <si>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</si>
  <si>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</si>
  <si>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</si>
  <si>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</si>
  <si>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</si>
  <si>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</si>
  <si>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</si>
  <si>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</si>
  <si>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</si>
  <si>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</si>
  <si>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</si>
  <si>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</si>
  <si>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</si>
  <si>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</si>
  <si>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</si>
  <si>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</si>
  <si>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</si>
  <si>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</si>
  <si>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</si>
  <si>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</si>
  <si>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</si>
  <si>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</si>
  <si>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</si>
  <si>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</si>
  <si>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</si>
  <si>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</si>
  <si>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</si>
  <si>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</si>
  <si>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</si>
  <si>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</si>
  <si>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</si>
  <si>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</si>
  <si>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</si>
  <si>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</si>
  <si>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</si>
  <si>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</si>
  <si>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</si>
  <si>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</si>
  <si>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</si>
  <si>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</si>
  <si>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</si>
  <si>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</si>
  <si>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</si>
  <si>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</si>
  <si>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</si>
  <si>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</si>
  <si>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</si>
  <si>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</si>
  <si>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</si>
  <si>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</si>
  <si>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</si>
  <si>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</si>
  <si>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</si>
  <si>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</si>
  <si>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</si>
  <si>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</si>
  <si>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</si>
  <si>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</si>
  <si>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</si>
  <si>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</si>
  <si>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</si>
  <si>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</si>
  <si>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</si>
  <si>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</si>
  <si>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</si>
  <si>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</si>
  <si>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</si>
  <si>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</si>
  <si>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</si>
  <si>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</si>
  <si>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</si>
  <si>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</si>
  <si>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</si>
  <si>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</si>
  <si>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</si>
  <si>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</si>
  <si>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</si>
  <si>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</si>
  <si>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</si>
  <si>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</si>
  <si>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</si>
  <si>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</si>
  <si>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</si>
  <si>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</si>
  <si>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</si>
  <si>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</si>
  <si>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</si>
  <si>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</si>
  <si>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</si>
  <si>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</si>
  <si>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</si>
  <si>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</si>
  <si>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</si>
  <si>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</si>
  <si>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</si>
  <si>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</si>
  <si>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</si>
  <si>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</si>
  <si>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</si>
  <si>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</si>
  <si>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</si>
  <si>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</si>
  <si>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</si>
  <si>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</si>
  <si>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</si>
  <si>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</si>
  <si>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</si>
  <si>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</si>
  <si>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</si>
  <si>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</si>
  <si>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</si>
  <si>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</si>
  <si>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</si>
  <si>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</si>
  <si>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</si>
  <si>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</si>
  <si>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</si>
  <si>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</si>
  <si>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</si>
  <si>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</si>
  <si>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</si>
  <si>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</si>
  <si>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</si>
  <si>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</si>
  <si>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</si>
  <si>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</si>
  <si>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</si>
  <si>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</si>
  <si>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</si>
  <si>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</si>
  <si>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</si>
  <si>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</si>
  <si>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</si>
  <si>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</si>
  <si>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</si>
  <si>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</si>
  <si>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</si>
  <si>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</si>
  <si>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</si>
  <si>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</si>
  <si>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</si>
  <si>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</si>
  <si>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</si>
  <si>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</si>
  <si>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</si>
  <si>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</si>
  <si>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</si>
  <si>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</si>
  <si>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</si>
  <si>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</si>
  <si>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</si>
  <si>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</si>
  <si>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</si>
  <si>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</si>
  <si>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</si>
  <si>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</si>
  <si>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</si>
  <si>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</si>
  <si>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</si>
  <si>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</si>
  <si>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</si>
  <si>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</si>
  <si>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</si>
  <si>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</si>
  <si>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</si>
  <si>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</si>
  <si>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</si>
  <si>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</si>
  <si>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</si>
  <si>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</si>
  <si>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</si>
  <si>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</si>
  <si>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</si>
  <si>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</si>
  <si>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</si>
  <si>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</si>
  <si>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</si>
  <si>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</si>
  <si>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</si>
  <si>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</si>
  <si>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</si>
  <si>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</si>
  <si>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</si>
  <si>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</si>
  <si>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</si>
  <si>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</si>
  <si>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</si>
  <si>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</si>
  <si>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</si>
  <si>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</si>
  <si>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</si>
  <si>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</si>
  <si>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</si>
  <si>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</si>
  <si>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</si>
  <si>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</si>
  <si>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</si>
  <si>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</si>
  <si>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</si>
  <si>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</si>
  <si>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</si>
  <si>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</si>
  <si>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</si>
  <si>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</si>
  <si>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</si>
  <si>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</si>
  <si>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</si>
  <si>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</si>
  <si>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</si>
  <si>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</si>
  <si>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</si>
  <si>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</si>
  <si>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</si>
  <si>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</si>
  <si>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</si>
  <si>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</si>
  <si>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</si>
  <si>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</si>
  <si>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</si>
  <si>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</si>
  <si>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</si>
  <si>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</si>
  <si>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</si>
  <si>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</si>
  <si>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</si>
  <si>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</si>
  <si>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</si>
  <si>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</si>
  <si>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</si>
  <si>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</si>
  <si>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</si>
  <si>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</si>
  <si>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</si>
  <si>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</si>
  <si>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</si>
  <si>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</si>
  <si>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</si>
  <si>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</si>
  <si>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</si>
  <si>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</si>
  <si>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</si>
  <si>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</si>
  <si>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</si>
  <si>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</si>
  <si>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</si>
  <si>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</si>
  <si>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</si>
  <si>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</si>
  <si>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</si>
  <si>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</si>
  <si>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</si>
  <si>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</si>
  <si>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</si>
  <si>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</si>
  <si>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</si>
  <si>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</si>
  <si>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</si>
  <si>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</si>
  <si>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</si>
  <si>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</si>
  <si>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</si>
  <si>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</si>
  <si>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</si>
  <si>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</si>
  <si>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</si>
  <si>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</si>
  <si>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</si>
  <si>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</si>
  <si>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</si>
  <si>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</si>
  <si>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</si>
  <si>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</si>
  <si>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</si>
  <si>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</si>
  <si>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</si>
  <si>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</si>
  <si>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</si>
  <si>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</si>
  <si>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</si>
  <si>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</si>
  <si>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</si>
  <si>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</si>
  <si>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</si>
  <si>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</si>
  <si>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</si>
  <si>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</si>
  <si>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</si>
  <si>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</si>
  <si>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</si>
  <si>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</si>
  <si>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</si>
  <si>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</si>
  <si>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</si>
  <si>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</si>
  <si>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</si>
  <si>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</si>
  <si>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</si>
  <si>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</si>
  <si>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</si>
  <si>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</si>
  <si>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</si>
  <si>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</si>
  <si>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</si>
  <si>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</si>
  <si>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</si>
  <si>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</si>
  <si>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</si>
  <si>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</si>
  <si>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</si>
  <si>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</si>
  <si>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</si>
  <si>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</si>
  <si>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</si>
  <si>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</si>
  <si>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</si>
  <si>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</si>
  <si>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</si>
  <si>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</si>
  <si>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</si>
  <si>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</si>
  <si>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</si>
  <si>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</si>
  <si>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</si>
  <si>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</si>
  <si>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</si>
  <si>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</si>
  <si>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</si>
  <si>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</si>
  <si>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</si>
  <si>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</si>
  <si>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</si>
  <si>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</si>
  <si>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</si>
  <si>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</si>
  <si>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</si>
  <si>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</si>
  <si>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</si>
  <si>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</si>
  <si>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</si>
  <si>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</si>
  <si>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</si>
  <si>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</si>
  <si>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</si>
  <si>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</si>
  <si>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</si>
  <si>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</si>
  <si>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</si>
  <si>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</si>
  <si>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</si>
  <si>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</si>
  <si>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</si>
  <si>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</si>
  <si>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</si>
  <si>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</si>
  <si>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</si>
  <si>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</si>
  <si>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</si>
  <si>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</si>
  <si>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</si>
  <si>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</si>
  <si>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</si>
  <si>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</si>
  <si>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</si>
  <si>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</si>
  <si>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</si>
  <si>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</si>
  <si>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</si>
  <si>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</si>
  <si>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</si>
  <si>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</si>
  <si>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</si>
  <si>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</si>
  <si>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</si>
  <si>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</si>
  <si>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</si>
  <si>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</si>
  <si>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</si>
  <si>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</si>
  <si>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</si>
  <si>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</si>
  <si>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</si>
  <si>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</si>
  <si>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</si>
  <si>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</si>
  <si>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</si>
  <si>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</si>
  <si>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</si>
  <si>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</si>
  <si>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</si>
  <si>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</si>
  <si>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</si>
  <si>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</si>
  <si>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</si>
  <si>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</si>
  <si>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</si>
  <si>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</si>
  <si>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</si>
  <si>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</si>
  <si>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</si>
  <si>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</si>
  <si>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</si>
  <si>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</si>
  <si>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</si>
  <si>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</si>
  <si>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</si>
  <si>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</si>
  <si>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</si>
  <si>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</si>
  <si>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</si>
  <si>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</si>
  <si>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</si>
  <si>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</si>
  <si>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</si>
  <si>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</si>
  <si>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</si>
  <si>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</si>
  <si>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</si>
  <si>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</si>
  <si>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</si>
  <si>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</si>
  <si>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</si>
  <si>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</si>
  <si>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</si>
  <si>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</si>
  <si>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</si>
  <si>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</si>
  <si>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</si>
  <si>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</si>
  <si>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</si>
  <si>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</si>
  <si>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</si>
  <si>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</si>
  <si>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</si>
  <si>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</si>
  <si>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</si>
  <si>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</si>
  <si>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</si>
  <si>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</si>
  <si>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</si>
  <si>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</si>
  <si>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</si>
  <si>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</si>
  <si>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</si>
  <si>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</si>
  <si>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</si>
  <si>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</si>
  <si>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</si>
  <si>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</si>
  <si>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</si>
  <si>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</si>
  <si>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</si>
  <si>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</si>
  <si>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</si>
  <si>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</si>
  <si>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</si>
  <si>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</si>
  <si>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</si>
  <si>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</si>
  <si>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</si>
  <si>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</si>
  <si>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</si>
  <si>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</si>
  <si>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</si>
  <si>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</si>
  <si>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</si>
  <si>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</si>
  <si>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</si>
  <si>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</si>
  <si>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</si>
  <si>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</si>
  <si>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</si>
  <si>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</si>
  <si>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</si>
  <si>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</si>
  <si>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</si>
  <si>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</si>
  <si>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</si>
  <si>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</si>
  <si>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</si>
  <si>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</si>
  <si>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</si>
  <si>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</si>
  <si>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</si>
  <si>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</si>
  <si>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</si>
  <si>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</si>
  <si>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</si>
  <si>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</si>
  <si>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</si>
  <si>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</si>
  <si>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</si>
  <si>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</si>
  <si>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</si>
  <si>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</si>
  <si>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</si>
  <si>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</si>
  <si>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</si>
  <si>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</si>
  <si>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</si>
  <si>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</si>
  <si>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</si>
  <si>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</si>
  <si>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</si>
  <si>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</si>
  <si>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</si>
  <si>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</si>
  <si>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</si>
  <si>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</si>
  <si>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</si>
  <si>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</si>
  <si>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</si>
  <si>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</si>
  <si>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</si>
  <si>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</si>
  <si>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</si>
  <si>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</si>
  <si>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</si>
  <si>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</si>
  <si>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</si>
  <si>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</si>
  <si>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</si>
  <si>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</si>
  <si>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</si>
  <si>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</si>
  <si>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</si>
  <si>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</si>
  <si>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</si>
  <si>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</si>
  <si>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</si>
  <si>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</si>
  <si>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</si>
  <si>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</si>
  <si>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</si>
  <si>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</si>
  <si>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</si>
  <si>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</si>
  <si>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</si>
  <si>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</si>
  <si>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</si>
  <si>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</si>
  <si>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</si>
  <si>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</si>
  <si>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</si>
  <si>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</si>
  <si>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</si>
  <si>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</si>
  <si>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</si>
  <si>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</si>
  <si>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</si>
  <si>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</si>
  <si>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</si>
  <si>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</si>
  <si>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</si>
  <si>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</si>
  <si>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</si>
  <si>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</si>
  <si>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</si>
  <si>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</si>
  <si>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</si>
  <si>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</si>
  <si>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</si>
  <si>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</si>
  <si>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</si>
  <si>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</si>
  <si>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</si>
  <si>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</si>
  <si>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</si>
  <si>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</si>
  <si>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</si>
  <si>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</si>
  <si>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</si>
  <si>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</si>
  <si>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</si>
  <si>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</si>
  <si>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</si>
  <si>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</si>
  <si>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</si>
  <si>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</si>
  <si>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</si>
  <si>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</si>
  <si>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</si>
  <si>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</si>
  <si>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</si>
  <si>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</si>
  <si>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</si>
  <si>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</si>
  <si>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</si>
  <si>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</si>
  <si>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</si>
  <si>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</si>
  <si>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</si>
  <si>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</si>
  <si>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</si>
  <si>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</si>
  <si>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</si>
  <si>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</si>
  <si>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</si>
  <si>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</si>
  <si>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</si>
  <si>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</si>
  <si>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</si>
  <si>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</si>
  <si>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</si>
  <si>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</si>
  <si>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</si>
  <si>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</si>
  <si>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</si>
  <si>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</si>
  <si>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</si>
  <si>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</si>
  <si>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</si>
  <si>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</si>
  <si>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</si>
  <si>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</si>
  <si>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</si>
  <si>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</si>
  <si>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</si>
  <si>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</si>
  <si>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</si>
  <si>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</si>
  <si>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</si>
  <si>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</si>
  <si>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</si>
  <si>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</si>
  <si>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</si>
  <si>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</si>
  <si>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</si>
  <si>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</si>
  <si>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</si>
  <si>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</si>
  <si>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</si>
  <si>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</si>
  <si>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</si>
  <si>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</si>
  <si>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</si>
  <si>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</si>
  <si>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</si>
  <si>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</si>
  <si>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</si>
  <si>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</si>
  <si>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</si>
  <si>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</si>
  <si>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</si>
  <si>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</si>
  <si>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</si>
  <si>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</si>
  <si>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</si>
  <si>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</si>
  <si>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</si>
  <si>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</si>
  <si>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</si>
  <si>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</si>
  <si>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</si>
  <si>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</si>
  <si>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</si>
  <si>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</si>
  <si>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</si>
  <si>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</si>
  <si>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</si>
  <si>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</si>
  <si>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</si>
  <si>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</si>
  <si>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</si>
  <si>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</si>
  <si>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</si>
  <si>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</si>
  <si>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</si>
  <si>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</si>
  <si>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</si>
  <si>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</si>
  <si>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</si>
  <si>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</si>
  <si>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</si>
  <si>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</si>
  <si>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</si>
  <si>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</si>
  <si>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</si>
  <si>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</si>
  <si>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</si>
  <si>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</si>
  <si>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</si>
  <si>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</si>
  <si>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</si>
  <si>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</si>
  <si>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</si>
  <si>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</si>
  <si>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</si>
  <si>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</si>
  <si>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</si>
  <si>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</si>
  <si>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</si>
  <si>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</si>
  <si>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</si>
  <si>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</si>
  <si>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</si>
  <si>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</si>
  <si>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</si>
  <si>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</si>
  <si>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</si>
  <si>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</si>
  <si>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</si>
  <si>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</si>
  <si>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</si>
  <si>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</si>
  <si>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</si>
  <si>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</si>
  <si>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</si>
  <si>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</si>
  <si>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</si>
  <si>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</si>
  <si>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</si>
  <si>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</si>
  <si>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</si>
  <si>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</si>
  <si>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</si>
  <si>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</si>
  <si>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</si>
  <si>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</si>
  <si>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</si>
  <si>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</si>
  <si>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</si>
  <si>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</si>
  <si>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</si>
  <si>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</si>
  <si>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</si>
  <si>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</si>
  <si>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</si>
  <si>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</si>
  <si>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</si>
  <si>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</si>
  <si>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</si>
  <si>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</si>
  <si>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</si>
  <si>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</si>
  <si>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</si>
  <si>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</si>
  <si>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</si>
  <si>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</si>
  <si>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</si>
  <si>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</si>
  <si>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</si>
  <si>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</si>
  <si>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</si>
  <si>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</si>
  <si>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</si>
  <si>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</si>
  <si>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</si>
  <si>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</si>
  <si>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</si>
  <si>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</si>
  <si>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</si>
  <si>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</si>
  <si>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</si>
  <si>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</si>
  <si>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</si>
  <si>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</si>
  <si>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</si>
  <si>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</si>
  <si>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</si>
  <si>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</si>
  <si>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</si>
  <si>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</si>
  <si>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</si>
  <si>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</si>
  <si>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</si>
  <si>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</si>
  <si>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</si>
  <si>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</si>
  <si>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</si>
  <si>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</si>
  <si>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</si>
  <si>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</si>
  <si>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</si>
  <si>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</si>
  <si>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</si>
  <si>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</si>
  <si>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</si>
  <si>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</si>
  <si>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</si>
  <si>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</si>
  <si>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</si>
  <si>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</si>
  <si>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</si>
  <si>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</si>
  <si>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</si>
  <si>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</si>
  <si>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</si>
  <si>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</si>
  <si>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</si>
  <si>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</si>
  <si>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</si>
  <si>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</si>
  <si>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</si>
  <si>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</si>
  <si>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</si>
  <si>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</si>
  <si>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</si>
  <si>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</si>
  <si>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</si>
  <si>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</si>
  <si>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</si>
  <si>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</si>
  <si>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</si>
  <si>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</si>
  <si>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</si>
  <si>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</si>
  <si>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</si>
  <si>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</si>
  <si>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</si>
  <si>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</si>
  <si>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</si>
  <si>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</si>
  <si>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</si>
  <si>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</si>
  <si>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</si>
  <si>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</si>
  <si>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</si>
  <si>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</si>
  <si>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</si>
  <si>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</si>
  <si>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</si>
  <si>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</si>
  <si>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</si>
  <si>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</si>
  <si>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</si>
  <si>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</si>
  <si>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</si>
  <si>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</si>
  <si>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</si>
  <si>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</si>
  <si>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</si>
  <si>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</si>
  <si>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</si>
  <si>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</si>
  <si>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</si>
  <si>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</si>
  <si>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</si>
  <si>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</si>
  <si>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</si>
  <si>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</si>
  <si>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</si>
  <si>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</si>
  <si>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</si>
  <si>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</si>
  <si>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</si>
  <si>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</si>
  <si>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</si>
  <si>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</si>
  <si>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</si>
  <si>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</si>
  <si>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</si>
  <si>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</si>
  <si>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</si>
  <si>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</si>
  <si>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</si>
  <si>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</si>
  <si>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</si>
  <si>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</si>
  <si>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</si>
  <si>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</si>
  <si>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</si>
  <si>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</si>
  <si>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</si>
  <si>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</si>
  <si>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</si>
  <si>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</si>
  <si>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</si>
  <si>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</si>
  <si>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</si>
  <si>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</si>
  <si>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</si>
  <si>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</si>
  <si>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</si>
  <si>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</si>
  <si>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</si>
  <si>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</si>
  <si>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</si>
  <si>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</si>
  <si>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</si>
  <si>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</si>
  <si>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</si>
  <si>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</si>
  <si>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</si>
  <si>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</si>
  <si>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</si>
  <si>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</si>
  <si>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</si>
  <si>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</si>
  <si>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</si>
  <si>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</si>
  <si>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</si>
  <si>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</si>
  <si>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</si>
  <si>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</si>
  <si>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</si>
  <si>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</si>
  <si>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</si>
  <si>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</si>
  <si>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</si>
  <si>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</si>
  <si>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</si>
  <si>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</si>
  <si>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</si>
  <si>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</si>
  <si>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</si>
  <si>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</si>
  <si>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</si>
  <si>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</si>
  <si>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</si>
  <si>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</si>
  <si>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</si>
  <si>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</si>
  <si>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</si>
  <si>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</si>
  <si>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</si>
  <si>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</si>
  <si>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</si>
  <si>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</si>
  <si>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</si>
  <si>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</si>
  <si>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</si>
  <si>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</si>
  <si>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</si>
  <si>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</si>
  <si>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</si>
  <si>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</si>
  <si>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</si>
  <si>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</si>
  <si>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</si>
  <si>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</si>
  <si>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</si>
  <si>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</si>
  <si>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</si>
  <si>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</si>
  <si>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</si>
  <si>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</si>
  <si>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</si>
  <si>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</si>
  <si>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</si>
  <si>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</si>
  <si>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</si>
  <si>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</si>
  <si>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</si>
  <si>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</si>
  <si>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</si>
  <si>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</si>
  <si>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</si>
  <si>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</si>
  <si>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</si>
  <si>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</si>
  <si>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</si>
  <si>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</si>
  <si>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</si>
  <si>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</si>
  <si>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</si>
  <si>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</si>
  <si>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</si>
  <si>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</si>
  <si>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</si>
  <si>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</si>
  <si>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</si>
  <si>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</si>
  <si>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</si>
  <si>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</si>
  <si>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</si>
  <si>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</si>
  <si>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</si>
  <si>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</si>
  <si>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</si>
  <si>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</si>
  <si>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</si>
  <si>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</si>
  <si>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</si>
  <si>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</si>
  <si>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</si>
  <si>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</si>
  <si>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</si>
  <si>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</si>
  <si>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</si>
  <si>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</si>
  <si>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</si>
  <si>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</si>
  <si>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</si>
  <si>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</si>
  <si>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</si>
  <si>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</si>
  <si>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</si>
  <si>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</si>
  <si>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</si>
  <si>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</si>
  <si>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</si>
  <si>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</si>
  <si>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</si>
  <si>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</si>
  <si>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</si>
  <si>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</si>
  <si>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</si>
  <si>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</si>
  <si>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</si>
  <si>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</si>
  <si>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</si>
  <si>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</si>
  <si>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</si>
  <si>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</si>
  <si>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</si>
  <si>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</si>
  <si>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</si>
  <si>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</si>
  <si>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</si>
  <si>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</si>
  <si>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</si>
  <si>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</si>
  <si>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</si>
  <si>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</si>
  <si>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</si>
  <si>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</si>
  <si>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</si>
  <si>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</si>
  <si>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</si>
  <si>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</si>
  <si>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</si>
  <si>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</si>
  <si>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</si>
  <si>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</si>
  <si>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</si>
  <si>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</si>
  <si>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</si>
  <si>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</si>
  <si>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</si>
  <si>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</si>
  <si>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</si>
  <si>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</si>
  <si>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</si>
  <si>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</si>
  <si>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</si>
  <si>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</si>
  <si>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</si>
  <si>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</si>
  <si>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</si>
  <si>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</si>
  <si>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</si>
  <si>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</si>
  <si>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</si>
  <si>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</si>
  <si>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</si>
  <si>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</si>
  <si>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</si>
  <si>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</si>
  <si>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</si>
  <si>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</si>
  <si>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</si>
  <si>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</si>
  <si>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</si>
  <si>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</si>
  <si>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</si>
  <si>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</si>
  <si>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</si>
  <si>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</si>
  <si>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</si>
  <si>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</si>
  <si>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</si>
  <si>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</si>
  <si>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</si>
  <si>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</si>
  <si>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</si>
  <si>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</si>
  <si>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</si>
  <si>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</si>
  <si>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</si>
  <si>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</si>
  <si>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</si>
  <si>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</si>
  <si>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</si>
  <si>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</si>
  <si>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</si>
  <si>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</si>
  <si>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</si>
  <si>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</si>
  <si>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</si>
  <si>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</si>
  <si>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</si>
  <si>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</si>
  <si>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</si>
  <si>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</si>
  <si>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</si>
  <si>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</si>
  <si>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</si>
  <si>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</si>
  <si>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</si>
  <si>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</si>
  <si>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</si>
  <si>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</si>
  <si>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</si>
  <si>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</si>
  <si>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</si>
  <si>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</si>
  <si>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</si>
  <si>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</si>
  <si>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</si>
  <si>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</si>
  <si>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</si>
  <si>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</si>
  <si>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</si>
  <si>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</si>
  <si>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</si>
  <si>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</si>
  <si>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</si>
  <si>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</si>
  <si>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</si>
  <si>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</si>
  <si>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</si>
  <si>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</si>
  <si>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</si>
  <si>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</si>
  <si>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</si>
  <si>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</si>
  <si>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</si>
  <si>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</si>
  <si>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</si>
  <si>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</si>
  <si>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</si>
  <si>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</si>
  <si>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</si>
  <si>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</si>
  <si>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</si>
  <si>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</si>
  <si>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</si>
  <si>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</si>
  <si>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</si>
  <si>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</si>
  <si>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</si>
  <si>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</si>
  <si>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</si>
  <si>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</si>
  <si>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</si>
  <si>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</si>
  <si>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</si>
  <si>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</si>
  <si>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</si>
  <si>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</si>
  <si>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</si>
  <si>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</si>
  <si>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3590 Elm Avenue</t>
  </si>
  <si>
    <t>Long Beach</t>
  </si>
  <si>
    <t>CA</t>
  </si>
  <si>
    <t>Linc Housing Corporation</t>
  </si>
  <si>
    <t>Long Beach, CA 90807</t>
  </si>
  <si>
    <t>Holthouse Carlin &amp; Van Trigt LLP</t>
  </si>
  <si>
    <t>400 W Ventura Blvd., Suite #250</t>
  </si>
  <si>
    <t>Camarillo, CA 93010</t>
  </si>
  <si>
    <t>David Bierhorst</t>
  </si>
  <si>
    <t>805-374-8555</t>
  </si>
  <si>
    <t>805-413-1749</t>
  </si>
  <si>
    <t>daveb@hcvt.com</t>
  </si>
  <si>
    <t>WinnResidential</t>
  </si>
  <si>
    <t xml:space="preserve">2499 W. Shaw Ave., Ste. 103										</t>
  </si>
  <si>
    <t xml:space="preserve">Fresno, CA 93711										</t>
  </si>
  <si>
    <t xml:space="preserve">Oke Johnson										</t>
  </si>
  <si>
    <t xml:space="preserve">559-489-9930					</t>
  </si>
  <si>
    <t xml:space="preserve">okejohnson@winnco.com										</t>
  </si>
  <si>
    <t>Linc Housing Corporation (as Sole Member/Manager of Linc Ross LLC, the Managing General Partner of Linc Ross LP)</t>
  </si>
  <si>
    <t xml:space="preserve">Cecilia Ngo </t>
  </si>
  <si>
    <t>562-684-1134</t>
  </si>
  <si>
    <t>cngo@linchousing.org</t>
  </si>
  <si>
    <t>Linc Ross LLC</t>
  </si>
  <si>
    <t>Frances Sarmiento</t>
  </si>
  <si>
    <t>562-684-1102</t>
  </si>
  <si>
    <t>fsarmiento@linchousing.org</t>
  </si>
  <si>
    <t>Daryll Kidd</t>
  </si>
  <si>
    <t>633 West Fifth Street Suite, 5880</t>
  </si>
  <si>
    <t>Los Angeles, CA 90071</t>
  </si>
  <si>
    <t>Bocarsly Emden Cowan Esmail &amp; Arndt LLP</t>
  </si>
  <si>
    <t>213-239-8000</t>
  </si>
  <si>
    <t>dkidd@bocarsly.com</t>
  </si>
  <si>
    <t>213-559-0747</t>
  </si>
  <si>
    <t>245 E 3rd St</t>
  </si>
  <si>
    <t>Long Beach, CA 90802</t>
  </si>
  <si>
    <t>Alan Pullman</t>
  </si>
  <si>
    <t>562-901-1500</t>
  </si>
  <si>
    <t>alan.pullman@studio-111.com</t>
  </si>
  <si>
    <t>Partner Energy</t>
  </si>
  <si>
    <t xml:space="preserve">2154 Torrance Blvd </t>
  </si>
  <si>
    <t>Torrance, CA 90501</t>
  </si>
  <si>
    <t>Greg Switzer</t>
  </si>
  <si>
    <t>310-220-6199</t>
  </si>
  <si>
    <t>gswitzer@ptrenergy.com</t>
  </si>
  <si>
    <t>California Housing Partnership</t>
  </si>
  <si>
    <t>Kinetic Valuation Group, Inc.</t>
  </si>
  <si>
    <t>3901 S 147th St, Suite 144</t>
  </si>
  <si>
    <t>Omaha, NE 68144</t>
  </si>
  <si>
    <t>Jay Wortmann</t>
  </si>
  <si>
    <t>402-202-0771</t>
  </si>
  <si>
    <t>jay@kvgteam.com</t>
  </si>
  <si>
    <t>Michelle Espinosa Coulter</t>
  </si>
  <si>
    <t>415-286-3128</t>
  </si>
  <si>
    <t>mcoulter@chpc.net</t>
  </si>
  <si>
    <t>49 Stevenson Street, Suite 500</t>
  </si>
  <si>
    <t>San Francisco, CA 94105</t>
  </si>
  <si>
    <t>Cecilia Ngo</t>
  </si>
  <si>
    <t>Buss-Shelger Associates</t>
  </si>
  <si>
    <t>970 W. 190th Street, Suite 350</t>
  </si>
  <si>
    <t>Torrance, California 90502</t>
  </si>
  <si>
    <t>Ron Buss</t>
  </si>
  <si>
    <t>(213) 388-7272</t>
  </si>
  <si>
    <t>(213) 254-9032</t>
  </si>
  <si>
    <t>bussshelger@pacbell.net</t>
  </si>
  <si>
    <t>Inner City Infill Site</t>
  </si>
  <si>
    <t>ADP-RIO Mixed Use/Office Subarea</t>
  </si>
  <si>
    <t>ADP-RIO Mixed Use/Office Subarea / 124 - zone and max density allowed per entitlements approval</t>
  </si>
  <si>
    <t>ADP-RIO Mixed Use/Office Subarea / 124</t>
  </si>
  <si>
    <t>85ft / 7 Stories</t>
  </si>
  <si>
    <t>Ross Center - Affordable Housing</t>
  </si>
  <si>
    <t>Walton Construction, Inc.</t>
  </si>
  <si>
    <t>San Dimas, CA 91773</t>
  </si>
  <si>
    <t>Blake Jackson</t>
  </si>
  <si>
    <t>909-267-7250</t>
  </si>
  <si>
    <t>bjackson@waltonci.com</t>
  </si>
  <si>
    <t>Enterprise Housing Credit Investments, LLC</t>
  </si>
  <si>
    <t>11000 Broken Land Parkway, Suite 700</t>
  </si>
  <si>
    <t>Columbia, MD 21044</t>
  </si>
  <si>
    <t>Reagan Maechling</t>
  </si>
  <si>
    <t>410-964-0552</t>
  </si>
  <si>
    <t>rmaechling@enterprisecommunity.com</t>
  </si>
  <si>
    <t>Los Angeles Housing Department</t>
  </si>
  <si>
    <t>Danielle Thompson</t>
  </si>
  <si>
    <t>213-808-8624</t>
  </si>
  <si>
    <t>danielle.thompson@lacity.org</t>
  </si>
  <si>
    <t>1910 Sunset Blvd, Suite 300</t>
  </si>
  <si>
    <t>Los Angeles, CA 90026</t>
  </si>
  <si>
    <t>President and CEO</t>
  </si>
  <si>
    <t>1000 North Alameda Los Angeles, CA 90012</t>
  </si>
  <si>
    <t>LAHD Homes for LA ULA MF</t>
  </si>
  <si>
    <t>Fixed</t>
  </si>
  <si>
    <t>Payroll Taxes/Benefits</t>
  </si>
  <si>
    <t>Variable</t>
  </si>
  <si>
    <t>3590 Elm Ave.</t>
  </si>
  <si>
    <t>213-808-8808</t>
  </si>
  <si>
    <t>1000 Broken Land Pkwy, Suite 900</t>
  </si>
  <si>
    <t xml:space="preserve"> Columbia, MD 21045</t>
  </si>
  <si>
    <t>Dwayne George</t>
  </si>
  <si>
    <t>GP Equity</t>
  </si>
  <si>
    <t>Reagan Meachling</t>
  </si>
  <si>
    <t>651 Bannon Street</t>
  </si>
  <si>
    <t>Sacramento, CA 95811</t>
  </si>
  <si>
    <t xml:space="preserve">HUD Section 811PRA </t>
  </si>
  <si>
    <t>Air Conditioning</t>
  </si>
  <si>
    <t>213-928-8800</t>
  </si>
  <si>
    <t xml:space="preserve">(213) 252-1871 </t>
  </si>
  <si>
    <t>Other: HCD Pooled Reserve Fee</t>
  </si>
  <si>
    <t>May</t>
  </si>
  <si>
    <t>Senior Vice President of Housing Development</t>
  </si>
  <si>
    <t>Above residual receipts line for cash flow</t>
  </si>
  <si>
    <t>Provided</t>
  </si>
  <si>
    <t>Not Applicable</t>
  </si>
  <si>
    <t xml:space="preserve">City of Los Angeles </t>
  </si>
  <si>
    <t>40%/60%</t>
  </si>
  <si>
    <t>Managing GP</t>
  </si>
  <si>
    <t>Studio One Eleven</t>
  </si>
  <si>
    <t>258 E. Foothill Blvd</t>
  </si>
  <si>
    <t>626-201-7386</t>
  </si>
  <si>
    <t>Brenda Solórzano</t>
  </si>
  <si>
    <t>Tiena Johnson Hall</t>
  </si>
  <si>
    <t>General Manager</t>
  </si>
  <si>
    <t>1910 Sunset Blvd Suite 300</t>
  </si>
  <si>
    <t>(213) 808-8808</t>
  </si>
  <si>
    <t>tiena.hall@lacity.org</t>
  </si>
  <si>
    <t>HCD AHSC HRI GP Loan</t>
  </si>
  <si>
    <t>Accrued Deferred Interest</t>
  </si>
  <si>
    <t>213-787-8238</t>
  </si>
  <si>
    <t>California Utility Allowance Estimate (CUAC)</t>
  </si>
  <si>
    <t>Secured by Leasehold Interest</t>
  </si>
  <si>
    <t>Payment &amp; Performance Bond, Project Labor Agreement (PLA) Premium</t>
  </si>
  <si>
    <t>Accrued Interest - LAHD Homes for LA, Accrued Interest - MacArthur PRI Loan</t>
  </si>
  <si>
    <t>Prevailing Wage Monitor</t>
  </si>
  <si>
    <t>Utility Connection Fees</t>
  </si>
  <si>
    <t>1081 North Vignes Street</t>
  </si>
  <si>
    <t>NW corner of Vignes Street and Rosabell Street</t>
  </si>
  <si>
    <t>Developer, Managing General Partner</t>
  </si>
  <si>
    <t>The California Endowment and 800 N. Main, LLC</t>
  </si>
  <si>
    <t xml:space="preserve">The project is the East phase (airspace Lot 5) of a multi-phase campus development. The project consists of a single, above grade 7-story mixed use apartment building consisting of five levels of residential apartments of construction type IIIA (wood) over two levels of type IA podium. The two levels of podium include approximately 25,000 square feet of integrated, non-income generating commercial core and shell space to be leased by The California Endowment, and a dedicated residential parking garage with 40 parking stalls for onsite staff and residents. </t>
  </si>
  <si>
    <t xml:space="preserve">Ten (10) one bedroom units ADA mobility units will be reserved </t>
  </si>
  <si>
    <t>The California Endowment, 800 N. Main, LLC</t>
  </si>
  <si>
    <t>HUD Section 811 PRA units, including eligible persons with physical, mental, developmental disabilities</t>
  </si>
  <si>
    <t>for ten (10) units eligible for HUD Section 811 PRA program</t>
  </si>
  <si>
    <t>administered by CalHFA.</t>
  </si>
  <si>
    <t>MacArthur PRI Construction Loan</t>
  </si>
  <si>
    <t>HCD AHSC Loan</t>
  </si>
  <si>
    <t>BWE Taxable Construction Loan</t>
  </si>
  <si>
    <t>Accrued/Deferred Interest - LAHD Homes for LA ULA MF</t>
  </si>
  <si>
    <t>GP Loan of HCD AHSC HRI Grant</t>
  </si>
  <si>
    <t>Costs Deferred Until Conversion</t>
  </si>
  <si>
    <t>Tax Credit Equity</t>
  </si>
  <si>
    <t>Term SOFR</t>
  </si>
  <si>
    <t xml:space="preserve">Tax Exempt Construction Loan </t>
  </si>
  <si>
    <t>Taxable Construction Loan</t>
  </si>
  <si>
    <t xml:space="preserve"> 410-934-3608</t>
  </si>
  <si>
    <t>Jennifer Seeger</t>
  </si>
  <si>
    <t>916-263-2771</t>
  </si>
  <si>
    <t>Cost Deferred Until Conversion</t>
  </si>
  <si>
    <t>GP Loan of MacArthur PRI - Construction Only</t>
  </si>
  <si>
    <t>Columbia, MD 21045</t>
  </si>
  <si>
    <t>BWE Tax Exempt Perm Loan</t>
  </si>
  <si>
    <t>GP Loan of HCD HRI Grant</t>
  </si>
  <si>
    <t>BWE Tax-Exempt Construction Loan</t>
  </si>
  <si>
    <t>General Partner Equity</t>
  </si>
  <si>
    <t>Tax-Exempt Perm Loan</t>
  </si>
  <si>
    <t>Misc. Admin, Telephone, Cable &amp; Internet</t>
  </si>
  <si>
    <t>Miscellaneous expenses including lock &amp; key, fire protection, and electrical maintenance</t>
  </si>
  <si>
    <t>Franchise Tax Board Fee</t>
  </si>
  <si>
    <t>LAHD SCEP Fees</t>
  </si>
  <si>
    <t>Annual Issuer &amp; Trustee Fees</t>
  </si>
  <si>
    <t>Project-based vouchers (PBVs)</t>
  </si>
  <si>
    <t>HCD AHSC Loan and HRI Grant, LAHD Homes for LA ULA MF</t>
  </si>
  <si>
    <t>HCD AHSC Loan and HRI Grant, LAHD Homes for LA ULA Multifamily Loan</t>
  </si>
  <si>
    <t>LAHD Homes for LA ULA Multifamily</t>
  </si>
  <si>
    <t>Applicant Legal</t>
  </si>
  <si>
    <t>Deputy Inspections, 3rd Party Construction Manager, Green Consultant, Entitlement Consultant, Predev Loan Interest</t>
  </si>
  <si>
    <t>Portion of APN: 5409-015-024, Portion of APN: 5409-015-025, Portion of 5409-015-026</t>
  </si>
  <si>
    <t>Approximately 25,000 square feet of commercial core and shell space is located on the first and second floors of the residential building. The space will be non-income generating and is intended for lease by The California Endowment for a potential health clinic and office space.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</si>
</sst>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34934">
    <xf numFmtId="0" fontId="0" fillId="0" borderId="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4" borderId="0" applyNumberFormat="0" applyBorder="0" applyAlignment="0" applyProtection="0"/>
    <xf numFmtId="0" fontId="91" fillId="25" borderId="0" applyNumberFormat="0" applyBorder="0" applyAlignment="0" applyProtection="0"/>
    <xf numFmtId="0" fontId="91" fillId="25"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2" fillId="35" borderId="0" applyNumberFormat="0" applyBorder="0" applyAlignment="0" applyProtection="0"/>
    <xf numFmtId="0" fontId="92" fillId="35" borderId="0" applyNumberFormat="0" applyBorder="0" applyAlignment="0" applyProtection="0"/>
    <xf numFmtId="0" fontId="93" fillId="36" borderId="18" applyNumberFormat="0" applyAlignment="0" applyProtection="0"/>
    <xf numFmtId="0" fontId="93" fillId="36" borderId="18" applyNumberFormat="0" applyAlignment="0" applyProtection="0"/>
    <xf numFmtId="0" fontId="94" fillId="37" borderId="19" applyNumberForma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6" fillId="0" borderId="0" applyFont="0" applyFill="0" applyBorder="0" applyAlignment="0" applyProtection="0"/>
    <xf numFmtId="43" fontId="31" fillId="0" borderId="0" applyFont="0" applyFill="0" applyBorder="0" applyAlignment="0" applyProtection="0"/>
    <xf numFmtId="43" fontId="66" fillId="0" borderId="0" applyFont="0" applyFill="0" applyBorder="0" applyAlignment="0" applyProtection="0"/>
    <xf numFmtId="44" fontId="8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83" fillId="0" borderId="0" applyFont="0" applyFill="0" applyBorder="0" applyAlignment="0" applyProtection="0"/>
    <xf numFmtId="44" fontId="31" fillId="0" borderId="0" applyFont="0" applyFill="0" applyBorder="0" applyAlignment="0" applyProtection="0"/>
    <xf numFmtId="44" fontId="85"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alignment vertical="top"/>
    </xf>
    <xf numFmtId="44" fontId="66" fillId="0" borderId="0" applyFont="0" applyFill="0" applyBorder="0" applyAlignment="0" applyProtection="0">
      <alignment vertical="top"/>
    </xf>
    <xf numFmtId="44" fontId="31" fillId="0" borderId="0" applyFont="0" applyFill="0" applyBorder="0" applyAlignment="0" applyProtection="0"/>
    <xf numFmtId="44" fontId="66" fillId="0" borderId="0" applyFont="0" applyFill="0" applyBorder="0" applyAlignment="0" applyProtection="0">
      <alignment vertical="top"/>
    </xf>
    <xf numFmtId="44" fontId="66" fillId="0" borderId="0" applyFont="0" applyFill="0" applyBorder="0" applyAlignment="0" applyProtection="0"/>
    <xf numFmtId="44" fontId="8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31" fillId="0" borderId="0" applyFont="0" applyFill="0" applyBorder="0" applyAlignment="0" applyProtection="0"/>
    <xf numFmtId="44" fontId="76"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8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31" fillId="0" borderId="0" applyFont="0" applyFill="0" applyBorder="0" applyAlignment="0" applyProtection="0"/>
    <xf numFmtId="44" fontId="77"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81" fillId="0" borderId="0" applyFont="0" applyFill="0" applyBorder="0" applyAlignment="0" applyProtection="0"/>
    <xf numFmtId="44" fontId="31" fillId="0" borderId="0" applyFont="0" applyFill="0" applyBorder="0" applyAlignment="0" applyProtection="0"/>
    <xf numFmtId="0" fontId="95" fillId="0" borderId="0" applyNumberFormat="0" applyFill="0" applyBorder="0" applyAlignment="0" applyProtection="0"/>
    <xf numFmtId="0" fontId="96" fillId="38" borderId="0" applyNumberFormat="0" applyBorder="0" applyAlignment="0" applyProtection="0"/>
    <xf numFmtId="0" fontId="97" fillId="0" borderId="20" applyNumberFormat="0" applyFill="0" applyAlignment="0" applyProtection="0"/>
    <xf numFmtId="0" fontId="97" fillId="0" borderId="20"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9" fillId="0" borderId="22" applyNumberFormat="0" applyFill="0" applyAlignment="0" applyProtection="0"/>
    <xf numFmtId="0" fontId="99" fillId="0" borderId="22"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87" fillId="0" borderId="0" applyNumberFormat="0" applyFill="0" applyBorder="0" applyAlignment="0" applyProtection="0">
      <alignment vertical="top"/>
      <protection locked="0"/>
    </xf>
    <xf numFmtId="0" fontId="100" fillId="39" borderId="18" applyNumberFormat="0" applyAlignment="0" applyProtection="0"/>
    <xf numFmtId="0" fontId="24" fillId="0" borderId="0" applyNumberFormat="0" applyBorder="0"/>
    <xf numFmtId="0" fontId="25" fillId="0" borderId="0" applyBorder="0" applyAlignment="0"/>
    <xf numFmtId="0" fontId="26" fillId="0" borderId="0" applyFill="0" applyBorder="0" applyAlignment="0"/>
    <xf numFmtId="0" fontId="101" fillId="0" borderId="23" applyNumberFormat="0" applyFill="0" applyAlignment="0" applyProtection="0"/>
    <xf numFmtId="0" fontId="102" fillId="40" borderId="0" applyNumberFormat="0" applyBorder="0" applyAlignment="0" applyProtection="0"/>
    <xf numFmtId="0" fontId="103" fillId="0" borderId="0"/>
    <xf numFmtId="0" fontId="66" fillId="0" borderId="0"/>
    <xf numFmtId="0" fontId="103" fillId="0" borderId="0"/>
    <xf numFmtId="0" fontId="66" fillId="0" borderId="0"/>
    <xf numFmtId="0" fontId="66"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6" fillId="0" borderId="0"/>
    <xf numFmtId="169" fontId="67" fillId="0" borderId="0"/>
    <xf numFmtId="0" fontId="90" fillId="0" borderId="0"/>
    <xf numFmtId="0" fontId="31" fillId="0" borderId="0"/>
    <xf numFmtId="0" fontId="31" fillId="0" borderId="0"/>
    <xf numFmtId="0" fontId="72" fillId="0" borderId="0"/>
    <xf numFmtId="0" fontId="66" fillId="0" borderId="0"/>
    <xf numFmtId="0" fontId="72" fillId="0" borderId="0"/>
    <xf numFmtId="0" fontId="66" fillId="0" borderId="0"/>
    <xf numFmtId="0" fontId="78" fillId="0" borderId="0"/>
    <xf numFmtId="0" fontId="66" fillId="0" borderId="0"/>
    <xf numFmtId="0" fontId="90" fillId="0" borderId="0"/>
    <xf numFmtId="0" fontId="6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8" fillId="0" borderId="0"/>
    <xf numFmtId="0" fontId="90" fillId="0" borderId="0"/>
    <xf numFmtId="0" fontId="90" fillId="0" borderId="0"/>
    <xf numFmtId="0" fontId="90" fillId="0" borderId="0"/>
    <xf numFmtId="0" fontId="90" fillId="0" borderId="0"/>
    <xf numFmtId="0" fontId="6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6" fillId="0" borderId="0"/>
    <xf numFmtId="0" fontId="90" fillId="0" borderId="0"/>
    <xf numFmtId="0" fontId="90" fillId="0" borderId="0"/>
    <xf numFmtId="0" fontId="90" fillId="0" borderId="0"/>
    <xf numFmtId="0" fontId="90" fillId="0" borderId="0"/>
    <xf numFmtId="0" fontId="78" fillId="0" borderId="0"/>
    <xf numFmtId="0" fontId="66" fillId="0" borderId="0">
      <alignment vertical="top"/>
    </xf>
    <xf numFmtId="0" fontId="90" fillId="0" borderId="0"/>
    <xf numFmtId="0" fontId="90" fillId="0" borderId="0"/>
    <xf numFmtId="0" fontId="90" fillId="0" borderId="0"/>
    <xf numFmtId="0" fontId="90" fillId="0" borderId="0"/>
    <xf numFmtId="0" fontId="78" fillId="0" borderId="0"/>
    <xf numFmtId="0" fontId="31" fillId="0" borderId="0"/>
    <xf numFmtId="0" fontId="90" fillId="0" borderId="0"/>
    <xf numFmtId="0" fontId="31" fillId="0" borderId="0"/>
    <xf numFmtId="0" fontId="90" fillId="0" borderId="0"/>
    <xf numFmtId="0" fontId="90" fillId="0" borderId="0"/>
    <xf numFmtId="0" fontId="90" fillId="0" borderId="0"/>
    <xf numFmtId="0" fontId="90" fillId="0" borderId="0"/>
    <xf numFmtId="0" fontId="72" fillId="0" borderId="0"/>
    <xf numFmtId="0" fontId="66" fillId="0" borderId="0">
      <alignment vertical="top"/>
    </xf>
    <xf numFmtId="0" fontId="72" fillId="0" borderId="0"/>
    <xf numFmtId="0" fontId="66" fillId="0" borderId="0">
      <alignment vertical="top"/>
    </xf>
    <xf numFmtId="0" fontId="66" fillId="0" borderId="0">
      <alignment vertical="top"/>
    </xf>
    <xf numFmtId="0" fontId="90" fillId="0" borderId="0"/>
    <xf numFmtId="0" fontId="72" fillId="0" borderId="0"/>
    <xf numFmtId="0" fontId="90" fillId="0" borderId="0"/>
    <xf numFmtId="0" fontId="6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66" fillId="0" borderId="0">
      <alignment vertical="top"/>
    </xf>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6" fillId="0" borderId="0"/>
    <xf numFmtId="0" fontId="66" fillId="0" borderId="0">
      <alignment vertical="top"/>
    </xf>
    <xf numFmtId="0" fontId="66" fillId="0" borderId="0">
      <alignment vertical="top"/>
    </xf>
    <xf numFmtId="0" fontId="66" fillId="0" borderId="0"/>
    <xf numFmtId="0" fontId="66" fillId="0" borderId="0">
      <alignment vertical="top"/>
    </xf>
    <xf numFmtId="0" fontId="66" fillId="0" borderId="0"/>
    <xf numFmtId="0" fontId="6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22" fillId="0" borderId="0" applyProtection="0">
      <protection locked="0"/>
    </xf>
    <xf numFmtId="0" fontId="31" fillId="0" borderId="0" applyProtection="0">
      <protection locked="0"/>
    </xf>
    <xf numFmtId="0" fontId="31" fillId="0" borderId="0" applyProtection="0">
      <protection locked="0"/>
    </xf>
    <xf numFmtId="0" fontId="67" fillId="0" borderId="0"/>
    <xf numFmtId="0" fontId="22" fillId="0" borderId="0"/>
    <xf numFmtId="0" fontId="82"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82"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105" fillId="36" borderId="25" applyNumberFormat="0" applyAlignment="0" applyProtection="0"/>
    <xf numFmtId="0" fontId="105" fillId="36" borderId="25" applyNumberFormat="0" applyAlignment="0" applyProtection="0"/>
    <xf numFmtId="0" fontId="27" fillId="0" borderId="0" applyNumberFormat="0" applyFill="0" applyBorder="0">
      <alignment horizontal="left"/>
    </xf>
    <xf numFmtId="0" fontId="106" fillId="0" borderId="0" applyNumberFormat="0" applyFill="0" applyBorder="0" applyAlignment="0" applyProtection="0"/>
    <xf numFmtId="0" fontId="107" fillId="0" borderId="26" applyNumberFormat="0" applyFill="0" applyAlignment="0" applyProtection="0"/>
    <xf numFmtId="0" fontId="107" fillId="0" borderId="26" applyNumberFormat="0" applyFill="0" applyAlignment="0" applyProtection="0"/>
    <xf numFmtId="0" fontId="108" fillId="0" borderId="0" applyNumberFormat="0" applyFill="0" applyBorder="0" applyAlignment="0" applyProtection="0"/>
    <xf numFmtId="0" fontId="22" fillId="0" borderId="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9" fontId="22" fillId="0" borderId="0" applyFont="0" applyFill="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3"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115"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116"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06" fillId="0" borderId="0" applyNumberForma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44" fontId="22" fillId="0" borderId="0" applyFont="0" applyFill="0" applyBorder="0" applyAlignment="0" applyProtection="0"/>
    <xf numFmtId="9" fontId="125" fillId="0" borderId="0" applyFont="0" applyFill="0" applyBorder="0" applyAlignment="0" applyProtection="0"/>
    <xf numFmtId="0" fontId="125" fillId="0" borderId="0"/>
    <xf numFmtId="0" fontId="16" fillId="0" borderId="0"/>
    <xf numFmtId="0" fontId="22" fillId="0" borderId="0"/>
    <xf numFmtId="43" fontId="16" fillId="0" borderId="0" applyFont="0" applyFill="0" applyBorder="0" applyAlignment="0" applyProtection="0"/>
    <xf numFmtId="9" fontId="16"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2"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4" fontId="154"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0" fontId="22" fillId="0" borderId="0" applyBorder="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92"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66" fillId="0" borderId="0">
      <alignment vertical="top"/>
    </xf>
    <xf numFmtId="0" fontId="66" fillId="0" borderId="0">
      <alignment vertical="top"/>
    </xf>
    <xf numFmtId="0" fontId="5" fillId="0" borderId="0"/>
    <xf numFmtId="0" fontId="5" fillId="0" borderId="0"/>
    <xf numFmtId="0" fontId="66" fillId="0" borderId="0">
      <alignment vertical="top"/>
    </xf>
    <xf numFmtId="0" fontId="193" fillId="0" borderId="0">
      <alignment vertical="top"/>
    </xf>
    <xf numFmtId="0" fontId="66" fillId="0" borderId="0">
      <alignment vertical="top"/>
    </xf>
    <xf numFmtId="0" fontId="66" fillId="0" borderId="0">
      <alignment vertical="top"/>
    </xf>
    <xf numFmtId="0" fontId="19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43" fontId="82" fillId="0" borderId="0" applyFont="0" applyFill="0" applyBorder="0" applyAlignment="0" applyProtection="0"/>
    <xf numFmtId="0" fontId="5" fillId="16" borderId="0" applyNumberFormat="0" applyBorder="0" applyAlignment="0" applyProtection="0"/>
    <xf numFmtId="0" fontId="5" fillId="22" borderId="0" applyNumberFormat="0" applyBorder="0" applyAlignment="0" applyProtection="0"/>
    <xf numFmtId="43" fontId="8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8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66" fillId="0" borderId="0">
      <alignment vertical="top"/>
    </xf>
    <xf numFmtId="0" fontId="66" fillId="0" borderId="0">
      <alignment vertical="top"/>
    </xf>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104" fillId="0" borderId="0"/>
    <xf numFmtId="0" fontId="82" fillId="41" borderId="24" applyNumberFormat="0" applyFont="0" applyAlignment="0" applyProtection="0"/>
    <xf numFmtId="0" fontId="82" fillId="41" borderId="24" applyNumberFormat="0" applyFont="0" applyAlignment="0" applyProtection="0"/>
    <xf numFmtId="43" fontId="22" fillId="0" borderId="0" applyFont="0" applyFill="0" applyBorder="0" applyAlignment="0" applyProtection="0"/>
    <xf numFmtId="0" fontId="22"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41" borderId="24" applyNumberFormat="0" applyFont="0" applyAlignment="0" applyProtection="0"/>
    <xf numFmtId="0" fontId="5" fillId="41" borderId="24" applyNumberFormat="0" applyFont="0" applyAlignment="0" applyProtection="0"/>
    <xf numFmtId="169" fontId="194"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2">
    <xf numFmtId="0" fontId="0" fillId="0" borderId="0" xfId="0"/>
    <xf numFmtId="0" fontId="0" fillId="0" borderId="0" xfId="0" applyAlignment="1">
      <alignment horizontal="center"/>
    </xf>
    <xf numFmtId="0" fontId="29" fillId="0" borderId="0" xfId="0" applyFont="1"/>
    <xf numFmtId="0" fontId="22" fillId="0" borderId="0" xfId="0" applyFont="1"/>
    <xf numFmtId="0" fontId="31" fillId="0" borderId="0" xfId="0" applyFont="1"/>
    <xf numFmtId="0" fontId="0" fillId="0" borderId="4" xfId="0" applyBorder="1"/>
    <xf numFmtId="0" fontId="31" fillId="0" borderId="0" xfId="0" applyFont="1" applyAlignment="1">
      <alignment horizontal="center"/>
    </xf>
    <xf numFmtId="0" fontId="2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9" fillId="0" borderId="4" xfId="0" applyFont="1" applyBorder="1"/>
    <xf numFmtId="164" fontId="0" fillId="0" borderId="0" xfId="0" applyNumberFormat="1" applyAlignment="1">
      <alignment horizontal="right"/>
    </xf>
    <xf numFmtId="0" fontId="29" fillId="0" borderId="0" xfId="0" applyFont="1" applyAlignment="1">
      <alignment horizontal="center"/>
    </xf>
    <xf numFmtId="0" fontId="22" fillId="0" borderId="0" xfId="543"/>
    <xf numFmtId="0" fontId="31" fillId="0" borderId="0" xfId="0" applyFont="1" applyAlignment="1">
      <alignment horizontal="left" vertical="top" wrapText="1"/>
    </xf>
    <xf numFmtId="0" fontId="37" fillId="0" borderId="0" xfId="0" applyFont="1"/>
    <xf numFmtId="0" fontId="30" fillId="0" borderId="0" xfId="0" applyFont="1" applyAlignment="1">
      <alignment vertical="top"/>
    </xf>
    <xf numFmtId="0" fontId="30" fillId="0" borderId="0" xfId="0" applyFont="1" applyAlignment="1">
      <alignment vertical="top" wrapText="1"/>
    </xf>
    <xf numFmtId="0" fontId="31" fillId="0" borderId="0" xfId="0" applyFont="1" applyAlignment="1">
      <alignment horizontal="left" indent="4"/>
    </xf>
    <xf numFmtId="0" fontId="30" fillId="0" borderId="0" xfId="0" applyFont="1" applyAlignment="1">
      <alignment horizontal="left" vertical="top"/>
    </xf>
    <xf numFmtId="0" fontId="30" fillId="0" borderId="0" xfId="0" applyFont="1" applyAlignment="1">
      <alignment horizontal="left"/>
    </xf>
    <xf numFmtId="0" fontId="30" fillId="0" borderId="0" xfId="0" applyFont="1"/>
    <xf numFmtId="0" fontId="42" fillId="0" borderId="0" xfId="543" applyFont="1"/>
    <xf numFmtId="1" fontId="30" fillId="0" borderId="0" xfId="0" applyNumberFormat="1" applyFont="1" applyAlignment="1">
      <alignment horizontal="left"/>
    </xf>
    <xf numFmtId="0" fontId="32" fillId="0" borderId="0" xfId="0" applyFont="1"/>
    <xf numFmtId="1" fontId="30" fillId="0" borderId="0" xfId="0" applyNumberFormat="1" applyFont="1" applyAlignment="1">
      <alignment horizontal="right"/>
    </xf>
    <xf numFmtId="0" fontId="0" fillId="0" borderId="0" xfId="0" applyAlignment="1">
      <alignment horizontal="right"/>
    </xf>
    <xf numFmtId="0" fontId="41" fillId="0" borderId="0" xfId="0" applyFont="1"/>
    <xf numFmtId="0" fontId="34" fillId="0" borderId="0" xfId="0" applyFont="1"/>
    <xf numFmtId="172" fontId="22" fillId="0" borderId="0" xfId="543" applyNumberFormat="1"/>
    <xf numFmtId="9" fontId="22" fillId="0" borderId="0" xfId="543" applyNumberFormat="1" applyAlignment="1">
      <alignment horizontal="left"/>
    </xf>
    <xf numFmtId="168" fontId="22" fillId="0" borderId="0" xfId="543" applyNumberFormat="1"/>
    <xf numFmtId="0" fontId="31" fillId="0" borderId="0" xfId="0" applyFont="1" applyAlignment="1">
      <alignment horizontal="right"/>
    </xf>
    <xf numFmtId="0" fontId="45" fillId="0" borderId="0" xfId="0" applyFont="1"/>
    <xf numFmtId="0" fontId="31" fillId="0" borderId="0" xfId="0" applyFont="1" applyAlignment="1">
      <alignment horizontal="left"/>
    </xf>
    <xf numFmtId="0" fontId="33" fillId="0" borderId="0" xfId="0" applyFont="1"/>
    <xf numFmtId="0" fontId="35" fillId="0" borderId="0" xfId="0" applyFont="1"/>
    <xf numFmtId="0" fontId="2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9" fillId="0" borderId="1" xfId="0" applyFont="1" applyBorder="1" applyAlignment="1">
      <alignment horizontal="center" wrapText="1"/>
    </xf>
    <xf numFmtId="0" fontId="2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9" fillId="0" borderId="4" xfId="0" applyFont="1" applyBorder="1" applyAlignment="1">
      <alignment horizontal="center"/>
    </xf>
    <xf numFmtId="0" fontId="38" fillId="0" borderId="3" xfId="0" applyFont="1" applyBorder="1" applyAlignment="1">
      <alignment horizontal="left"/>
    </xf>
    <xf numFmtId="0" fontId="38" fillId="0" borderId="9" xfId="0" applyFont="1" applyBorder="1" applyAlignment="1">
      <alignment horizontal="left"/>
    </xf>
    <xf numFmtId="0" fontId="29" fillId="0" borderId="4" xfId="0" applyFont="1" applyBorder="1" applyAlignment="1">
      <alignment horizontal="right"/>
    </xf>
    <xf numFmtId="0" fontId="29" fillId="0" borderId="5" xfId="0" applyFont="1" applyBorder="1" applyAlignment="1">
      <alignment horizontal="right"/>
    </xf>
    <xf numFmtId="0" fontId="38" fillId="0" borderId="0" xfId="0" applyFont="1" applyAlignment="1">
      <alignment horizontal="left"/>
    </xf>
    <xf numFmtId="0" fontId="29" fillId="0" borderId="0" xfId="0" applyFont="1" applyAlignment="1">
      <alignment horizontal="right"/>
    </xf>
    <xf numFmtId="0" fontId="2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31" fillId="0" borderId="11" xfId="0" applyFont="1" applyBorder="1" applyAlignment="1">
      <alignment horizontal="left"/>
    </xf>
    <xf numFmtId="0" fontId="29" fillId="0" borderId="9" xfId="0" applyFont="1" applyBorder="1"/>
    <xf numFmtId="164" fontId="0" fillId="0" borderId="0" xfId="0" applyNumberFormat="1" applyAlignment="1">
      <alignment horizontal="center"/>
    </xf>
    <xf numFmtId="0" fontId="0" fillId="0" borderId="12" xfId="0" applyBorder="1"/>
    <xf numFmtId="0" fontId="31" fillId="0" borderId="3" xfId="0" applyFont="1" applyBorder="1"/>
    <xf numFmtId="0" fontId="31" fillId="0" borderId="0" xfId="543" applyFont="1"/>
    <xf numFmtId="0" fontId="47" fillId="0" borderId="0" xfId="543" applyFont="1"/>
    <xf numFmtId="49" fontId="22" fillId="0" borderId="0" xfId="543" applyNumberFormat="1"/>
    <xf numFmtId="0" fontId="45" fillId="0" borderId="0" xfId="543" applyFont="1"/>
    <xf numFmtId="168" fontId="42" fillId="0" borderId="6" xfId="543" applyNumberFormat="1" applyFont="1" applyBorder="1" applyAlignment="1">
      <alignment horizontal="left"/>
    </xf>
    <xf numFmtId="168" fontId="42" fillId="0" borderId="6" xfId="543" applyNumberFormat="1" applyFont="1" applyBorder="1" applyAlignment="1">
      <alignment horizontal="center"/>
    </xf>
    <xf numFmtId="0" fontId="22" fillId="0" borderId="8" xfId="543" applyBorder="1"/>
    <xf numFmtId="0" fontId="42" fillId="0" borderId="0" xfId="543" applyFont="1" applyAlignment="1">
      <alignment horizontal="center"/>
    </xf>
    <xf numFmtId="0" fontId="41" fillId="0" borderId="9" xfId="543" applyFont="1" applyBorder="1" applyAlignment="1">
      <alignment horizontal="left" vertical="top" wrapText="1"/>
    </xf>
    <xf numFmtId="0" fontId="41" fillId="0" borderId="6" xfId="543" applyFont="1" applyBorder="1" applyAlignment="1">
      <alignment horizontal="center" vertical="top" wrapText="1"/>
    </xf>
    <xf numFmtId="0" fontId="22" fillId="0" borderId="9" xfId="543" applyBorder="1"/>
    <xf numFmtId="0" fontId="22" fillId="0" borderId="10" xfId="543" applyBorder="1"/>
    <xf numFmtId="0" fontId="22" fillId="0" borderId="1" xfId="543" applyBorder="1"/>
    <xf numFmtId="0" fontId="42" fillId="0" borderId="2" xfId="543" applyFont="1" applyBorder="1" applyAlignment="1">
      <alignment horizontal="center"/>
    </xf>
    <xf numFmtId="0" fontId="44" fillId="0" borderId="8" xfId="543" applyFont="1" applyBorder="1" applyAlignment="1">
      <alignment horizontal="left" vertical="top" wrapText="1"/>
    </xf>
    <xf numFmtId="0" fontId="41" fillId="0" borderId="0" xfId="543" applyFont="1" applyAlignment="1">
      <alignment horizontal="center" vertical="top" wrapText="1"/>
    </xf>
    <xf numFmtId="0" fontId="22" fillId="0" borderId="12" xfId="543" applyBorder="1"/>
    <xf numFmtId="0" fontId="44" fillId="0" borderId="0" xfId="543" applyFont="1" applyAlignment="1">
      <alignment horizontal="center" vertical="top" wrapText="1"/>
    </xf>
    <xf numFmtId="0" fontId="44" fillId="0" borderId="9" xfId="543" applyFont="1" applyBorder="1" applyAlignment="1">
      <alignment horizontal="left" vertical="top" wrapText="1"/>
    </xf>
    <xf numFmtId="0" fontId="22" fillId="0" borderId="2" xfId="543" applyBorder="1"/>
    <xf numFmtId="0" fontId="22" fillId="0" borderId="7" xfId="543" applyBorder="1"/>
    <xf numFmtId="0" fontId="41" fillId="0" borderId="0" xfId="543" applyFont="1"/>
    <xf numFmtId="0" fontId="22" fillId="0" borderId="0" xfId="543" applyAlignment="1">
      <alignment horizontal="center"/>
    </xf>
    <xf numFmtId="0" fontId="30" fillId="0" borderId="6" xfId="543" applyFont="1" applyBorder="1" applyAlignment="1">
      <alignment vertical="top" wrapText="1"/>
    </xf>
    <xf numFmtId="0" fontId="31" fillId="0" borderId="0" xfId="0" applyFont="1" applyAlignment="1">
      <alignment horizontal="left" vertical="top"/>
    </xf>
    <xf numFmtId="0" fontId="0" fillId="2" borderId="2" xfId="0" applyFill="1" applyBorder="1"/>
    <xf numFmtId="0" fontId="0" fillId="2" borderId="7" xfId="0" applyFill="1" applyBorder="1"/>
    <xf numFmtId="0" fontId="29" fillId="0" borderId="6" xfId="0" applyFont="1" applyBorder="1" applyAlignment="1">
      <alignment horizontal="right"/>
    </xf>
    <xf numFmtId="0" fontId="28" fillId="0" borderId="0" xfId="0" applyFont="1" applyAlignment="1">
      <alignment horizontal="center" vertical="center"/>
    </xf>
    <xf numFmtId="0" fontId="29" fillId="0" borderId="0" xfId="0" applyFont="1" applyAlignment="1">
      <alignment vertical="top"/>
    </xf>
    <xf numFmtId="166" fontId="0" fillId="0" borderId="0" xfId="0" applyNumberFormat="1" applyAlignment="1">
      <alignment horizontal="right"/>
    </xf>
    <xf numFmtId="0" fontId="52" fillId="0" borderId="0" xfId="0" applyFont="1"/>
    <xf numFmtId="0" fontId="39" fillId="0" borderId="0" xfId="0" applyFont="1"/>
    <xf numFmtId="0" fontId="23" fillId="0" borderId="0" xfId="244" applyBorder="1" applyProtection="1"/>
    <xf numFmtId="0" fontId="23" fillId="0" borderId="0" xfId="244" applyFill="1" applyBorder="1" applyAlignment="1">
      <alignment horizontal="center" vertical="center"/>
    </xf>
    <xf numFmtId="0" fontId="22" fillId="0" borderId="3" xfId="543" applyBorder="1"/>
    <xf numFmtId="0" fontId="44" fillId="0" borderId="4" xfId="543" applyFont="1" applyBorder="1" applyAlignment="1">
      <alignment horizontal="right" vertical="top" wrapText="1"/>
    </xf>
    <xf numFmtId="0" fontId="31" fillId="0" borderId="6" xfId="0" applyFont="1" applyBorder="1"/>
    <xf numFmtId="0" fontId="31" fillId="0" borderId="2" xfId="0" applyFont="1" applyBorder="1"/>
    <xf numFmtId="0" fontId="31" fillId="0" borderId="7" xfId="0" applyFont="1" applyBorder="1"/>
    <xf numFmtId="0" fontId="31" fillId="0" borderId="12" xfId="0" applyFont="1" applyBorder="1"/>
    <xf numFmtId="0" fontId="31" fillId="0" borderId="9" xfId="0" applyFont="1" applyBorder="1"/>
    <xf numFmtId="0" fontId="31" fillId="0" borderId="10" xfId="0" applyFont="1" applyBorder="1"/>
    <xf numFmtId="0" fontId="36" fillId="0" borderId="6" xfId="0" applyFont="1" applyBorder="1" applyAlignment="1">
      <alignment vertical="top" wrapText="1"/>
    </xf>
    <xf numFmtId="0" fontId="36" fillId="0" borderId="5" xfId="0" applyFont="1" applyBorder="1" applyAlignment="1">
      <alignment vertical="top" wrapText="1"/>
    </xf>
    <xf numFmtId="0" fontId="36" fillId="0" borderId="4" xfId="0" applyFont="1" applyBorder="1" applyAlignment="1">
      <alignment vertical="top" wrapText="1"/>
    </xf>
    <xf numFmtId="0" fontId="36" fillId="2" borderId="6" xfId="0" applyFont="1" applyFill="1" applyBorder="1" applyAlignment="1">
      <alignment vertical="top" wrapText="1"/>
    </xf>
    <xf numFmtId="0" fontId="0" fillId="0" borderId="8" xfId="0" applyBorder="1"/>
    <xf numFmtId="0" fontId="29" fillId="0" borderId="2" xfId="0" applyFont="1" applyBorder="1"/>
    <xf numFmtId="0" fontId="31" fillId="0" borderId="0" xfId="0" applyFont="1" applyAlignment="1">
      <alignment vertical="top"/>
    </xf>
    <xf numFmtId="0" fontId="31" fillId="0" borderId="0" xfId="0" applyFont="1" applyAlignment="1">
      <alignment vertical="top" wrapText="1"/>
    </xf>
    <xf numFmtId="0" fontId="22" fillId="0" borderId="0" xfId="0" applyFont="1" applyAlignment="1">
      <alignment horizontal="left"/>
    </xf>
    <xf numFmtId="0" fontId="22" fillId="0" borderId="0" xfId="0" applyFont="1" applyAlignment="1">
      <alignment vertical="top"/>
    </xf>
    <xf numFmtId="0" fontId="51" fillId="0" borderId="0" xfId="0" applyFont="1"/>
    <xf numFmtId="0" fontId="22" fillId="0" borderId="3" xfId="0" applyFont="1" applyBorder="1"/>
    <xf numFmtId="0" fontId="2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6" fillId="3" borderId="4" xfId="0" applyFont="1" applyFill="1" applyBorder="1" applyAlignment="1">
      <alignment vertical="top" wrapText="1"/>
    </xf>
    <xf numFmtId="0" fontId="36" fillId="3" borderId="5" xfId="0" applyFont="1" applyFill="1" applyBorder="1" applyAlignment="1">
      <alignment vertical="top" wrapText="1"/>
    </xf>
    <xf numFmtId="0" fontId="54" fillId="0" borderId="0" xfId="0" applyFont="1"/>
    <xf numFmtId="0" fontId="31" fillId="0" borderId="4" xfId="0" applyFont="1" applyBorder="1"/>
    <xf numFmtId="0" fontId="29" fillId="0" borderId="2" xfId="0" applyFont="1" applyBorder="1" applyAlignment="1">
      <alignment horizontal="center"/>
    </xf>
    <xf numFmtId="0" fontId="29" fillId="0" borderId="0" xfId="0" applyFont="1" applyAlignment="1">
      <alignment horizontal="center" vertical="center" wrapText="1"/>
    </xf>
    <xf numFmtId="0" fontId="29" fillId="0" borderId="7" xfId="543" applyFont="1" applyBorder="1" applyAlignment="1">
      <alignment horizontal="right"/>
    </xf>
    <xf numFmtId="0" fontId="30" fillId="0" borderId="9" xfId="543" applyFont="1" applyBorder="1"/>
    <xf numFmtId="0" fontId="31" fillId="0" borderId="6" xfId="543" applyFont="1" applyBorder="1"/>
    <xf numFmtId="0" fontId="30" fillId="0" borderId="6" xfId="543" applyFont="1" applyBorder="1" applyAlignment="1">
      <alignment horizontal="right"/>
    </xf>
    <xf numFmtId="0" fontId="29" fillId="0" borderId="0" xfId="0" applyFont="1" applyAlignment="1">
      <alignment horizontal="center" vertical="center"/>
    </xf>
    <xf numFmtId="0" fontId="31" fillId="0" borderId="0" xfId="0" applyFont="1" applyAlignment="1">
      <alignment horizontal="left" vertical="center"/>
    </xf>
    <xf numFmtId="0" fontId="59" fillId="0" borderId="3" xfId="0" applyFont="1" applyBorder="1" applyAlignment="1">
      <alignment horizontal="left" vertical="top"/>
    </xf>
    <xf numFmtId="0" fontId="59" fillId="0" borderId="13" xfId="0" applyFont="1" applyBorder="1" applyAlignment="1">
      <alignment horizontal="center" wrapText="1"/>
    </xf>
    <xf numFmtId="0" fontId="59" fillId="0" borderId="13" xfId="0" applyFont="1" applyBorder="1" applyAlignment="1">
      <alignment horizontal="center" vertical="top" wrapText="1"/>
    </xf>
    <xf numFmtId="0" fontId="59" fillId="2" borderId="13" xfId="0" applyFont="1" applyFill="1" applyBorder="1" applyAlignment="1">
      <alignment horizontal="center" wrapText="1"/>
    </xf>
    <xf numFmtId="0" fontId="60" fillId="2" borderId="11" xfId="0" applyFont="1" applyFill="1" applyBorder="1" applyAlignment="1">
      <alignment horizontal="left" vertical="top" wrapText="1"/>
    </xf>
    <xf numFmtId="0" fontId="61" fillId="4" borderId="11" xfId="0" applyFont="1" applyFill="1" applyBorder="1" applyAlignment="1">
      <alignment vertical="top" wrapText="1"/>
    </xf>
    <xf numFmtId="0" fontId="61" fillId="2" borderId="11" xfId="0" applyFont="1" applyFill="1" applyBorder="1" applyAlignment="1">
      <alignment vertical="top" wrapText="1"/>
    </xf>
    <xf numFmtId="0" fontId="61" fillId="0" borderId="11" xfId="0" applyFont="1" applyBorder="1" applyAlignment="1">
      <alignment vertical="top" wrapText="1"/>
    </xf>
    <xf numFmtId="0" fontId="61" fillId="0" borderId="11" xfId="0" applyFont="1" applyBorder="1" applyAlignment="1">
      <alignment horizontal="right" vertical="top" wrapText="1"/>
    </xf>
    <xf numFmtId="168" fontId="61" fillId="0" borderId="11" xfId="0" applyNumberFormat="1" applyFont="1" applyBorder="1" applyAlignment="1">
      <alignment vertical="top" wrapText="1"/>
    </xf>
    <xf numFmtId="168" fontId="61" fillId="5" borderId="11" xfId="0" applyNumberFormat="1" applyFont="1" applyFill="1" applyBorder="1" applyAlignment="1" applyProtection="1">
      <alignment vertical="top" wrapText="1"/>
      <protection locked="0"/>
    </xf>
    <xf numFmtId="168" fontId="61" fillId="6" borderId="11" xfId="0" applyNumberFormat="1" applyFont="1" applyFill="1" applyBorder="1" applyAlignment="1">
      <alignment horizontal="center" vertical="top" wrapText="1"/>
    </xf>
    <xf numFmtId="0" fontId="59" fillId="0" borderId="11" xfId="0" applyFont="1" applyBorder="1" applyAlignment="1">
      <alignment horizontal="right" vertical="top" wrapText="1"/>
    </xf>
    <xf numFmtId="168" fontId="59" fillId="0" borderId="11" xfId="0" applyNumberFormat="1" applyFont="1" applyBorder="1" applyAlignment="1">
      <alignment vertical="top" wrapText="1"/>
    </xf>
    <xf numFmtId="168" fontId="61" fillId="4" borderId="11" xfId="0" applyNumberFormat="1" applyFont="1" applyFill="1" applyBorder="1" applyAlignment="1">
      <alignment vertical="top" wrapText="1"/>
    </xf>
    <xf numFmtId="0" fontId="59" fillId="2" borderId="11" xfId="0" applyFont="1" applyFill="1" applyBorder="1" applyAlignment="1">
      <alignment vertical="top" wrapText="1"/>
    </xf>
    <xf numFmtId="0" fontId="59" fillId="0" borderId="11" xfId="0" applyFont="1" applyBorder="1" applyAlignment="1">
      <alignment vertical="top" wrapText="1"/>
    </xf>
    <xf numFmtId="0" fontId="25" fillId="0" borderId="11" xfId="0" applyFont="1" applyBorder="1" applyAlignment="1">
      <alignment horizontal="right" vertical="top" wrapText="1"/>
    </xf>
    <xf numFmtId="0" fontId="61" fillId="0" borderId="11" xfId="0" applyFont="1" applyBorder="1" applyAlignment="1" applyProtection="1">
      <alignment horizontal="right" vertical="top" wrapText="1"/>
      <protection locked="0"/>
    </xf>
    <xf numFmtId="0" fontId="59" fillId="0" borderId="0" xfId="0" applyFont="1" applyAlignment="1">
      <alignment horizontal="left" vertical="top"/>
    </xf>
    <xf numFmtId="0" fontId="61" fillId="0" borderId="0" xfId="0" applyFont="1" applyAlignment="1">
      <alignment horizontal="left" vertical="top"/>
    </xf>
    <xf numFmtId="0" fontId="61" fillId="0" borderId="0" xfId="0" applyFont="1" applyAlignment="1">
      <alignment vertical="top" wrapText="1"/>
    </xf>
    <xf numFmtId="0" fontId="61" fillId="0" borderId="0" xfId="0" applyFont="1" applyAlignment="1">
      <alignment vertical="top"/>
    </xf>
    <xf numFmtId="0" fontId="59" fillId="0" borderId="0" xfId="0" applyFont="1" applyAlignment="1">
      <alignment horizontal="right" vertical="top"/>
    </xf>
    <xf numFmtId="0" fontId="61" fillId="2" borderId="0" xfId="0" applyFont="1" applyFill="1" applyAlignment="1">
      <alignment vertical="top" wrapText="1"/>
    </xf>
    <xf numFmtId="0" fontId="59" fillId="0" borderId="0" xfId="0" applyFont="1" applyAlignment="1">
      <alignment vertical="top"/>
    </xf>
    <xf numFmtId="166" fontId="31" fillId="0" borderId="0" xfId="0" applyNumberFormat="1" applyFont="1" applyAlignment="1">
      <alignment horizontal="left"/>
    </xf>
    <xf numFmtId="0" fontId="62" fillId="0" borderId="0" xfId="0" applyFont="1"/>
    <xf numFmtId="0" fontId="22" fillId="0" borderId="0" xfId="244" applyFont="1" applyFill="1" applyBorder="1" applyAlignment="1" applyProtection="1">
      <alignment horizontal="left"/>
    </xf>
    <xf numFmtId="0" fontId="53" fillId="0" borderId="0" xfId="0" applyFont="1"/>
    <xf numFmtId="0" fontId="53" fillId="0" borderId="0" xfId="244" applyFont="1" applyFill="1" applyBorder="1" applyAlignment="1" applyProtection="1">
      <alignment horizontal="left"/>
    </xf>
    <xf numFmtId="0" fontId="28" fillId="3" borderId="11" xfId="0" applyFont="1" applyFill="1" applyBorder="1" applyAlignment="1">
      <alignment vertical="top"/>
    </xf>
    <xf numFmtId="0" fontId="0" fillId="7" borderId="0" xfId="0" applyFill="1"/>
    <xf numFmtId="0" fontId="42" fillId="0" borderId="0" xfId="0" applyFont="1"/>
    <xf numFmtId="0" fontId="64" fillId="0" borderId="0" xfId="0" applyFont="1"/>
    <xf numFmtId="0" fontId="40" fillId="0" borderId="0" xfId="0" applyFont="1" applyAlignment="1">
      <alignment horizontal="center"/>
    </xf>
    <xf numFmtId="0" fontId="40" fillId="0" borderId="0" xfId="0" applyFont="1" applyAlignment="1">
      <alignment horizontal="left"/>
    </xf>
    <xf numFmtId="49" fontId="29" fillId="0" borderId="0" xfId="0" applyNumberFormat="1" applyFont="1" applyAlignment="1">
      <alignment horizontal="center"/>
    </xf>
    <xf numFmtId="0" fontId="56" fillId="0" borderId="0" xfId="0" applyFont="1" applyAlignment="1">
      <alignment horizontal="center"/>
    </xf>
    <xf numFmtId="168" fontId="31" fillId="0" borderId="0" xfId="0" applyNumberFormat="1" applyFont="1" applyAlignment="1">
      <alignment horizontal="center"/>
    </xf>
    <xf numFmtId="168" fontId="41" fillId="0" borderId="0" xfId="0" applyNumberFormat="1" applyFont="1" applyAlignment="1">
      <alignment horizontal="left" vertical="top" wrapText="1"/>
    </xf>
    <xf numFmtId="0" fontId="58" fillId="0" borderId="3" xfId="0" applyFont="1" applyBorder="1"/>
    <xf numFmtId="168" fontId="0" fillId="0" borderId="0" xfId="0" applyNumberFormat="1" applyAlignment="1">
      <alignment horizontal="center"/>
    </xf>
    <xf numFmtId="0" fontId="42" fillId="0" borderId="0" xfId="0" applyFont="1" applyAlignment="1">
      <alignment vertical="top" wrapText="1"/>
    </xf>
    <xf numFmtId="0" fontId="59" fillId="0" borderId="4" xfId="0" applyFont="1" applyBorder="1" applyAlignment="1">
      <alignment horizontal="right"/>
    </xf>
    <xf numFmtId="0" fontId="66" fillId="0" borderId="0" xfId="0" applyFont="1"/>
    <xf numFmtId="3" fontId="31" fillId="0" borderId="0" xfId="0" applyNumberFormat="1" applyFont="1" applyAlignment="1">
      <alignment horizontal="center"/>
    </xf>
    <xf numFmtId="168" fontId="22" fillId="0" borderId="0" xfId="0" applyNumberFormat="1" applyFont="1" applyAlignment="1">
      <alignment horizontal="left" vertical="top"/>
    </xf>
    <xf numFmtId="168" fontId="31" fillId="0" borderId="0" xfId="0" applyNumberFormat="1" applyFont="1" applyAlignment="1">
      <alignment horizontal="left" vertical="top"/>
    </xf>
    <xf numFmtId="0" fontId="61" fillId="0" borderId="11" xfId="0" applyFont="1" applyBorder="1" applyAlignment="1">
      <alignment horizontal="right" vertical="top"/>
    </xf>
    <xf numFmtId="0" fontId="61" fillId="0" borderId="0" xfId="0" applyFont="1" applyAlignment="1">
      <alignment horizontal="right" vertical="top" wrapText="1"/>
    </xf>
    <xf numFmtId="0" fontId="61" fillId="2" borderId="12" xfId="0" applyFont="1" applyFill="1" applyBorder="1" applyAlignment="1">
      <alignment vertical="top" wrapText="1"/>
    </xf>
    <xf numFmtId="0" fontId="61" fillId="0" borderId="14" xfId="0" applyFont="1" applyBorder="1" applyAlignment="1">
      <alignment vertical="top" wrapText="1"/>
    </xf>
    <xf numFmtId="168" fontId="61" fillId="5" borderId="11" xfId="0" applyNumberFormat="1" applyFont="1" applyFill="1" applyBorder="1" applyAlignment="1" applyProtection="1">
      <alignment vertical="top"/>
      <protection locked="0"/>
    </xf>
    <xf numFmtId="0" fontId="61" fillId="2" borderId="11" xfId="0" applyFont="1" applyFill="1" applyBorder="1" applyAlignment="1" applyProtection="1">
      <alignment vertical="top"/>
      <protection locked="0"/>
    </xf>
    <xf numFmtId="0" fontId="61" fillId="0" borderId="11" xfId="0" applyFont="1" applyBorder="1" applyAlignment="1" applyProtection="1">
      <alignment vertical="top"/>
      <protection locked="0"/>
    </xf>
    <xf numFmtId="168" fontId="61" fillId="0" borderId="11" xfId="0" applyNumberFormat="1" applyFont="1" applyBorder="1" applyAlignment="1">
      <alignment vertical="top"/>
    </xf>
    <xf numFmtId="168" fontId="61" fillId="6" borderId="11" xfId="0" applyNumberFormat="1" applyFont="1" applyFill="1" applyBorder="1" applyAlignment="1">
      <alignment horizontal="center" vertical="top"/>
    </xf>
    <xf numFmtId="0" fontId="29" fillId="0" borderId="0" xfId="542" applyFont="1" applyProtection="1">
      <protection locked="0"/>
    </xf>
    <xf numFmtId="0" fontId="22" fillId="0" borderId="0" xfId="539" applyProtection="1"/>
    <xf numFmtId="0" fontId="42" fillId="8" borderId="0" xfId="539" applyFont="1" applyFill="1" applyAlignment="1" applyProtection="1">
      <alignment horizontal="centerContinuous"/>
    </xf>
    <xf numFmtId="0" fontId="29" fillId="0" borderId="0" xfId="543" applyFont="1"/>
    <xf numFmtId="0" fontId="31" fillId="0" borderId="0" xfId="543" applyFont="1" applyAlignment="1">
      <alignment horizontal="left"/>
    </xf>
    <xf numFmtId="0" fontId="31" fillId="0" borderId="15" xfId="0" applyFont="1" applyBorder="1"/>
    <xf numFmtId="2" fontId="45" fillId="0" borderId="11" xfId="0" applyNumberFormat="1" applyFont="1" applyBorder="1"/>
    <xf numFmtId="0" fontId="22" fillId="0" borderId="0" xfId="0" applyFont="1" applyProtection="1">
      <protection locked="0"/>
    </xf>
    <xf numFmtId="0" fontId="69" fillId="0" borderId="0" xfId="0" applyFont="1" applyAlignment="1">
      <alignment horizontal="center"/>
    </xf>
    <xf numFmtId="0" fontId="31" fillId="0" borderId="0" xfId="271"/>
    <xf numFmtId="0" fontId="29" fillId="0" borderId="0" xfId="271" applyFont="1"/>
    <xf numFmtId="0" fontId="31" fillId="0" borderId="0" xfId="271" applyAlignment="1">
      <alignment horizontal="left"/>
    </xf>
    <xf numFmtId="168" fontId="29" fillId="0" borderId="2" xfId="543" applyNumberFormat="1" applyFont="1" applyBorder="1" applyAlignment="1">
      <alignment horizontal="center" vertical="center"/>
    </xf>
    <xf numFmtId="0" fontId="44" fillId="0" borderId="0" xfId="543" applyFont="1" applyAlignment="1">
      <alignment horizontal="right" vertical="top" wrapText="1"/>
    </xf>
    <xf numFmtId="0" fontId="42" fillId="0" borderId="2" xfId="543" applyFont="1" applyBorder="1" applyAlignment="1">
      <alignment horizontal="right" vertical="top" wrapText="1"/>
    </xf>
    <xf numFmtId="0" fontId="27" fillId="0" borderId="0" xfId="0" applyFont="1"/>
    <xf numFmtId="0" fontId="71" fillId="0" borderId="0" xfId="0" applyFont="1"/>
    <xf numFmtId="0" fontId="69" fillId="0" borderId="0" xfId="0" applyFont="1"/>
    <xf numFmtId="0" fontId="4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9" fillId="0" borderId="0" xfId="0" applyNumberFormat="1" applyFont="1" applyAlignment="1">
      <alignment horizontal="center"/>
    </xf>
    <xf numFmtId="3" fontId="31" fillId="0" borderId="0" xfId="0" applyNumberFormat="1" applyFont="1"/>
    <xf numFmtId="0" fontId="70" fillId="0" borderId="0" xfId="0" applyFont="1"/>
    <xf numFmtId="168" fontId="27" fillId="0" borderId="0" xfId="0" applyNumberFormat="1" applyFont="1"/>
    <xf numFmtId="10" fontId="27" fillId="0" borderId="0" xfId="0" applyNumberFormat="1" applyFont="1" applyAlignment="1">
      <alignment horizontal="center"/>
    </xf>
    <xf numFmtId="3" fontId="73" fillId="0" borderId="0" xfId="0" applyNumberFormat="1" applyFont="1"/>
    <xf numFmtId="3" fontId="27" fillId="0" borderId="0" xfId="0" applyNumberFormat="1" applyFont="1"/>
    <xf numFmtId="168" fontId="70" fillId="0" borderId="0" xfId="0" applyNumberFormat="1" applyFont="1"/>
    <xf numFmtId="168" fontId="70" fillId="0" borderId="0" xfId="0" applyNumberFormat="1" applyFont="1" applyAlignment="1">
      <alignment horizontal="center"/>
    </xf>
    <xf numFmtId="0" fontId="27" fillId="5" borderId="0" xfId="0" applyFont="1" applyFill="1" applyAlignment="1">
      <alignment horizontal="left"/>
    </xf>
    <xf numFmtId="0" fontId="27" fillId="5" borderId="0" xfId="0" applyFont="1" applyFill="1"/>
    <xf numFmtId="10" fontId="27" fillId="0" borderId="0" xfId="0" applyNumberFormat="1" applyFont="1"/>
    <xf numFmtId="172" fontId="27" fillId="0" borderId="0" xfId="0" applyNumberFormat="1" applyFont="1"/>
    <xf numFmtId="172" fontId="27" fillId="0" borderId="0" xfId="0" applyNumberFormat="1" applyFont="1" applyAlignment="1">
      <alignment horizontal="center"/>
    </xf>
    <xf numFmtId="0" fontId="27" fillId="0" borderId="6" xfId="0" applyFont="1" applyBorder="1"/>
    <xf numFmtId="10" fontId="27" fillId="0" borderId="6" xfId="0" applyNumberFormat="1" applyFont="1" applyBorder="1" applyAlignment="1">
      <alignment horizontal="center"/>
    </xf>
    <xf numFmtId="3" fontId="27" fillId="0" borderId="6" xfId="0" applyNumberFormat="1" applyFont="1" applyBorder="1"/>
    <xf numFmtId="10" fontId="31" fillId="0" borderId="0" xfId="0" applyNumberFormat="1" applyFont="1" applyAlignment="1">
      <alignment horizontal="center"/>
    </xf>
    <xf numFmtId="3" fontId="31" fillId="0" borderId="0" xfId="0" applyNumberFormat="1" applyFont="1" applyAlignment="1">
      <alignment vertical="top"/>
    </xf>
    <xf numFmtId="10" fontId="29" fillId="0" borderId="0" xfId="0" applyNumberFormat="1" applyFont="1" applyAlignment="1">
      <alignment horizontal="center"/>
    </xf>
    <xf numFmtId="0" fontId="69" fillId="0" borderId="6" xfId="0" applyFont="1" applyBorder="1" applyAlignment="1">
      <alignment horizontal="center"/>
    </xf>
    <xf numFmtId="172" fontId="31" fillId="0" borderId="0" xfId="0" applyNumberFormat="1" applyFont="1" applyAlignment="1">
      <alignment horizontal="center"/>
    </xf>
    <xf numFmtId="10" fontId="74" fillId="0" borderId="0" xfId="0" applyNumberFormat="1" applyFont="1" applyAlignment="1">
      <alignment horizontal="center"/>
    </xf>
    <xf numFmtId="0" fontId="31" fillId="9" borderId="6" xfId="0" applyFont="1" applyFill="1" applyBorder="1"/>
    <xf numFmtId="0" fontId="31" fillId="0" borderId="4" xfId="271" applyBorder="1"/>
    <xf numFmtId="0" fontId="31" fillId="0" borderId="6" xfId="271" applyBorder="1"/>
    <xf numFmtId="0" fontId="31" fillId="0" borderId="1" xfId="0" applyFont="1" applyBorder="1"/>
    <xf numFmtId="168" fontId="31" fillId="0" borderId="3" xfId="0" applyNumberFormat="1" applyFont="1" applyBorder="1" applyAlignment="1">
      <alignment vertical="top"/>
    </xf>
    <xf numFmtId="168" fontId="31" fillId="0" borderId="4" xfId="0" applyNumberFormat="1" applyFont="1" applyBorder="1" applyAlignment="1">
      <alignment vertical="top"/>
    </xf>
    <xf numFmtId="168" fontId="31" fillId="0" borderId="5" xfId="0" applyNumberFormat="1" applyFont="1" applyBorder="1" applyAlignment="1">
      <alignment vertical="top"/>
    </xf>
    <xf numFmtId="168" fontId="31" fillId="0" borderId="8" xfId="0" applyNumberFormat="1" applyFont="1" applyBorder="1" applyAlignment="1">
      <alignment vertical="top"/>
    </xf>
    <xf numFmtId="168" fontId="31" fillId="0" borderId="0" xfId="0" applyNumberFormat="1" applyFont="1" applyAlignment="1">
      <alignment vertical="top"/>
    </xf>
    <xf numFmtId="0" fontId="31" fillId="0" borderId="0" xfId="0" applyFont="1" applyAlignment="1">
      <alignment horizontal="right" vertical="top"/>
    </xf>
    <xf numFmtId="0" fontId="31" fillId="0" borderId="12" xfId="0" applyFont="1" applyBorder="1" applyAlignment="1">
      <alignment horizontal="right" vertical="top"/>
    </xf>
    <xf numFmtId="0" fontId="0" fillId="5" borderId="4" xfId="0" applyFill="1" applyBorder="1" applyAlignment="1" applyProtection="1">
      <alignment horizontal="left"/>
      <protection locked="0"/>
    </xf>
    <xf numFmtId="0" fontId="31" fillId="5" borderId="4" xfId="0" applyFont="1" applyFill="1" applyBorder="1" applyAlignment="1" applyProtection="1">
      <alignment horizontal="left" vertical="top"/>
      <protection locked="0"/>
    </xf>
    <xf numFmtId="0" fontId="31" fillId="5" borderId="5" xfId="0" applyFont="1" applyFill="1" applyBorder="1" applyAlignment="1" applyProtection="1">
      <alignment horizontal="left" vertical="top"/>
      <protection locked="0"/>
    </xf>
    <xf numFmtId="4" fontId="56" fillId="0" borderId="0" xfId="0" applyNumberFormat="1" applyFont="1" applyAlignment="1">
      <alignment horizontal="center"/>
    </xf>
    <xf numFmtId="0" fontId="41" fillId="0" borderId="1" xfId="543" applyFont="1" applyBorder="1" applyAlignment="1">
      <alignment horizontal="left" vertical="top" wrapText="1"/>
    </xf>
    <xf numFmtId="0" fontId="41" fillId="0" borderId="12" xfId="543" applyFont="1" applyBorder="1" applyAlignment="1">
      <alignment horizontal="center" vertical="top" wrapText="1"/>
    </xf>
    <xf numFmtId="0" fontId="41" fillId="0" borderId="8" xfId="543" applyFont="1" applyBorder="1" applyAlignment="1">
      <alignment horizontal="left" vertical="top" wrapText="1"/>
    </xf>
    <xf numFmtId="0" fontId="36" fillId="3" borderId="4" xfId="271" applyFont="1" applyFill="1" applyBorder="1" applyAlignment="1">
      <alignment vertical="top" wrapText="1"/>
    </xf>
    <xf numFmtId="0" fontId="28" fillId="3" borderId="11" xfId="271" applyFont="1" applyFill="1" applyBorder="1" applyAlignment="1">
      <alignment vertical="top"/>
    </xf>
    <xf numFmtId="0" fontId="29" fillId="0" borderId="9" xfId="271" applyFont="1" applyBorder="1" applyAlignment="1">
      <alignment horizontal="center" wrapText="1"/>
    </xf>
    <xf numFmtId="0" fontId="36" fillId="3" borderId="4" xfId="271" applyFont="1" applyFill="1" applyBorder="1" applyAlignment="1" applyProtection="1">
      <alignment vertical="top" wrapText="1"/>
      <protection locked="0"/>
    </xf>
    <xf numFmtId="0" fontId="36" fillId="3" borderId="5" xfId="271" applyFont="1" applyFill="1" applyBorder="1" applyAlignment="1" applyProtection="1">
      <alignment vertical="top" wrapText="1"/>
      <protection locked="0"/>
    </xf>
    <xf numFmtId="0" fontId="29" fillId="0" borderId="13" xfId="271" applyFont="1" applyBorder="1" applyAlignment="1">
      <alignment horizontal="center" wrapText="1"/>
    </xf>
    <xf numFmtId="0" fontId="54" fillId="2" borderId="11" xfId="271" applyFont="1" applyFill="1" applyBorder="1" applyAlignment="1">
      <alignment horizontal="left" vertical="top" wrapText="1"/>
    </xf>
    <xf numFmtId="0" fontId="31" fillId="0" borderId="11" xfId="271" applyBorder="1" applyAlignment="1" applyProtection="1">
      <alignment vertical="top" wrapText="1"/>
      <protection locked="0"/>
    </xf>
    <xf numFmtId="168" fontId="31" fillId="5" borderId="11" xfId="271" applyNumberFormat="1" applyFill="1" applyBorder="1" applyAlignment="1" applyProtection="1">
      <alignment vertical="top" wrapText="1"/>
      <protection locked="0"/>
    </xf>
    <xf numFmtId="0" fontId="31" fillId="5" borderId="3" xfId="271" applyFill="1" applyBorder="1" applyAlignment="1" applyProtection="1">
      <alignment vertical="top" wrapText="1"/>
      <protection locked="0"/>
    </xf>
    <xf numFmtId="0" fontId="31" fillId="5" borderId="11" xfId="271" applyFill="1" applyBorder="1" applyAlignment="1" applyProtection="1">
      <alignment vertical="top" wrapText="1"/>
      <protection locked="0"/>
    </xf>
    <xf numFmtId="0" fontId="31" fillId="0" borderId="11" xfId="271" applyBorder="1" applyAlignment="1">
      <alignment horizontal="right" vertical="top" wrapText="1"/>
    </xf>
    <xf numFmtId="168" fontId="31" fillId="0" borderId="11" xfId="271" applyNumberFormat="1" applyBorder="1" applyAlignment="1">
      <alignment vertical="top" wrapText="1"/>
    </xf>
    <xf numFmtId="0" fontId="29" fillId="0" borderId="11" xfId="271" applyFont="1" applyBorder="1" applyAlignment="1">
      <alignment horizontal="right" vertical="top" wrapText="1"/>
    </xf>
    <xf numFmtId="0" fontId="31" fillId="5" borderId="11" xfId="271" applyFill="1" applyBorder="1" applyAlignment="1" applyProtection="1">
      <alignment horizontal="right" vertical="top" wrapText="1"/>
      <protection locked="0"/>
    </xf>
    <xf numFmtId="168" fontId="29" fillId="0" borderId="11" xfId="271" applyNumberFormat="1" applyFont="1" applyBorder="1" applyAlignment="1">
      <alignment vertical="top" wrapText="1"/>
    </xf>
    <xf numFmtId="0" fontId="39" fillId="0" borderId="11" xfId="271" applyFont="1" applyBorder="1" applyAlignment="1">
      <alignment horizontal="right" vertical="top" wrapText="1"/>
    </xf>
    <xf numFmtId="0" fontId="36" fillId="0" borderId="0" xfId="271" applyFont="1" applyAlignment="1" applyProtection="1">
      <alignment vertical="top" wrapText="1"/>
      <protection locked="0"/>
    </xf>
    <xf numFmtId="0" fontId="31" fillId="0" borderId="5" xfId="271" applyBorder="1" applyAlignment="1" applyProtection="1">
      <alignment vertical="top" wrapText="1"/>
      <protection locked="0"/>
    </xf>
    <xf numFmtId="0" fontId="29" fillId="0" borderId="3" xfId="271" applyFont="1" applyBorder="1" applyAlignment="1">
      <alignment horizontal="left" vertical="top"/>
    </xf>
    <xf numFmtId="0" fontId="31" fillId="0" borderId="4" xfId="271" applyBorder="1" applyAlignment="1" applyProtection="1">
      <alignment horizontal="left" vertical="top"/>
      <protection locked="0"/>
    </xf>
    <xf numFmtId="0" fontId="31" fillId="0" borderId="4" xfId="271" applyBorder="1" applyAlignment="1" applyProtection="1">
      <alignment vertical="top" wrapText="1"/>
      <protection locked="0"/>
    </xf>
    <xf numFmtId="0" fontId="36" fillId="0" borderId="0" xfId="271" applyFont="1" applyAlignment="1">
      <alignment vertical="top" wrapText="1"/>
    </xf>
    <xf numFmtId="0" fontId="31" fillId="0" borderId="4" xfId="271" applyBorder="1" applyAlignment="1">
      <alignment vertical="top" wrapText="1"/>
    </xf>
    <xf numFmtId="0" fontId="54" fillId="2" borderId="11" xfId="271" applyFont="1" applyFill="1" applyBorder="1" applyAlignment="1" applyProtection="1">
      <alignment horizontal="left" vertical="top" wrapText="1"/>
      <protection locked="0"/>
    </xf>
    <xf numFmtId="0" fontId="58" fillId="0" borderId="11" xfId="0" applyFont="1" applyBorder="1" applyAlignment="1">
      <alignment horizontal="right" vertical="top" wrapText="1"/>
    </xf>
    <xf numFmtId="0" fontId="31" fillId="8" borderId="0" xfId="542" quotePrefix="1" applyFont="1" applyFill="1" applyAlignment="1">
      <alignment horizontal="left"/>
    </xf>
    <xf numFmtId="0" fontId="31" fillId="8" borderId="0" xfId="542" applyFont="1" applyFill="1"/>
    <xf numFmtId="0" fontId="39" fillId="8" borderId="0" xfId="542" applyFont="1" applyFill="1"/>
    <xf numFmtId="0" fontId="58" fillId="0" borderId="11" xfId="271" applyFont="1" applyBorder="1" applyAlignment="1">
      <alignment horizontal="right" vertical="top"/>
    </xf>
    <xf numFmtId="0" fontId="58" fillId="0" borderId="11" xfId="271" applyFont="1" applyBorder="1" applyAlignment="1">
      <alignment horizontal="right" vertical="top" wrapText="1"/>
    </xf>
    <xf numFmtId="0" fontId="31" fillId="0" borderId="0" xfId="271" applyAlignment="1">
      <alignment horizontal="left" vertical="top"/>
    </xf>
    <xf numFmtId="0" fontId="29" fillId="0" borderId="0" xfId="271" applyFont="1" applyAlignment="1">
      <alignment horizontal="right"/>
    </xf>
    <xf numFmtId="0" fontId="30" fillId="0" borderId="0" xfId="271" applyFont="1" applyAlignment="1">
      <alignment horizontal="center"/>
    </xf>
    <xf numFmtId="5" fontId="31" fillId="0" borderId="0" xfId="542" applyNumberFormat="1" applyFont="1"/>
    <xf numFmtId="1" fontId="31" fillId="0" borderId="15" xfId="271" applyNumberFormat="1" applyBorder="1"/>
    <xf numFmtId="1" fontId="31" fillId="0" borderId="14" xfId="271" applyNumberFormat="1" applyBorder="1"/>
    <xf numFmtId="0" fontId="30" fillId="0" borderId="6" xfId="271" applyFont="1" applyBorder="1" applyAlignment="1">
      <alignment horizontal="left"/>
    </xf>
    <xf numFmtId="0" fontId="30" fillId="0" borderId="6" xfId="271" applyFont="1" applyBorder="1" applyAlignment="1">
      <alignment horizontal="right"/>
    </xf>
    <xf numFmtId="165" fontId="31" fillId="0" borderId="0" xfId="271" applyNumberFormat="1"/>
    <xf numFmtId="170" fontId="31" fillId="0" borderId="14" xfId="271" applyNumberFormat="1" applyBorder="1"/>
    <xf numFmtId="1" fontId="29" fillId="0" borderId="11" xfId="271" applyNumberFormat="1" applyFont="1" applyBorder="1"/>
    <xf numFmtId="165" fontId="29" fillId="0" borderId="11" xfId="271" applyNumberFormat="1" applyFont="1" applyBorder="1"/>
    <xf numFmtId="3" fontId="61" fillId="0" borderId="11" xfId="0" applyNumberFormat="1" applyFont="1" applyBorder="1" applyAlignment="1">
      <alignment vertical="top" wrapText="1"/>
    </xf>
    <xf numFmtId="166" fontId="31" fillId="0" borderId="0" xfId="0" applyNumberFormat="1" applyFont="1"/>
    <xf numFmtId="0" fontId="0" fillId="0" borderId="0" xfId="0" applyProtection="1">
      <protection locked="0"/>
    </xf>
    <xf numFmtId="0" fontId="27" fillId="0" borderId="0" xfId="0" applyFont="1" applyProtection="1">
      <protection locked="0"/>
    </xf>
    <xf numFmtId="0" fontId="27" fillId="0" borderId="0" xfId="271" applyFont="1" applyProtection="1">
      <protection locked="0"/>
    </xf>
    <xf numFmtId="168" fontId="27" fillId="0" borderId="0" xfId="271" applyNumberFormat="1" applyFont="1" applyProtection="1">
      <protection locked="0"/>
    </xf>
    <xf numFmtId="0" fontId="35" fillId="0" borderId="1" xfId="0" applyFont="1" applyBorder="1"/>
    <xf numFmtId="0" fontId="22" fillId="0" borderId="2" xfId="0" applyFont="1" applyBorder="1" applyAlignment="1">
      <alignment horizontal="left"/>
    </xf>
    <xf numFmtId="0" fontId="22" fillId="0" borderId="2" xfId="0" applyFont="1" applyBorder="1"/>
    <xf numFmtId="0" fontId="35" fillId="0" borderId="8" xfId="0" applyFont="1" applyBorder="1"/>
    <xf numFmtId="0" fontId="35" fillId="0" borderId="9" xfId="0" applyFont="1" applyBorder="1"/>
    <xf numFmtId="0" fontId="29" fillId="0" borderId="0" xfId="0" applyFont="1" applyAlignment="1">
      <alignment horizontal="left" vertical="top"/>
    </xf>
    <xf numFmtId="0" fontId="79" fillId="0" borderId="0" xfId="0" applyFont="1" applyAlignment="1">
      <alignment vertical="center" wrapText="1"/>
    </xf>
    <xf numFmtId="0" fontId="79" fillId="0" borderId="0" xfId="0" applyFont="1" applyAlignment="1">
      <alignment vertical="center"/>
    </xf>
    <xf numFmtId="0" fontId="79" fillId="0" borderId="0" xfId="0" applyFont="1" applyAlignment="1">
      <alignment horizontal="left" vertical="center" indent="1"/>
    </xf>
    <xf numFmtId="172" fontId="31" fillId="5" borderId="0" xfId="0" applyNumberFormat="1" applyFont="1" applyFill="1" applyAlignment="1">
      <alignment horizontal="center"/>
    </xf>
    <xf numFmtId="0" fontId="80" fillId="0" borderId="0" xfId="0" applyFont="1" applyAlignment="1">
      <alignment horizontal="left" vertical="center"/>
    </xf>
    <xf numFmtId="0" fontId="41" fillId="0" borderId="2" xfId="543" applyFont="1" applyBorder="1" applyAlignment="1">
      <alignment horizontal="center" vertical="top" wrapText="1"/>
    </xf>
    <xf numFmtId="49" fontId="52" fillId="0" borderId="0" xfId="0" applyNumberFormat="1" applyFont="1" applyAlignment="1">
      <alignment horizontal="center"/>
    </xf>
    <xf numFmtId="0" fontId="58" fillId="0" borderId="0" xfId="0" applyFont="1"/>
    <xf numFmtId="5" fontId="84" fillId="0" borderId="11" xfId="541" applyNumberFormat="1" applyFont="1" applyBorder="1" applyAlignment="1" applyProtection="1">
      <alignment horizontal="center"/>
    </xf>
    <xf numFmtId="5" fontId="84" fillId="42" borderId="11" xfId="541" applyNumberFormat="1" applyFont="1" applyFill="1" applyBorder="1" applyAlignment="1" applyProtection="1">
      <alignment horizontal="center"/>
    </xf>
    <xf numFmtId="5" fontId="84" fillId="2" borderId="11" xfId="541" applyNumberFormat="1" applyFont="1" applyFill="1" applyBorder="1" applyAlignment="1" applyProtection="1">
      <alignment horizontal="center"/>
    </xf>
    <xf numFmtId="0" fontId="58" fillId="0" borderId="0" xfId="0" applyFont="1" applyAlignment="1">
      <alignment vertical="top" wrapText="1"/>
    </xf>
    <xf numFmtId="0" fontId="58" fillId="0" borderId="0" xfId="0" applyFont="1" applyAlignment="1">
      <alignment vertical="top"/>
    </xf>
    <xf numFmtId="0" fontId="58" fillId="2" borderId="0" xfId="0" applyFont="1" applyFill="1" applyAlignment="1">
      <alignment vertical="top" wrapText="1"/>
    </xf>
    <xf numFmtId="0" fontId="86" fillId="0" borderId="13" xfId="0" applyFont="1" applyBorder="1" applyAlignment="1">
      <alignment vertical="top" wrapText="1"/>
    </xf>
    <xf numFmtId="0" fontId="36" fillId="0" borderId="0" xfId="0" applyFont="1" applyAlignment="1">
      <alignment vertical="top" wrapText="1"/>
    </xf>
    <xf numFmtId="0" fontId="86" fillId="2" borderId="13" xfId="0" applyFont="1" applyFill="1" applyBorder="1" applyAlignment="1">
      <alignment vertical="top" wrapText="1"/>
    </xf>
    <xf numFmtId="0" fontId="86" fillId="0" borderId="0" xfId="0" applyFont="1" applyAlignment="1">
      <alignment vertical="top" wrapText="1"/>
    </xf>
    <xf numFmtId="0" fontId="86" fillId="2" borderId="0" xfId="0" applyFont="1" applyFill="1" applyAlignment="1">
      <alignment vertical="top" wrapText="1"/>
    </xf>
    <xf numFmtId="0" fontId="58" fillId="0" borderId="0" xfId="0" applyFont="1" applyAlignment="1">
      <alignment horizontal="right" vertical="top" wrapText="1"/>
    </xf>
    <xf numFmtId="168" fontId="58" fillId="5" borderId="6" xfId="0" applyNumberFormat="1" applyFont="1" applyFill="1" applyBorder="1" applyAlignment="1" applyProtection="1">
      <alignment horizontal="right" vertical="top" wrapText="1"/>
      <protection locked="0"/>
    </xf>
    <xf numFmtId="168" fontId="58" fillId="0" borderId="6" xfId="0" applyNumberFormat="1" applyFont="1" applyBorder="1" applyAlignment="1">
      <alignment horizontal="right" vertical="top" wrapText="1"/>
    </xf>
    <xf numFmtId="0" fontId="29" fillId="0" borderId="0" xfId="0" applyFont="1" applyAlignment="1">
      <alignment horizontal="left" vertical="top" wrapText="1"/>
    </xf>
    <xf numFmtId="0" fontId="31" fillId="0" borderId="0" xfId="0" applyFont="1" applyAlignment="1">
      <alignment horizontal="right" vertical="top" wrapText="1"/>
    </xf>
    <xf numFmtId="10" fontId="31" fillId="5" borderId="6" xfId="0" applyNumberFormat="1" applyFont="1" applyFill="1" applyBorder="1" applyAlignment="1" applyProtection="1">
      <alignment horizontal="center" vertical="top" wrapText="1"/>
      <protection locked="0"/>
    </xf>
    <xf numFmtId="0" fontId="69" fillId="0" borderId="0" xfId="0" applyFont="1" applyAlignment="1">
      <alignment horizontal="left" vertical="center"/>
    </xf>
    <xf numFmtId="0" fontId="29" fillId="0" borderId="2" xfId="543" applyFont="1" applyBorder="1" applyAlignment="1">
      <alignment horizontal="center"/>
    </xf>
    <xf numFmtId="0" fontId="0" fillId="0" borderId="0" xfId="543" applyFont="1"/>
    <xf numFmtId="0" fontId="23" fillId="0" borderId="0" xfId="244" quotePrefix="1" applyAlignment="1" applyProtection="1">
      <alignment horizontal="left"/>
    </xf>
    <xf numFmtId="168" fontId="58"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110" fillId="0" borderId="0" xfId="0" applyFont="1" applyAlignment="1">
      <alignment horizontal="left" vertical="top"/>
    </xf>
    <xf numFmtId="0" fontId="111" fillId="0" borderId="0" xfId="0" applyFont="1" applyAlignment="1">
      <alignment horizontal="left" vertical="top"/>
    </xf>
    <xf numFmtId="0" fontId="79" fillId="0" borderId="0" xfId="0" applyFont="1"/>
    <xf numFmtId="0" fontId="29" fillId="8" borderId="11" xfId="542" applyFont="1" applyFill="1" applyBorder="1" applyAlignment="1">
      <alignment horizontal="left"/>
    </xf>
    <xf numFmtId="0" fontId="29" fillId="8" borderId="11" xfId="542" applyFont="1" applyFill="1" applyBorder="1" applyAlignment="1">
      <alignment horizontal="center"/>
    </xf>
    <xf numFmtId="0" fontId="68" fillId="8" borderId="11" xfId="542" applyFont="1" applyFill="1" applyBorder="1" applyAlignment="1">
      <alignment horizontal="left"/>
    </xf>
    <xf numFmtId="0" fontId="68" fillId="0" borderId="11" xfId="542" applyFont="1" applyBorder="1" applyAlignment="1">
      <alignment horizontal="left"/>
    </xf>
    <xf numFmtId="0" fontId="29" fillId="0" borderId="0" xfId="271" applyFont="1" applyAlignment="1" applyProtection="1">
      <alignment horizontal="center" wrapText="1"/>
      <protection locked="0"/>
    </xf>
    <xf numFmtId="0" fontId="31" fillId="0" borderId="0" xfId="271" applyAlignment="1" applyProtection="1">
      <alignment vertical="top" wrapText="1"/>
      <protection locked="0"/>
    </xf>
    <xf numFmtId="0" fontId="29" fillId="0" borderId="0" xfId="271" applyFont="1" applyAlignment="1" applyProtection="1">
      <alignment vertical="top" wrapText="1"/>
      <protection locked="0"/>
    </xf>
    <xf numFmtId="0" fontId="22" fillId="0" borderId="0" xfId="0" applyFont="1" applyAlignment="1">
      <alignment horizontal="center"/>
    </xf>
    <xf numFmtId="0" fontId="36" fillId="0" borderId="8" xfId="569" applyFont="1" applyBorder="1" applyAlignment="1">
      <alignment vertical="top" wrapText="1"/>
    </xf>
    <xf numFmtId="0" fontId="36" fillId="0" borderId="0" xfId="569" applyFont="1" applyAlignment="1">
      <alignment vertical="top" wrapText="1"/>
    </xf>
    <xf numFmtId="0" fontId="60" fillId="2" borderId="11" xfId="569" applyFont="1" applyFill="1" applyBorder="1" applyAlignment="1">
      <alignment horizontal="left" vertical="top" wrapText="1"/>
    </xf>
    <xf numFmtId="6" fontId="58" fillId="4" borderId="11" xfId="569" applyNumberFormat="1" applyFont="1" applyFill="1" applyBorder="1" applyAlignment="1">
      <alignment vertical="top" wrapText="1"/>
    </xf>
    <xf numFmtId="0" fontId="58" fillId="0" borderId="8" xfId="569" applyFont="1" applyBorder="1" applyAlignment="1">
      <alignment vertical="top" wrapText="1"/>
    </xf>
    <xf numFmtId="0" fontId="58" fillId="0" borderId="0" xfId="569" applyFont="1" applyAlignment="1">
      <alignment vertical="top" wrapText="1"/>
    </xf>
    <xf numFmtId="6" fontId="58" fillId="0" borderId="11" xfId="569" applyNumberFormat="1" applyFont="1" applyBorder="1" applyAlignment="1">
      <alignment vertical="top" wrapText="1"/>
    </xf>
    <xf numFmtId="6" fontId="58" fillId="5" borderId="11" xfId="569" applyNumberFormat="1" applyFont="1" applyFill="1" applyBorder="1" applyAlignment="1" applyProtection="1">
      <alignment vertical="top" wrapText="1"/>
      <protection locked="0"/>
    </xf>
    <xf numFmtId="6" fontId="58" fillId="6" borderId="11" xfId="569" applyNumberFormat="1" applyFont="1" applyFill="1" applyBorder="1" applyAlignment="1">
      <alignment horizontal="center" vertical="top" wrapText="1"/>
    </xf>
    <xf numFmtId="0" fontId="58" fillId="0" borderId="11" xfId="569" applyFont="1" applyBorder="1" applyAlignment="1">
      <alignment horizontal="right" vertical="top" wrapText="1"/>
    </xf>
    <xf numFmtId="0" fontId="59" fillId="0" borderId="11" xfId="569" applyFont="1" applyBorder="1" applyAlignment="1">
      <alignment horizontal="right" vertical="top" wrapText="1"/>
    </xf>
    <xf numFmtId="0" fontId="58" fillId="0" borderId="11" xfId="569" applyFont="1" applyBorder="1" applyAlignment="1">
      <alignment horizontal="right" vertical="top"/>
    </xf>
    <xf numFmtId="6" fontId="59" fillId="0" borderId="11" xfId="569" applyNumberFormat="1" applyFont="1" applyBorder="1" applyAlignment="1">
      <alignment vertical="top" wrapText="1"/>
    </xf>
    <xf numFmtId="0" fontId="59" fillId="0" borderId="8" xfId="569" applyFont="1" applyBorder="1" applyAlignment="1">
      <alignment vertical="top" wrapText="1"/>
    </xf>
    <xf numFmtId="0" fontId="59" fillId="0" borderId="0" xfId="569" applyFont="1" applyAlignment="1">
      <alignment vertical="top" wrapText="1"/>
    </xf>
    <xf numFmtId="0" fontId="25" fillId="0" borderId="11" xfId="569" applyFont="1" applyBorder="1" applyAlignment="1">
      <alignment horizontal="right" vertical="top" wrapText="1"/>
    </xf>
    <xf numFmtId="0" fontId="59" fillId="0" borderId="0" xfId="569" applyFont="1" applyAlignment="1">
      <alignment horizontal="left" vertical="top"/>
    </xf>
    <xf numFmtId="6" fontId="58" fillId="0" borderId="0" xfId="569" applyNumberFormat="1" applyFont="1" applyAlignment="1">
      <alignment horizontal="left" vertical="top"/>
    </xf>
    <xf numFmtId="0" fontId="111" fillId="0" borderId="0" xfId="569" applyFont="1" applyAlignment="1">
      <alignment horizontal="left" vertical="top"/>
    </xf>
    <xf numFmtId="6" fontId="58" fillId="0" borderId="0" xfId="569" applyNumberFormat="1" applyFont="1" applyAlignment="1">
      <alignment vertical="top" wrapText="1"/>
    </xf>
    <xf numFmtId="0" fontId="58" fillId="0" borderId="0" xfId="569" applyFont="1" applyAlignment="1">
      <alignment horizontal="left" vertical="top"/>
    </xf>
    <xf numFmtId="0" fontId="58" fillId="0" borderId="12" xfId="569" applyFont="1" applyBorder="1" applyAlignment="1">
      <alignment vertical="top" wrapText="1"/>
    </xf>
    <xf numFmtId="0" fontId="29" fillId="0" borderId="0" xfId="569" applyFont="1" applyAlignment="1">
      <alignment horizontal="left" vertical="top"/>
    </xf>
    <xf numFmtId="0" fontId="114" fillId="0" borderId="0" xfId="569" applyFont="1" applyAlignment="1">
      <alignment horizontal="left" vertical="top"/>
    </xf>
    <xf numFmtId="0" fontId="69" fillId="0" borderId="0" xfId="569" applyFont="1" applyAlignment="1">
      <alignment horizontal="left" vertical="center"/>
    </xf>
    <xf numFmtId="0" fontId="37" fillId="0" borderId="0" xfId="569" applyFont="1" applyAlignment="1">
      <alignment vertical="top" wrapText="1"/>
    </xf>
    <xf numFmtId="0" fontId="37" fillId="0" borderId="12" xfId="569" applyFont="1" applyBorder="1" applyAlignment="1">
      <alignment vertical="top" wrapText="1"/>
    </xf>
    <xf numFmtId="0" fontId="37" fillId="0" borderId="8" xfId="569" applyFont="1" applyBorder="1" applyAlignment="1">
      <alignment vertical="top" wrapText="1"/>
    </xf>
    <xf numFmtId="0" fontId="58" fillId="0" borderId="0" xfId="569" applyFont="1" applyAlignment="1">
      <alignment vertical="top"/>
    </xf>
    <xf numFmtId="168" fontId="58" fillId="0" borderId="0" xfId="569" applyNumberFormat="1" applyFont="1" applyAlignment="1" applyProtection="1">
      <alignment horizontal="right" vertical="top" wrapText="1"/>
      <protection locked="0"/>
    </xf>
    <xf numFmtId="0" fontId="22" fillId="0" borderId="0" xfId="569" applyAlignment="1">
      <alignment vertical="top" wrapText="1"/>
    </xf>
    <xf numFmtId="0" fontId="22" fillId="0" borderId="0" xfId="569" applyAlignment="1">
      <alignment vertical="top"/>
    </xf>
    <xf numFmtId="0" fontId="58" fillId="0" borderId="0" xfId="569" applyFont="1" applyAlignment="1">
      <alignment horizontal="right" vertical="top" wrapText="1"/>
    </xf>
    <xf numFmtId="0" fontId="29" fillId="0" borderId="0" xfId="569" applyFont="1" applyAlignment="1">
      <alignment horizontal="left" vertical="top" wrapText="1"/>
    </xf>
    <xf numFmtId="168" fontId="58" fillId="0" borderId="0" xfId="569" applyNumberFormat="1" applyFont="1" applyAlignment="1">
      <alignment horizontal="right" vertical="top" wrapText="1"/>
    </xf>
    <xf numFmtId="0" fontId="22" fillId="0" borderId="0" xfId="569" applyAlignment="1" applyProtection="1">
      <alignment horizontal="left" vertical="top" wrapText="1"/>
      <protection locked="0"/>
    </xf>
    <xf numFmtId="0" fontId="22" fillId="0" borderId="0" xfId="569" applyAlignment="1">
      <alignment horizontal="right" vertical="top" wrapText="1"/>
    </xf>
    <xf numFmtId="0" fontId="22" fillId="0" borderId="0" xfId="569" applyAlignment="1">
      <alignment horizontal="left" vertical="top"/>
    </xf>
    <xf numFmtId="0" fontId="86" fillId="0" borderId="0" xfId="569" applyFont="1" applyAlignment="1">
      <alignment vertical="top" wrapText="1"/>
    </xf>
    <xf numFmtId="0" fontId="86" fillId="0" borderId="12" xfId="569" applyFont="1" applyBorder="1" applyAlignment="1">
      <alignment vertical="top" wrapText="1"/>
    </xf>
    <xf numFmtId="0" fontId="86" fillId="0" borderId="8" xfId="569" applyFont="1" applyBorder="1" applyAlignment="1">
      <alignment vertical="top" wrapText="1"/>
    </xf>
    <xf numFmtId="0" fontId="36" fillId="0" borderId="0" xfId="569" applyFont="1" applyAlignment="1">
      <alignment horizontal="right" vertical="top" wrapText="1"/>
    </xf>
    <xf numFmtId="0" fontId="86" fillId="0" borderId="0" xfId="569" applyFont="1" applyAlignment="1">
      <alignment horizontal="right" vertical="top" wrapText="1"/>
    </xf>
    <xf numFmtId="0" fontId="59" fillId="0" borderId="3" xfId="569" applyFont="1" applyBorder="1" applyAlignment="1">
      <alignment horizontal="left"/>
    </xf>
    <xf numFmtId="0" fontId="59" fillId="0" borderId="13" xfId="569" applyFont="1" applyBorder="1" applyAlignment="1">
      <alignment horizontal="center" wrapText="1"/>
    </xf>
    <xf numFmtId="0" fontId="59" fillId="0" borderId="8" xfId="569" applyFont="1" applyBorder="1" applyAlignment="1">
      <alignment horizontal="center" wrapText="1"/>
    </xf>
    <xf numFmtId="0" fontId="59" fillId="0" borderId="0" xfId="569" applyFont="1" applyAlignment="1">
      <alignment horizontal="center" wrapText="1"/>
    </xf>
    <xf numFmtId="0" fontId="22" fillId="0" borderId="0" xfId="569"/>
    <xf numFmtId="0" fontId="28" fillId="0" borderId="0" xfId="569" applyFont="1" applyAlignment="1">
      <alignment horizontal="center" vertical="center"/>
    </xf>
    <xf numFmtId="0" fontId="29" fillId="0" borderId="0" xfId="569" applyFont="1"/>
    <xf numFmtId="0" fontId="22" fillId="0" borderId="1" xfId="569" applyBorder="1"/>
    <xf numFmtId="0" fontId="22" fillId="0" borderId="2" xfId="569" applyBorder="1"/>
    <xf numFmtId="0" fontId="22" fillId="0" borderId="8" xfId="569" applyBorder="1"/>
    <xf numFmtId="0" fontId="22" fillId="0" borderId="9" xfId="569" applyBorder="1"/>
    <xf numFmtId="0" fontId="22" fillId="0" borderId="6" xfId="569" applyBorder="1"/>
    <xf numFmtId="0" fontId="30" fillId="0" borderId="0" xfId="569" applyFont="1"/>
    <xf numFmtId="0" fontId="22" fillId="0" borderId="7" xfId="569" applyBorder="1"/>
    <xf numFmtId="0" fontId="22" fillId="0" borderId="12" xfId="569" applyBorder="1"/>
    <xf numFmtId="0" fontId="22" fillId="0" borderId="10" xfId="569" applyBorder="1"/>
    <xf numFmtId="0" fontId="30" fillId="0" borderId="0" xfId="569" applyFont="1" applyAlignment="1">
      <alignment vertical="top" wrapText="1"/>
    </xf>
    <xf numFmtId="0" fontId="22" fillId="0" borderId="0" xfId="569" applyAlignment="1">
      <alignment horizontal="right"/>
    </xf>
    <xf numFmtId="0" fontId="22" fillId="0" borderId="0" xfId="569" applyAlignment="1">
      <alignment wrapText="1"/>
    </xf>
    <xf numFmtId="0" fontId="22" fillId="0" borderId="0" xfId="569" applyAlignment="1">
      <alignment vertical="center"/>
    </xf>
    <xf numFmtId="0" fontId="46" fillId="0" borderId="0" xfId="569" applyFont="1" applyAlignment="1">
      <alignment vertical="center" wrapText="1"/>
    </xf>
    <xf numFmtId="0" fontId="40" fillId="0" borderId="0" xfId="569" applyFont="1" applyAlignment="1">
      <alignment vertical="top" wrapText="1"/>
    </xf>
    <xf numFmtId="0" fontId="29" fillId="0" borderId="0" xfId="569" applyFont="1" applyAlignment="1">
      <alignment vertical="top" wrapText="1"/>
    </xf>
    <xf numFmtId="0" fontId="30" fillId="0" borderId="0" xfId="569" applyFont="1" applyAlignment="1">
      <alignment horizontal="left" vertical="top" wrapText="1"/>
    </xf>
    <xf numFmtId="164" fontId="22" fillId="0" borderId="0" xfId="569" applyNumberFormat="1" applyAlignment="1">
      <alignment horizontal="right"/>
    </xf>
    <xf numFmtId="168" fontId="22" fillId="0" borderId="0" xfId="569" applyNumberFormat="1" applyAlignment="1">
      <alignment horizontal="right"/>
    </xf>
    <xf numFmtId="0" fontId="112" fillId="0" borderId="0" xfId="569" applyFont="1" applyAlignment="1">
      <alignment horizontal="left" vertical="top" wrapText="1"/>
    </xf>
    <xf numFmtId="168" fontId="22" fillId="0" borderId="0" xfId="569" applyNumberFormat="1" applyAlignment="1">
      <alignment wrapText="1"/>
    </xf>
    <xf numFmtId="0" fontId="27" fillId="0" borderId="11" xfId="253" applyFont="1" applyBorder="1" applyAlignment="1">
      <alignment horizontal="center" wrapText="1"/>
    </xf>
    <xf numFmtId="0" fontId="27" fillId="0" borderId="0" xfId="253" applyFont="1" applyAlignment="1">
      <alignment horizontal="center" wrapText="1"/>
    </xf>
    <xf numFmtId="3" fontId="27" fillId="0" borderId="11" xfId="271" applyNumberFormat="1" applyFont="1" applyBorder="1"/>
    <xf numFmtId="3" fontId="27" fillId="0" borderId="0" xfId="271" applyNumberFormat="1" applyFont="1"/>
    <xf numFmtId="0" fontId="70" fillId="0" borderId="0" xfId="271" applyFont="1" applyAlignment="1">
      <alignment horizontal="left"/>
    </xf>
    <xf numFmtId="0" fontId="70" fillId="0" borderId="0" xfId="271" applyFont="1" applyAlignment="1">
      <alignment horizontal="right"/>
    </xf>
    <xf numFmtId="168" fontId="27" fillId="0" borderId="11" xfId="271" applyNumberFormat="1" applyFont="1" applyBorder="1"/>
    <xf numFmtId="168" fontId="27" fillId="0" borderId="0" xfId="271" applyNumberFormat="1" applyFont="1"/>
    <xf numFmtId="0" fontId="58" fillId="0" borderId="0" xfId="569" applyFont="1" applyAlignment="1">
      <alignment horizontal="left"/>
    </xf>
    <xf numFmtId="0" fontId="22" fillId="0" borderId="3" xfId="569" applyBorder="1"/>
    <xf numFmtId="0" fontId="113" fillId="0" borderId="0" xfId="1834"/>
    <xf numFmtId="0" fontId="0" fillId="0" borderId="0" xfId="0" applyAlignment="1">
      <alignment horizontal="left" vertical="top"/>
    </xf>
    <xf numFmtId="0" fontId="112" fillId="0" borderId="0" xfId="0" applyFont="1" applyAlignment="1">
      <alignment vertical="top" wrapText="1"/>
    </xf>
    <xf numFmtId="0" fontId="58" fillId="0" borderId="0" xfId="271" applyFont="1" applyAlignment="1">
      <alignment vertical="top" wrapText="1"/>
    </xf>
    <xf numFmtId="4" fontId="22" fillId="0" borderId="0" xfId="1192" applyNumberFormat="1" applyAlignment="1">
      <alignment horizontal="left" vertical="top" wrapText="1"/>
    </xf>
    <xf numFmtId="0" fontId="22" fillId="0" borderId="0" xfId="0" applyFont="1" applyAlignment="1">
      <alignment horizontal="left" vertical="top" wrapText="1"/>
    </xf>
    <xf numFmtId="0" fontId="29" fillId="0" borderId="12" xfId="543" applyFont="1" applyBorder="1" applyAlignment="1">
      <alignment horizontal="right"/>
    </xf>
    <xf numFmtId="0" fontId="41" fillId="0" borderId="0" xfId="543" applyFont="1" applyAlignment="1">
      <alignment horizontal="center"/>
    </xf>
    <xf numFmtId="4" fontId="22" fillId="0" borderId="0" xfId="569" applyNumberFormat="1" applyAlignment="1">
      <alignment horizontal="left"/>
    </xf>
    <xf numFmtId="0" fontId="22" fillId="0" borderId="0" xfId="569" applyAlignment="1">
      <alignment horizontal="left" vertical="top" wrapText="1"/>
    </xf>
    <xf numFmtId="0" fontId="22" fillId="0" borderId="0" xfId="569" applyAlignment="1">
      <alignment horizontal="left"/>
    </xf>
    <xf numFmtId="0" fontId="22" fillId="0" borderId="0" xfId="1192" applyAlignment="1">
      <alignment horizontal="left"/>
    </xf>
    <xf numFmtId="0" fontId="29" fillId="0" borderId="0" xfId="569" applyFont="1" applyAlignment="1">
      <alignment horizontal="left"/>
    </xf>
    <xf numFmtId="0" fontId="51" fillId="0" borderId="0" xfId="1192" applyFont="1"/>
    <xf numFmtId="0" fontId="58" fillId="0" borderId="11" xfId="0" applyFont="1" applyBorder="1" applyAlignment="1">
      <alignment horizontal="right" vertical="center"/>
    </xf>
    <xf numFmtId="0" fontId="22" fillId="0" borderId="0" xfId="1192" applyAlignment="1">
      <alignment horizontal="left" vertical="top" wrapText="1"/>
    </xf>
    <xf numFmtId="0" fontId="51" fillId="0" borderId="0" xfId="0" applyFont="1" applyAlignment="1">
      <alignment vertical="top" wrapText="1"/>
    </xf>
    <xf numFmtId="0" fontId="51" fillId="0" borderId="0" xfId="0" applyFont="1" applyAlignment="1">
      <alignment horizontal="left" vertical="top" wrapText="1"/>
    </xf>
    <xf numFmtId="6" fontId="59" fillId="0" borderId="0" xfId="569" applyNumberFormat="1" applyFont="1" applyAlignment="1">
      <alignment horizontal="right" vertical="top"/>
    </xf>
    <xf numFmtId="0" fontId="22" fillId="0" borderId="0" xfId="0" applyFont="1" applyAlignment="1">
      <alignment vertical="top" wrapText="1"/>
    </xf>
    <xf numFmtId="168" fontId="31" fillId="0" borderId="0" xfId="0" applyNumberFormat="1" applyFont="1" applyAlignment="1">
      <alignment horizontal="right"/>
    </xf>
    <xf numFmtId="168" fontId="31" fillId="0" borderId="28" xfId="540" applyNumberFormat="1" applyBorder="1" applyAlignment="1" applyProtection="1">
      <alignment horizontal="center"/>
    </xf>
    <xf numFmtId="168" fontId="31" fillId="0" borderId="29" xfId="540" applyNumberFormat="1" applyBorder="1" applyAlignment="1" applyProtection="1">
      <alignment horizontal="center"/>
    </xf>
    <xf numFmtId="168" fontId="31" fillId="0" borderId="30" xfId="540" applyNumberFormat="1" applyBorder="1" applyAlignment="1" applyProtection="1">
      <alignment horizontal="center"/>
    </xf>
    <xf numFmtId="168" fontId="31" fillId="0" borderId="31" xfId="540" applyNumberFormat="1" applyBorder="1" applyAlignment="1" applyProtection="1">
      <alignment horizontal="center"/>
    </xf>
    <xf numFmtId="168" fontId="31" fillId="0" borderId="32" xfId="540" applyNumberFormat="1" applyBorder="1" applyAlignment="1" applyProtection="1">
      <alignment horizontal="center"/>
    </xf>
    <xf numFmtId="168" fontId="31" fillId="0" borderId="33" xfId="540" applyNumberFormat="1" applyBorder="1" applyAlignment="1" applyProtection="1">
      <alignment horizontal="center"/>
    </xf>
    <xf numFmtId="168" fontId="31" fillId="0" borderId="34" xfId="540" applyNumberFormat="1" applyBorder="1" applyAlignment="1" applyProtection="1">
      <alignment horizontal="center"/>
    </xf>
    <xf numFmtId="168" fontId="31" fillId="0" borderId="35" xfId="540" applyNumberFormat="1" applyBorder="1" applyAlignment="1" applyProtection="1">
      <alignment horizontal="center"/>
    </xf>
    <xf numFmtId="168" fontId="31" fillId="0" borderId="36" xfId="540" applyNumberFormat="1" applyBorder="1" applyAlignment="1" applyProtection="1">
      <alignment horizontal="center"/>
    </xf>
    <xf numFmtId="168" fontId="31" fillId="0" borderId="37" xfId="540" applyNumberFormat="1" applyBorder="1" applyAlignment="1" applyProtection="1">
      <alignment horizontal="center"/>
    </xf>
    <xf numFmtId="168" fontId="31" fillId="0" borderId="38" xfId="540" applyNumberFormat="1" applyBorder="1" applyAlignment="1" applyProtection="1">
      <alignment horizontal="center"/>
    </xf>
    <xf numFmtId="168" fontId="31" fillId="0" borderId="39" xfId="540" applyNumberFormat="1" applyBorder="1" applyAlignment="1" applyProtection="1">
      <alignment horizontal="center"/>
    </xf>
    <xf numFmtId="168" fontId="31" fillId="0" borderId="40" xfId="540" applyNumberFormat="1" applyBorder="1" applyAlignment="1" applyProtection="1">
      <alignment horizontal="center"/>
    </xf>
    <xf numFmtId="168" fontId="31" fillId="0" borderId="0" xfId="540" applyNumberFormat="1" applyAlignment="1" applyProtection="1">
      <alignment horizontal="center"/>
    </xf>
    <xf numFmtId="168" fontId="31" fillId="0" borderId="14" xfId="540" applyNumberFormat="1" applyBorder="1" applyAlignment="1" applyProtection="1">
      <alignment horizontal="center"/>
    </xf>
    <xf numFmtId="168" fontId="31" fillId="0" borderId="41" xfId="540" applyNumberFormat="1" applyBorder="1" applyAlignment="1" applyProtection="1">
      <alignment horizontal="center"/>
    </xf>
    <xf numFmtId="168" fontId="31" fillId="0" borderId="42" xfId="540" applyNumberFormat="1" applyBorder="1" applyAlignment="1" applyProtection="1">
      <alignment horizontal="center"/>
    </xf>
    <xf numFmtId="168" fontId="31" fillId="0" borderId="43" xfId="540" applyNumberFormat="1" applyBorder="1" applyAlignment="1" applyProtection="1">
      <alignment horizontal="center"/>
    </xf>
    <xf numFmtId="168" fontId="31" fillId="0" borderId="44" xfId="540" applyNumberFormat="1" applyBorder="1" applyAlignment="1" applyProtection="1">
      <alignment horizontal="center"/>
    </xf>
    <xf numFmtId="0" fontId="22" fillId="0" borderId="0" xfId="1192"/>
    <xf numFmtId="0" fontId="22" fillId="0" borderId="0" xfId="0" applyFont="1" applyAlignment="1">
      <alignment wrapText="1"/>
    </xf>
    <xf numFmtId="0" fontId="51" fillId="0" borderId="0" xfId="0" applyFont="1" applyAlignment="1">
      <alignment horizontal="left" vertical="top"/>
    </xf>
    <xf numFmtId="0" fontId="51" fillId="0" borderId="0" xfId="0" applyFont="1" applyAlignment="1">
      <alignment vertical="top"/>
    </xf>
    <xf numFmtId="0" fontId="22" fillId="0" borderId="0" xfId="569" applyAlignment="1">
      <alignment horizontal="center"/>
    </xf>
    <xf numFmtId="0" fontId="40" fillId="0" borderId="0" xfId="569" applyFont="1" applyAlignment="1">
      <alignment horizontal="left"/>
    </xf>
    <xf numFmtId="0" fontId="40" fillId="0" borderId="0" xfId="569" applyFont="1" applyAlignment="1">
      <alignment horizontal="center"/>
    </xf>
    <xf numFmtId="49" fontId="29" fillId="0" borderId="0" xfId="569" applyNumberFormat="1" applyFont="1" applyAlignment="1">
      <alignment horizontal="center"/>
    </xf>
    <xf numFmtId="0" fontId="56" fillId="0" borderId="0" xfId="569" applyFont="1" applyAlignment="1">
      <alignment horizontal="center"/>
    </xf>
    <xf numFmtId="0" fontId="22" fillId="5" borderId="6" xfId="569" applyFill="1" applyBorder="1" applyProtection="1">
      <protection locked="0"/>
    </xf>
    <xf numFmtId="0" fontId="23" fillId="0" borderId="0" xfId="244" applyAlignment="1" applyProtection="1">
      <alignment horizontal="center"/>
    </xf>
    <xf numFmtId="49" fontId="22" fillId="0" borderId="0" xfId="569" applyNumberFormat="1" applyAlignment="1">
      <alignment horizontal="center"/>
    </xf>
    <xf numFmtId="0" fontId="22" fillId="0" borderId="0" xfId="569" applyAlignment="1">
      <alignment horizontal="center" vertical="center"/>
    </xf>
    <xf numFmtId="0" fontId="22" fillId="0" borderId="0" xfId="1192" applyAlignment="1">
      <alignment horizontal="center"/>
    </xf>
    <xf numFmtId="0" fontId="29" fillId="0" borderId="0" xfId="569" applyFont="1" applyAlignment="1">
      <alignment horizontal="center"/>
    </xf>
    <xf numFmtId="0" fontId="22" fillId="0" borderId="0" xfId="569" applyAlignment="1">
      <alignment horizontal="left" indent="4"/>
    </xf>
    <xf numFmtId="0" fontId="22" fillId="0" borderId="0" xfId="569" quotePrefix="1" applyAlignment="1">
      <alignment horizontal="left"/>
    </xf>
    <xf numFmtId="0" fontId="40" fillId="0" borderId="0" xfId="569" applyFont="1"/>
    <xf numFmtId="0" fontId="22" fillId="0" borderId="0" xfId="1192" applyAlignment="1" applyProtection="1">
      <alignment horizontal="left"/>
      <protection locked="0"/>
    </xf>
    <xf numFmtId="0" fontId="22" fillId="0" borderId="0" xfId="569" applyAlignment="1" applyProtection="1">
      <alignment horizontal="left"/>
      <protection locked="0"/>
    </xf>
    <xf numFmtId="49" fontId="22" fillId="0" borderId="0" xfId="1192" applyNumberFormat="1" applyAlignment="1">
      <alignment horizontal="center"/>
    </xf>
    <xf numFmtId="0" fontId="56" fillId="0" borderId="0" xfId="1192" applyFont="1" applyAlignment="1">
      <alignment horizontal="center"/>
    </xf>
    <xf numFmtId="0" fontId="29" fillId="0" borderId="0" xfId="1192" applyFont="1" applyAlignment="1">
      <alignment horizontal="left"/>
    </xf>
    <xf numFmtId="4" fontId="22" fillId="0" borderId="0" xfId="1192" applyNumberFormat="1" applyAlignment="1">
      <alignment horizontal="left"/>
    </xf>
    <xf numFmtId="0" fontId="29" fillId="0" borderId="0" xfId="569" quotePrefix="1" applyFont="1" applyAlignment="1">
      <alignment horizontal="center"/>
    </xf>
    <xf numFmtId="49" fontId="22" fillId="0" borderId="0" xfId="569" applyNumberFormat="1"/>
    <xf numFmtId="0" fontId="54" fillId="0" borderId="0" xfId="569" applyFont="1" applyAlignment="1">
      <alignment horizontal="left"/>
    </xf>
    <xf numFmtId="4" fontId="56" fillId="0" borderId="0" xfId="569" applyNumberFormat="1" applyFont="1" applyAlignment="1">
      <alignment horizontal="center"/>
    </xf>
    <xf numFmtId="4" fontId="22" fillId="0" borderId="0" xfId="569" applyNumberFormat="1" applyAlignment="1">
      <alignment horizontal="center"/>
    </xf>
    <xf numFmtId="4" fontId="22" fillId="0" borderId="0" xfId="569" applyNumberFormat="1"/>
    <xf numFmtId="0" fontId="52" fillId="0" borderId="0" xfId="569" applyFont="1" applyAlignment="1">
      <alignment horizontal="left"/>
    </xf>
    <xf numFmtId="0" fontId="23" fillId="0" borderId="0" xfId="244" applyNumberFormat="1" applyFill="1" applyAlignment="1" applyProtection="1">
      <alignment horizontal="left"/>
      <protection locked="0"/>
    </xf>
    <xf numFmtId="0" fontId="58" fillId="0" borderId="11" xfId="0" applyFont="1" applyBorder="1" applyAlignment="1" applyProtection="1">
      <alignment horizontal="right" vertical="top" wrapText="1"/>
      <protection locked="0"/>
    </xf>
    <xf numFmtId="168" fontId="61" fillId="44" borderId="11" xfId="0" applyNumberFormat="1" applyFont="1" applyFill="1" applyBorder="1" applyAlignment="1">
      <alignment vertical="top" wrapText="1"/>
    </xf>
    <xf numFmtId="0" fontId="22" fillId="0" borderId="11" xfId="271" applyFont="1" applyBorder="1" applyAlignment="1">
      <alignment horizontal="right" vertical="top" wrapText="1"/>
    </xf>
    <xf numFmtId="0" fontId="30" fillId="0" borderId="0" xfId="569" applyFont="1" applyAlignment="1">
      <alignment horizontal="left"/>
    </xf>
    <xf numFmtId="0" fontId="110" fillId="0" borderId="0" xfId="0" applyFont="1"/>
    <xf numFmtId="0" fontId="121" fillId="0" borderId="0" xfId="0" applyFont="1" applyAlignment="1">
      <alignment horizontal="left" vertical="top"/>
    </xf>
    <xf numFmtId="0" fontId="122" fillId="0" borderId="0" xfId="0" applyFont="1" applyAlignment="1">
      <alignment horizontal="left" vertical="top"/>
    </xf>
    <xf numFmtId="168" fontId="30" fillId="0" borderId="0" xfId="0" applyNumberFormat="1" applyFont="1" applyAlignment="1">
      <alignment horizontal="left" vertical="top" wrapText="1"/>
    </xf>
    <xf numFmtId="168" fontId="58" fillId="5" borderId="11" xfId="0" applyNumberFormat="1" applyFont="1" applyFill="1" applyBorder="1" applyAlignment="1">
      <alignment vertical="top" wrapText="1"/>
    </xf>
    <xf numFmtId="0" fontId="22" fillId="0" borderId="0" xfId="271" applyFont="1" applyAlignment="1">
      <alignment horizontal="left" vertical="top"/>
    </xf>
    <xf numFmtId="0" fontId="58" fillId="0" borderId="0" xfId="569" applyFont="1"/>
    <xf numFmtId="0" fontId="22" fillId="0" borderId="0" xfId="0" applyFont="1" applyAlignment="1">
      <alignment horizontal="left" vertical="top"/>
    </xf>
    <xf numFmtId="4" fontId="22" fillId="0" borderId="0" xfId="1192" applyNumberFormat="1" applyAlignment="1">
      <alignment vertical="top" wrapText="1"/>
    </xf>
    <xf numFmtId="0" fontId="29" fillId="0" borderId="16" xfId="271" applyFont="1" applyBorder="1"/>
    <xf numFmtId="0" fontId="65" fillId="0" borderId="0" xfId="569" applyFont="1"/>
    <xf numFmtId="0" fontId="46" fillId="0" borderId="0" xfId="569" applyFont="1"/>
    <xf numFmtId="0" fontId="22" fillId="0" borderId="0" xfId="1192" applyAlignment="1">
      <alignment vertical="top" wrapText="1"/>
    </xf>
    <xf numFmtId="49" fontId="22" fillId="0" borderId="0" xfId="1192" applyNumberFormat="1" applyAlignment="1">
      <alignment vertical="top" wrapText="1"/>
    </xf>
    <xf numFmtId="0" fontId="60" fillId="0" borderId="9" xfId="543" applyFont="1" applyBorder="1" applyAlignment="1">
      <alignment vertical="top"/>
    </xf>
    <xf numFmtId="0" fontId="22" fillId="0" borderId="0" xfId="0" applyFont="1" applyAlignment="1">
      <alignment vertical="center"/>
    </xf>
    <xf numFmtId="0" fontId="123" fillId="0" borderId="0" xfId="0" applyFont="1"/>
    <xf numFmtId="3" fontId="110" fillId="0" borderId="0" xfId="0" applyNumberFormat="1" applyFont="1"/>
    <xf numFmtId="0" fontId="110" fillId="0" borderId="0" xfId="0" applyFont="1" applyAlignment="1">
      <alignment horizontal="left"/>
    </xf>
    <xf numFmtId="168" fontId="124" fillId="0" borderId="0" xfId="0" applyNumberFormat="1" applyFont="1" applyAlignment="1">
      <alignment horizontal="left" vertical="top"/>
    </xf>
    <xf numFmtId="0" fontId="110" fillId="0" borderId="0" xfId="0" applyFont="1" applyAlignment="1">
      <alignment horizontal="left" vertical="center"/>
    </xf>
    <xf numFmtId="0" fontId="126" fillId="0" borderId="0" xfId="0" applyFont="1"/>
    <xf numFmtId="172" fontId="22" fillId="0" borderId="8" xfId="543" applyNumberFormat="1" applyBorder="1"/>
    <xf numFmtId="0" fontId="22" fillId="0" borderId="8" xfId="4495" applyFont="1" applyBorder="1"/>
    <xf numFmtId="0" fontId="22" fillId="0" borderId="0" xfId="4495" applyFont="1"/>
    <xf numFmtId="0" fontId="28" fillId="0" borderId="0" xfId="4495" applyFont="1" applyAlignment="1">
      <alignment horizontal="center" vertical="center"/>
    </xf>
    <xf numFmtId="0" fontId="29" fillId="0" borderId="0" xfId="4495" applyFont="1" applyAlignment="1">
      <alignment horizontal="left"/>
    </xf>
    <xf numFmtId="0" fontId="29" fillId="0" borderId="0" xfId="4495" applyFont="1"/>
    <xf numFmtId="0" fontId="32" fillId="0" borderId="0" xfId="4495" applyFont="1" applyAlignment="1">
      <alignment horizontal="center" vertical="center"/>
    </xf>
    <xf numFmtId="0" fontId="32" fillId="0" borderId="27" xfId="4495" applyFont="1" applyBorder="1" applyAlignment="1">
      <alignment horizontal="center" vertical="center"/>
    </xf>
    <xf numFmtId="0" fontId="32" fillId="0" borderId="46" xfId="4495" applyFont="1" applyBorder="1" applyAlignment="1">
      <alignment horizontal="center" vertical="center"/>
    </xf>
    <xf numFmtId="0" fontId="29" fillId="0" borderId="0" xfId="4495" applyFont="1" applyAlignment="1">
      <alignment horizontal="right"/>
    </xf>
    <xf numFmtId="0" fontId="22" fillId="0" borderId="0" xfId="1192" quotePrefix="1" applyAlignment="1">
      <alignment horizontal="center"/>
    </xf>
    <xf numFmtId="0" fontId="52" fillId="0" borderId="0" xfId="4495" applyFont="1" applyAlignment="1">
      <alignment horizontal="left" vertical="center"/>
    </xf>
    <xf numFmtId="49" fontId="30" fillId="0" borderId="0" xfId="4495" applyNumberFormat="1" applyFont="1" applyAlignment="1">
      <alignment horizontal="left" vertical="top"/>
    </xf>
    <xf numFmtId="0" fontId="22" fillId="0" borderId="47" xfId="4495" applyFont="1" applyBorder="1" applyAlignment="1">
      <alignment horizontal="left" vertical="center"/>
    </xf>
    <xf numFmtId="0" fontId="32" fillId="0" borderId="48" xfId="4495" applyFont="1" applyBorder="1" applyAlignment="1">
      <alignment horizontal="center" vertical="center"/>
    </xf>
    <xf numFmtId="0" fontId="30" fillId="0" borderId="0" xfId="4495" applyFont="1"/>
    <xf numFmtId="0" fontId="30" fillId="0" borderId="0" xfId="4495" applyFont="1" applyAlignment="1">
      <alignment horizontal="left" vertical="top"/>
    </xf>
    <xf numFmtId="0" fontId="127" fillId="0" borderId="0" xfId="4496" applyFont="1" applyAlignment="1">
      <alignment horizontal="left" vertical="top" wrapText="1"/>
    </xf>
    <xf numFmtId="0" fontId="127" fillId="0" borderId="54" xfId="4496" applyFont="1" applyBorder="1" applyAlignment="1">
      <alignment horizontal="left" vertical="top" wrapText="1"/>
    </xf>
    <xf numFmtId="0" fontId="22" fillId="0" borderId="0" xfId="4495" applyFont="1" applyAlignment="1">
      <alignment horizontal="left" vertical="center"/>
    </xf>
    <xf numFmtId="0" fontId="128" fillId="0" borderId="0" xfId="4496" applyFont="1" applyAlignment="1">
      <alignment vertical="center"/>
    </xf>
    <xf numFmtId="0" fontId="127" fillId="0" borderId="0" xfId="4496" applyFont="1"/>
    <xf numFmtId="0" fontId="127" fillId="0" borderId="0" xfId="4496" applyFont="1" applyAlignment="1">
      <alignment vertical="center"/>
    </xf>
    <xf numFmtId="0" fontId="129" fillId="0" borderId="0" xfId="4496" applyFont="1" applyAlignment="1">
      <alignment vertical="center"/>
    </xf>
    <xf numFmtId="0" fontId="22" fillId="0" borderId="0" xfId="4496" applyFont="1" applyAlignment="1">
      <alignment vertical="center"/>
    </xf>
    <xf numFmtId="0" fontId="30" fillId="0" borderId="3" xfId="4495" applyFont="1" applyBorder="1" applyAlignment="1">
      <alignment vertical="top" wrapText="1"/>
    </xf>
    <xf numFmtId="0" fontId="30" fillId="0" borderId="4" xfId="4495" applyFont="1" applyBorder="1" applyAlignment="1">
      <alignment vertical="top" wrapText="1"/>
    </xf>
    <xf numFmtId="164" fontId="125" fillId="0" borderId="4" xfId="4495" applyNumberFormat="1" applyBorder="1" applyAlignment="1">
      <alignment horizontal="right"/>
    </xf>
    <xf numFmtId="0" fontId="30" fillId="0" borderId="4" xfId="4495" applyFont="1" applyBorder="1"/>
    <xf numFmtId="0" fontId="29" fillId="0" borderId="5" xfId="4495" applyFont="1" applyBorder="1" applyAlignment="1">
      <alignment horizontal="right"/>
    </xf>
    <xf numFmtId="0" fontId="22" fillId="0" borderId="16" xfId="4495" applyFont="1" applyBorder="1"/>
    <xf numFmtId="0" fontId="22" fillId="0" borderId="16" xfId="4495" applyFont="1" applyBorder="1" applyAlignment="1">
      <alignment horizontal="left" vertical="top"/>
    </xf>
    <xf numFmtId="0" fontId="30" fillId="0" borderId="16" xfId="4495" applyFont="1" applyBorder="1" applyAlignment="1">
      <alignment horizontal="left" vertical="top" wrapText="1"/>
    </xf>
    <xf numFmtId="0" fontId="30" fillId="0" borderId="45" xfId="4495" applyFont="1" applyBorder="1" applyAlignment="1">
      <alignment horizontal="left" vertical="top" wrapText="1"/>
    </xf>
    <xf numFmtId="0" fontId="125" fillId="0" borderId="0" xfId="4495"/>
    <xf numFmtId="0" fontId="23" fillId="0" borderId="0" xfId="244" applyFill="1" applyBorder="1" applyAlignment="1" applyProtection="1">
      <alignment horizontal="left" vertical="top"/>
    </xf>
    <xf numFmtId="0" fontId="23" fillId="0" borderId="0" xfId="244" applyFill="1" applyBorder="1" applyAlignment="1" applyProtection="1">
      <alignment horizontal="left" vertical="top" wrapText="1"/>
    </xf>
    <xf numFmtId="0" fontId="30" fillId="0" borderId="0" xfId="4495" applyFont="1" applyAlignment="1">
      <alignment horizontal="left" vertical="top" wrapText="1"/>
    </xf>
    <xf numFmtId="0" fontId="30" fillId="0" borderId="0" xfId="4495" applyFont="1" applyAlignment="1">
      <alignment horizontal="right" vertical="top"/>
    </xf>
    <xf numFmtId="0" fontId="22" fillId="0" borderId="0" xfId="4495" applyFont="1" applyAlignment="1">
      <alignment vertical="center" wrapText="1"/>
    </xf>
    <xf numFmtId="0" fontId="127" fillId="0" borderId="53" xfId="4496" applyFont="1" applyBorder="1" applyAlignment="1">
      <alignment vertical="top" wrapText="1"/>
    </xf>
    <xf numFmtId="0" fontId="127" fillId="0" borderId="0" xfId="4496" applyFont="1" applyAlignment="1">
      <alignment vertical="top" wrapText="1"/>
    </xf>
    <xf numFmtId="10" fontId="127" fillId="0" borderId="0" xfId="4496" applyNumberFormat="1" applyFont="1" applyAlignment="1">
      <alignment vertical="top" wrapText="1"/>
    </xf>
    <xf numFmtId="0" fontId="127" fillId="0" borderId="54" xfId="4496" applyFont="1" applyBorder="1" applyAlignment="1">
      <alignment vertical="top" wrapText="1"/>
    </xf>
    <xf numFmtId="0" fontId="127" fillId="0" borderId="0" xfId="4496" applyFont="1" applyAlignment="1">
      <alignment vertical="top"/>
    </xf>
    <xf numFmtId="165" fontId="127" fillId="0" borderId="0" xfId="4496" applyNumberFormat="1" applyFont="1" applyAlignment="1">
      <alignment vertical="top" wrapText="1"/>
    </xf>
    <xf numFmtId="0" fontId="29" fillId="0" borderId="57" xfId="4495" applyFont="1" applyBorder="1"/>
    <xf numFmtId="0" fontId="29" fillId="0" borderId="58" xfId="4495" applyFont="1" applyBorder="1"/>
    <xf numFmtId="0" fontId="29" fillId="0" borderId="58" xfId="4495" applyFont="1" applyBorder="1" applyAlignment="1">
      <alignment horizontal="right"/>
    </xf>
    <xf numFmtId="0" fontId="29" fillId="0" borderId="59" xfId="4495" applyFont="1" applyBorder="1" applyAlignment="1">
      <alignment horizontal="right"/>
    </xf>
    <xf numFmtId="0" fontId="127" fillId="0" borderId="53" xfId="4496" applyFont="1" applyBorder="1" applyAlignment="1">
      <alignment horizontal="left" vertical="top" wrapText="1"/>
    </xf>
    <xf numFmtId="0" fontId="127" fillId="0" borderId="0" xfId="4496" applyFont="1" applyAlignment="1">
      <alignment horizontal="left" vertical="top"/>
    </xf>
    <xf numFmtId="0" fontId="32" fillId="0" borderId="57" xfId="4495" applyFont="1" applyBorder="1" applyAlignment="1">
      <alignment horizontal="center" vertical="center"/>
    </xf>
    <xf numFmtId="0" fontId="32" fillId="0" borderId="58" xfId="4495" applyFont="1" applyBorder="1" applyAlignment="1">
      <alignment horizontal="center" vertical="center"/>
    </xf>
    <xf numFmtId="0" fontId="32" fillId="0" borderId="59" xfId="4495" applyFont="1" applyBorder="1" applyAlignment="1">
      <alignment horizontal="center" vertical="center"/>
    </xf>
    <xf numFmtId="0" fontId="29" fillId="0" borderId="0" xfId="4495" applyFont="1" applyAlignment="1">
      <alignment horizontal="center"/>
    </xf>
    <xf numFmtId="0" fontId="29" fillId="0" borderId="8" xfId="4495" applyFont="1" applyBorder="1"/>
    <xf numFmtId="0" fontId="30" fillId="0" borderId="0" xfId="4495" applyFont="1" applyAlignment="1">
      <alignment horizontal="left"/>
    </xf>
    <xf numFmtId="0" fontId="29" fillId="0" borderId="0" xfId="4495" applyFont="1" applyAlignment="1">
      <alignment horizontal="center" vertical="top"/>
    </xf>
    <xf numFmtId="0" fontId="22" fillId="0" borderId="0" xfId="4495" applyFont="1" applyAlignment="1">
      <alignment horizontal="center"/>
    </xf>
    <xf numFmtId="0" fontId="38" fillId="0" borderId="0" xfId="4495" applyFont="1"/>
    <xf numFmtId="0" fontId="30" fillId="0" borderId="8" xfId="4495" applyFont="1" applyBorder="1"/>
    <xf numFmtId="0" fontId="58" fillId="0" borderId="8" xfId="4495" applyFont="1" applyBorder="1"/>
    <xf numFmtId="1" fontId="22" fillId="0" borderId="0" xfId="1192" applyNumberFormat="1"/>
    <xf numFmtId="0" fontId="22" fillId="0" borderId="3" xfId="4495" applyFont="1" applyBorder="1"/>
    <xf numFmtId="0" fontId="22" fillId="0" borderId="4" xfId="4495" applyFont="1" applyBorder="1"/>
    <xf numFmtId="0" fontId="22" fillId="0" borderId="0" xfId="1192" applyAlignment="1">
      <alignment wrapText="1"/>
    </xf>
    <xf numFmtId="0" fontId="30" fillId="0" borderId="0" xfId="4495" applyFont="1" applyAlignment="1">
      <alignment vertical="top" wrapText="1"/>
    </xf>
    <xf numFmtId="0" fontId="30" fillId="0" borderId="0" xfId="1192" applyFont="1"/>
    <xf numFmtId="0" fontId="22" fillId="0" borderId="0" xfId="4495" applyFont="1" applyAlignment="1">
      <alignment horizontal="left"/>
    </xf>
    <xf numFmtId="0" fontId="30" fillId="0" borderId="3" xfId="4495" applyFont="1" applyBorder="1"/>
    <xf numFmtId="0" fontId="22" fillId="0" borderId="4" xfId="4495" applyFont="1" applyBorder="1" applyAlignment="1">
      <alignment horizontal="right"/>
    </xf>
    <xf numFmtId="1" fontId="22" fillId="0" borderId="0" xfId="4495" applyNumberFormat="1" applyFont="1" applyAlignment="1">
      <alignment horizontal="center"/>
    </xf>
    <xf numFmtId="0" fontId="58" fillId="0" borderId="0" xfId="4495" applyFont="1"/>
    <xf numFmtId="0" fontId="22" fillId="0" borderId="0" xfId="4495" applyFont="1" applyAlignment="1">
      <alignment horizontal="right"/>
    </xf>
    <xf numFmtId="0" fontId="30" fillId="0" borderId="0" xfId="4495" applyFont="1" applyAlignment="1">
      <alignment vertical="top"/>
    </xf>
    <xf numFmtId="0" fontId="30" fillId="0" borderId="27" xfId="4495" applyFont="1" applyBorder="1"/>
    <xf numFmtId="0" fontId="29" fillId="0" borderId="0" xfId="4495" applyFont="1" applyAlignment="1">
      <alignment vertical="top"/>
    </xf>
    <xf numFmtId="0" fontId="40" fillId="0" borderId="0" xfId="4495" applyFont="1" applyAlignment="1">
      <alignment vertical="top" wrapText="1"/>
    </xf>
    <xf numFmtId="0" fontId="29" fillId="0" borderId="0" xfId="4495" applyFont="1" applyAlignment="1">
      <alignment horizontal="left" vertical="top" wrapText="1"/>
    </xf>
    <xf numFmtId="0" fontId="22" fillId="0" borderId="0" xfId="4495" applyFont="1" applyAlignment="1">
      <alignment horizontal="left" vertical="top"/>
    </xf>
    <xf numFmtId="0" fontId="40" fillId="0" borderId="0" xfId="4495" applyFont="1" applyAlignment="1">
      <alignment vertical="top"/>
    </xf>
    <xf numFmtId="0" fontId="22" fillId="0" borderId="10" xfId="4495" applyFont="1" applyBorder="1" applyAlignment="1">
      <alignment horizontal="center"/>
    </xf>
    <xf numFmtId="0" fontId="22" fillId="0" borderId="16" xfId="4495" applyFont="1" applyBorder="1" applyAlignment="1">
      <alignment horizontal="center"/>
    </xf>
    <xf numFmtId="0" fontId="38" fillId="0" borderId="16" xfId="4495" applyFont="1" applyBorder="1"/>
    <xf numFmtId="0" fontId="30" fillId="0" borderId="16" xfId="4495" applyFont="1" applyBorder="1"/>
    <xf numFmtId="0" fontId="22" fillId="0" borderId="0" xfId="4496" applyFont="1" applyAlignment="1">
      <alignment vertical="top" wrapText="1"/>
    </xf>
    <xf numFmtId="0" fontId="29" fillId="0" borderId="0" xfId="1192" applyFont="1" applyAlignment="1">
      <alignment horizontal="right"/>
    </xf>
    <xf numFmtId="0" fontId="22" fillId="0" borderId="0" xfId="4496" applyFont="1"/>
    <xf numFmtId="0" fontId="22" fillId="0" borderId="0" xfId="4496" applyFont="1" applyAlignment="1">
      <alignment horizontal="left"/>
    </xf>
    <xf numFmtId="0" fontId="22" fillId="0" borderId="0" xfId="4496" applyFont="1" applyAlignment="1">
      <alignment horizontal="right"/>
    </xf>
    <xf numFmtId="0" fontId="30" fillId="0" borderId="0" xfId="4496" applyFont="1" applyAlignment="1">
      <alignment vertical="top" wrapText="1"/>
    </xf>
    <xf numFmtId="0" fontId="22" fillId="0" borderId="4" xfId="4496" applyFont="1" applyBorder="1"/>
    <xf numFmtId="0" fontId="29" fillId="0" borderId="4" xfId="4496" applyFont="1" applyBorder="1" applyAlignment="1">
      <alignment horizontal="right"/>
    </xf>
    <xf numFmtId="0" fontId="30" fillId="0" borderId="27" xfId="4495" applyFont="1" applyBorder="1" applyAlignment="1">
      <alignment horizontal="left" vertical="top"/>
    </xf>
    <xf numFmtId="0" fontId="22" fillId="0" borderId="27" xfId="4495" applyFont="1" applyBorder="1" applyAlignment="1">
      <alignment horizontal="left" vertical="top"/>
    </xf>
    <xf numFmtId="0" fontId="29" fillId="0" borderId="27" xfId="4495" applyFont="1" applyBorder="1" applyAlignment="1">
      <alignment horizontal="right"/>
    </xf>
    <xf numFmtId="0" fontId="22" fillId="0" borderId="27" xfId="4495" applyFont="1" applyBorder="1" applyAlignment="1">
      <alignment horizontal="center"/>
    </xf>
    <xf numFmtId="0" fontId="22" fillId="0" borderId="46" xfId="4495" applyFont="1" applyBorder="1" applyAlignment="1">
      <alignment horizontal="center"/>
    </xf>
    <xf numFmtId="164" fontId="30" fillId="0" borderId="0" xfId="4495" applyNumberFormat="1" applyFont="1" applyAlignment="1">
      <alignment horizontal="left" vertical="top" wrapText="1"/>
    </xf>
    <xf numFmtId="0" fontId="33" fillId="0" borderId="0" xfId="4495" applyFont="1"/>
    <xf numFmtId="0" fontId="30" fillId="0" borderId="0" xfId="4495" applyFont="1" applyAlignment="1">
      <alignment horizontal="right"/>
    </xf>
    <xf numFmtId="0" fontId="22" fillId="0" borderId="27" xfId="543" applyBorder="1"/>
    <xf numFmtId="0" fontId="22" fillId="0" borderId="46" xfId="543" applyBorder="1"/>
    <xf numFmtId="0" fontId="29" fillId="0" borderId="0" xfId="4495" applyFont="1" applyAlignment="1">
      <alignment horizontal="left" vertical="top"/>
    </xf>
    <xf numFmtId="1" fontId="125" fillId="0" borderId="0" xfId="4495" applyNumberFormat="1"/>
    <xf numFmtId="0" fontId="22" fillId="0" borderId="0" xfId="4495" applyFont="1" applyAlignment="1">
      <alignment vertical="top" wrapText="1"/>
    </xf>
    <xf numFmtId="0" fontId="22" fillId="0" borderId="0" xfId="4495" applyFont="1" applyAlignment="1">
      <alignment horizontal="left" vertical="top" wrapText="1"/>
    </xf>
    <xf numFmtId="0" fontId="22" fillId="0" borderId="50" xfId="4495" applyFont="1" applyBorder="1" applyAlignment="1">
      <alignment vertical="top"/>
    </xf>
    <xf numFmtId="1" fontId="30" fillId="0" borderId="8" xfId="4495" applyNumberFormat="1" applyFont="1" applyBorder="1"/>
    <xf numFmtId="0" fontId="22" fillId="0" borderId="0" xfId="543" applyAlignment="1">
      <alignment vertical="top"/>
    </xf>
    <xf numFmtId="0" fontId="30" fillId="0" borderId="51" xfId="4495" applyFont="1" applyBorder="1" applyAlignment="1">
      <alignment horizontal="left" vertical="top"/>
    </xf>
    <xf numFmtId="0" fontId="30" fillId="0" borderId="52" xfId="4495" applyFont="1" applyBorder="1" applyAlignment="1">
      <alignment horizontal="left" vertical="top"/>
    </xf>
    <xf numFmtId="0" fontId="125" fillId="0" borderId="0" xfId="4495" applyAlignment="1" applyProtection="1">
      <alignment horizontal="center"/>
      <protection locked="0"/>
    </xf>
    <xf numFmtId="0" fontId="22" fillId="0" borderId="53" xfId="4495" applyFont="1" applyBorder="1" applyAlignment="1">
      <alignment vertical="top"/>
    </xf>
    <xf numFmtId="0" fontId="22" fillId="0" borderId="54" xfId="4495" applyFont="1" applyBorder="1" applyAlignment="1">
      <alignment vertical="top" wrapText="1"/>
    </xf>
    <xf numFmtId="0" fontId="66" fillId="0" borderId="53" xfId="4495" applyFont="1" applyBorder="1"/>
    <xf numFmtId="0" fontId="30" fillId="0" borderId="54" xfId="4495" applyFont="1" applyBorder="1" applyAlignment="1">
      <alignment horizontal="left" vertical="top"/>
    </xf>
    <xf numFmtId="0" fontId="22" fillId="0" borderId="53" xfId="4495" applyFont="1" applyBorder="1" applyAlignment="1">
      <alignment vertical="center" wrapText="1"/>
    </xf>
    <xf numFmtId="0" fontId="66" fillId="0" borderId="57" xfId="4495" applyFont="1" applyBorder="1"/>
    <xf numFmtId="0" fontId="30" fillId="0" borderId="58" xfId="4495" applyFont="1" applyBorder="1" applyAlignment="1">
      <alignment horizontal="left" vertical="top"/>
    </xf>
    <xf numFmtId="0" fontId="30" fillId="0" borderId="12" xfId="4495" applyFont="1" applyBorder="1"/>
    <xf numFmtId="0" fontId="22" fillId="0" borderId="57" xfId="4495" applyFont="1" applyBorder="1" applyAlignment="1">
      <alignment vertical="center"/>
    </xf>
    <xf numFmtId="0" fontId="22" fillId="0" borderId="58" xfId="4495" applyFont="1" applyBorder="1" applyAlignment="1">
      <alignment vertical="top"/>
    </xf>
    <xf numFmtId="0" fontId="22" fillId="0" borderId="59" xfId="4495" applyFont="1" applyBorder="1" applyAlignment="1">
      <alignment vertical="top"/>
    </xf>
    <xf numFmtId="0" fontId="22" fillId="0" borderId="0" xfId="4495" applyFont="1" applyAlignment="1">
      <alignment vertical="top"/>
    </xf>
    <xf numFmtId="0" fontId="30" fillId="0" borderId="4" xfId="4495" applyFont="1" applyBorder="1" applyAlignment="1">
      <alignment horizontal="left" vertical="top"/>
    </xf>
    <xf numFmtId="0" fontId="22" fillId="0" borderId="4" xfId="4495" applyFont="1" applyBorder="1" applyAlignment="1">
      <alignment horizontal="left" vertical="top"/>
    </xf>
    <xf numFmtId="0" fontId="22" fillId="0" borderId="2" xfId="4495" applyFont="1" applyBorder="1"/>
    <xf numFmtId="0" fontId="30" fillId="0" borderId="2" xfId="4495" applyFont="1" applyBorder="1"/>
    <xf numFmtId="0" fontId="22" fillId="0" borderId="2" xfId="4495" applyFont="1" applyBorder="1" applyAlignment="1">
      <alignment horizontal="center"/>
    </xf>
    <xf numFmtId="0" fontId="30" fillId="0" borderId="7" xfId="4495" applyFont="1" applyBorder="1"/>
    <xf numFmtId="0" fontId="38" fillId="0" borderId="0" xfId="4495" applyFont="1" applyAlignment="1">
      <alignment horizontal="right"/>
    </xf>
    <xf numFmtId="0" fontId="130" fillId="0" borderId="0" xfId="4495" applyFont="1" applyAlignment="1">
      <alignment horizontal="left" vertical="top" wrapText="1"/>
    </xf>
    <xf numFmtId="0" fontId="38" fillId="0" borderId="0" xfId="4495" applyFont="1" applyAlignment="1">
      <alignment horizontal="left" vertical="top"/>
    </xf>
    <xf numFmtId="0" fontId="30" fillId="0" borderId="0" xfId="4495" quotePrefix="1" applyFont="1" applyAlignment="1">
      <alignment horizontal="right"/>
    </xf>
    <xf numFmtId="0" fontId="22" fillId="0" borderId="0" xfId="4497"/>
    <xf numFmtId="0" fontId="30" fillId="0" borderId="0" xfId="4495" applyFont="1" applyAlignment="1">
      <alignment horizontal="left" vertical="top" wrapText="1" shrinkToFit="1"/>
    </xf>
    <xf numFmtId="0" fontId="125" fillId="0" borderId="0" xfId="4495" applyAlignment="1">
      <alignment vertical="top" wrapText="1"/>
    </xf>
    <xf numFmtId="0" fontId="30" fillId="0" borderId="4" xfId="4495" applyFont="1" applyBorder="1" applyAlignment="1">
      <alignment horizontal="left" vertical="top" wrapText="1" shrinkToFit="1"/>
    </xf>
    <xf numFmtId="0" fontId="38" fillId="0" borderId="8" xfId="4495" applyFont="1" applyBorder="1"/>
    <xf numFmtId="0" fontId="30" fillId="0" borderId="0" xfId="4495" applyFont="1" applyAlignment="1">
      <alignment horizontal="center"/>
    </xf>
    <xf numFmtId="0" fontId="30" fillId="0" borderId="0" xfId="4495" quotePrefix="1" applyFont="1"/>
    <xf numFmtId="0" fontId="30" fillId="0" borderId="0" xfId="4495" applyFont="1" applyAlignment="1">
      <alignment horizontal="left" vertical="top" shrinkToFit="1"/>
    </xf>
    <xf numFmtId="0" fontId="52" fillId="0" borderId="0" xfId="4495" applyFont="1"/>
    <xf numFmtId="0" fontId="30" fillId="0" borderId="3" xfId="4495" applyFont="1" applyBorder="1" applyAlignment="1">
      <alignment horizontal="center"/>
    </xf>
    <xf numFmtId="0" fontId="125" fillId="0" borderId="8" xfId="4495" applyBorder="1"/>
    <xf numFmtId="0" fontId="29" fillId="0" borderId="8" xfId="4495" applyFont="1" applyBorder="1" applyAlignment="1">
      <alignment vertical="top"/>
    </xf>
    <xf numFmtId="0" fontId="125" fillId="0" borderId="0" xfId="4495" applyAlignment="1">
      <alignment vertical="top"/>
    </xf>
    <xf numFmtId="0" fontId="29" fillId="0" borderId="4" xfId="4495" applyFont="1" applyBorder="1" applyAlignment="1">
      <alignment horizontal="center" vertical="top"/>
    </xf>
    <xf numFmtId="0" fontId="130" fillId="0" borderId="0" xfId="4495" applyFont="1" applyAlignment="1">
      <alignment horizontal="left" vertical="top"/>
    </xf>
    <xf numFmtId="0" fontId="130" fillId="0" borderId="4" xfId="4495" applyFont="1" applyBorder="1" applyAlignment="1">
      <alignment horizontal="left" vertical="top"/>
    </xf>
    <xf numFmtId="168" fontId="22" fillId="0" borderId="0" xfId="4497" applyNumberFormat="1"/>
    <xf numFmtId="1" fontId="30" fillId="0" borderId="0" xfId="4495" applyNumberFormat="1" applyFont="1" applyAlignment="1">
      <alignment horizontal="center" vertical="top"/>
    </xf>
    <xf numFmtId="0" fontId="134" fillId="0" borderId="0" xfId="4495" applyFont="1" applyAlignment="1">
      <alignment vertical="top" wrapText="1"/>
    </xf>
    <xf numFmtId="0" fontId="134" fillId="0" borderId="0" xfId="4495" applyFont="1" applyAlignment="1">
      <alignment horizontal="left" vertical="top" wrapText="1"/>
    </xf>
    <xf numFmtId="0" fontId="30" fillId="0" borderId="6" xfId="4495" applyFont="1" applyBorder="1"/>
    <xf numFmtId="1" fontId="30" fillId="0" borderId="8" xfId="4495" applyNumberFormat="1" applyFont="1" applyBorder="1" applyAlignment="1">
      <alignment horizontal="center" vertical="top"/>
    </xf>
    <xf numFmtId="0" fontId="125" fillId="0" borderId="12" xfId="4495" applyBorder="1"/>
    <xf numFmtId="0" fontId="30" fillId="0" borderId="9" xfId="4495" applyFont="1" applyBorder="1"/>
    <xf numFmtId="0" fontId="125" fillId="0" borderId="10" xfId="4495" applyBorder="1"/>
    <xf numFmtId="0" fontId="38" fillId="0" borderId="3" xfId="4495" applyFont="1" applyBorder="1"/>
    <xf numFmtId="0" fontId="29" fillId="0" borderId="4" xfId="4495" applyFont="1" applyBorder="1"/>
    <xf numFmtId="0" fontId="125" fillId="0" borderId="12" xfId="4495" applyBorder="1" applyAlignment="1">
      <alignment vertical="top"/>
    </xf>
    <xf numFmtId="0" fontId="38" fillId="0" borderId="1" xfId="4495" applyFont="1" applyBorder="1"/>
    <xf numFmtId="0" fontId="134" fillId="0" borderId="2" xfId="4495" applyFont="1" applyBorder="1" applyAlignment="1">
      <alignment horizontal="left" wrapText="1"/>
    </xf>
    <xf numFmtId="0" fontId="134" fillId="0" borderId="2" xfId="4495" applyFont="1" applyBorder="1" applyAlignment="1">
      <alignment horizontal="left"/>
    </xf>
    <xf numFmtId="0" fontId="134" fillId="0" borderId="7" xfId="4495" applyFont="1" applyBorder="1" applyAlignment="1">
      <alignment horizontal="left" wrapText="1"/>
    </xf>
    <xf numFmtId="0" fontId="134" fillId="0" borderId="0" xfId="4495" applyFont="1" applyAlignment="1">
      <alignment horizontal="left" wrapText="1"/>
    </xf>
    <xf numFmtId="0" fontId="38" fillId="0" borderId="9" xfId="4495" applyFont="1" applyBorder="1"/>
    <xf numFmtId="0" fontId="30" fillId="0" borderId="10" xfId="4495" applyFont="1" applyBorder="1"/>
    <xf numFmtId="0" fontId="134" fillId="0" borderId="0" xfId="4495" applyFont="1" applyAlignment="1">
      <alignment wrapText="1"/>
    </xf>
    <xf numFmtId="0" fontId="38" fillId="0" borderId="9" xfId="4495" applyFont="1" applyBorder="1" applyAlignment="1">
      <alignment horizontal="center"/>
    </xf>
    <xf numFmtId="0" fontId="29" fillId="0" borderId="10" xfId="4495" applyFont="1" applyBorder="1"/>
    <xf numFmtId="0" fontId="40" fillId="0" borderId="0" xfId="4495" applyFont="1"/>
    <xf numFmtId="0" fontId="30" fillId="0" borderId="50" xfId="4495" applyFont="1" applyBorder="1"/>
    <xf numFmtId="0" fontId="30" fillId="0" borderId="51" xfId="4495" applyFont="1" applyBorder="1"/>
    <xf numFmtId="1" fontId="30" fillId="0" borderId="51" xfId="4495" quotePrefix="1" applyNumberFormat="1" applyFont="1" applyBorder="1" applyAlignment="1">
      <alignment horizontal="center" vertical="top"/>
    </xf>
    <xf numFmtId="0" fontId="29" fillId="0" borderId="51" xfId="4495" applyFont="1" applyBorder="1"/>
    <xf numFmtId="0" fontId="29" fillId="0" borderId="52" xfId="4495" applyFont="1" applyBorder="1" applyAlignment="1">
      <alignment horizontal="center"/>
    </xf>
    <xf numFmtId="0" fontId="22" fillId="0" borderId="53" xfId="4495" applyFont="1" applyBorder="1"/>
    <xf numFmtId="1" fontId="30" fillId="0" borderId="0" xfId="4495" quotePrefix="1" applyNumberFormat="1" applyFont="1" applyAlignment="1">
      <alignment horizontal="center" vertical="top"/>
    </xf>
    <xf numFmtId="0" fontId="29" fillId="0" borderId="54" xfId="4495" applyFont="1" applyBorder="1" applyAlignment="1">
      <alignment horizontal="center"/>
    </xf>
    <xf numFmtId="0" fontId="38" fillId="0" borderId="0" xfId="4495" applyFont="1" applyAlignment="1">
      <alignment vertical="top"/>
    </xf>
    <xf numFmtId="0" fontId="30" fillId="0" borderId="61" xfId="4495" applyFont="1" applyBorder="1"/>
    <xf numFmtId="0" fontId="125" fillId="0" borderId="58" xfId="4495" applyBorder="1" applyAlignment="1">
      <alignment horizontal="center"/>
    </xf>
    <xf numFmtId="1" fontId="30" fillId="0" borderId="58" xfId="4495" quotePrefix="1" applyNumberFormat="1" applyFont="1" applyBorder="1" applyAlignment="1">
      <alignment horizontal="center" vertical="top"/>
    </xf>
    <xf numFmtId="0" fontId="38" fillId="0" borderId="58" xfId="4495" applyFont="1" applyBorder="1" applyAlignment="1">
      <alignment vertical="top"/>
    </xf>
    <xf numFmtId="0" fontId="30" fillId="0" borderId="58" xfId="4495" applyFont="1" applyBorder="1" applyAlignment="1">
      <alignment vertical="top" wrapText="1"/>
    </xf>
    <xf numFmtId="0" fontId="30" fillId="0" borderId="58" xfId="4495" applyFont="1" applyBorder="1"/>
    <xf numFmtId="0" fontId="29" fillId="0" borderId="58" xfId="4495" applyFont="1" applyBorder="1" applyAlignment="1">
      <alignment horizontal="center"/>
    </xf>
    <xf numFmtId="0" fontId="125" fillId="0" borderId="61" xfId="4495" applyBorder="1"/>
    <xf numFmtId="0" fontId="125" fillId="0" borderId="0" xfId="4495" applyAlignment="1">
      <alignment horizontal="center"/>
    </xf>
    <xf numFmtId="0" fontId="22" fillId="0" borderId="53" xfId="543" applyBorder="1"/>
    <xf numFmtId="0" fontId="30" fillId="0" borderId="54" xfId="4495" applyFont="1" applyBorder="1"/>
    <xf numFmtId="0" fontId="22" fillId="0" borderId="58" xfId="543" applyBorder="1"/>
    <xf numFmtId="1" fontId="30" fillId="0" borderId="58" xfId="4495" applyNumberFormat="1" applyFont="1" applyBorder="1" applyAlignment="1">
      <alignment horizontal="center" vertical="top"/>
    </xf>
    <xf numFmtId="0" fontId="38" fillId="0" borderId="58" xfId="4495" applyFont="1" applyBorder="1" applyAlignment="1">
      <alignment vertical="center"/>
    </xf>
    <xf numFmtId="0" fontId="125" fillId="0" borderId="58" xfId="4495" applyBorder="1" applyAlignment="1">
      <alignment vertical="top" wrapText="1"/>
    </xf>
    <xf numFmtId="0" fontId="22" fillId="0" borderId="58" xfId="4495" applyFont="1" applyBorder="1"/>
    <xf numFmtId="0" fontId="38" fillId="0" borderId="0" xfId="4495" applyFont="1" applyAlignment="1">
      <alignment vertical="center"/>
    </xf>
    <xf numFmtId="0" fontId="30" fillId="0" borderId="53" xfId="4495" applyFont="1" applyBorder="1"/>
    <xf numFmtId="0" fontId="22" fillId="0" borderId="57" xfId="543" applyBorder="1"/>
    <xf numFmtId="0" fontId="30" fillId="0" borderId="58" xfId="4495" applyFont="1" applyBorder="1" applyAlignment="1">
      <alignment vertical="top"/>
    </xf>
    <xf numFmtId="0" fontId="30" fillId="0" borderId="59" xfId="4495" applyFont="1" applyBorder="1"/>
    <xf numFmtId="0" fontId="30" fillId="0" borderId="57" xfId="4495" applyFont="1" applyBorder="1"/>
    <xf numFmtId="0" fontId="22" fillId="0" borderId="51" xfId="4495" applyFont="1" applyBorder="1"/>
    <xf numFmtId="0" fontId="30" fillId="0" borderId="52" xfId="4495" applyFont="1" applyBorder="1"/>
    <xf numFmtId="0" fontId="22" fillId="0" borderId="50" xfId="543" applyBorder="1"/>
    <xf numFmtId="0" fontId="22" fillId="0" borderId="51" xfId="543" applyBorder="1"/>
    <xf numFmtId="0" fontId="22" fillId="0" borderId="52" xfId="543" applyBorder="1"/>
    <xf numFmtId="0" fontId="30" fillId="0" borderId="0" xfId="4495" applyFont="1" applyAlignment="1">
      <alignment wrapText="1"/>
    </xf>
    <xf numFmtId="0" fontId="29" fillId="0" borderId="54" xfId="4495" applyFont="1" applyBorder="1" applyAlignment="1">
      <alignment horizontal="center" vertical="top"/>
    </xf>
    <xf numFmtId="0" fontId="125" fillId="0" borderId="53" xfId="4495" applyBorder="1" applyAlignment="1">
      <alignment horizontal="center"/>
    </xf>
    <xf numFmtId="2" fontId="30" fillId="0" borderId="0" xfId="4495" applyNumberFormat="1" applyFont="1" applyAlignment="1">
      <alignment horizontal="right"/>
    </xf>
    <xf numFmtId="2" fontId="30" fillId="0" borderId="8" xfId="4495" applyNumberFormat="1" applyFont="1" applyBorder="1" applyAlignment="1">
      <alignment horizontal="left"/>
    </xf>
    <xf numFmtId="0" fontId="30" fillId="0" borderId="8" xfId="4495" applyFont="1" applyBorder="1" applyAlignment="1">
      <alignment horizontal="right"/>
    </xf>
    <xf numFmtId="0" fontId="133" fillId="0" borderId="0" xfId="4495" applyFont="1"/>
    <xf numFmtId="0" fontId="125" fillId="0" borderId="57" xfId="4495" applyBorder="1" applyAlignment="1">
      <alignment horizontal="center"/>
    </xf>
    <xf numFmtId="0" fontId="29" fillId="0" borderId="59" xfId="4495" applyFont="1" applyBorder="1" applyAlignment="1">
      <alignment horizontal="center"/>
    </xf>
    <xf numFmtId="9" fontId="30" fillId="0" borderId="0" xfId="4495" applyNumberFormat="1" applyFont="1" applyAlignment="1">
      <alignment horizontal="left"/>
    </xf>
    <xf numFmtId="0" fontId="22" fillId="0" borderId="17" xfId="543" applyBorder="1"/>
    <xf numFmtId="0" fontId="22" fillId="0" borderId="16" xfId="543" applyBorder="1"/>
    <xf numFmtId="0" fontId="22" fillId="0" borderId="51" xfId="4495" quotePrefix="1" applyFont="1" applyBorder="1" applyAlignment="1">
      <alignment horizontal="center" vertical="top"/>
    </xf>
    <xf numFmtId="0" fontId="30" fillId="0" borderId="53" xfId="4495" applyFont="1" applyBorder="1" applyAlignment="1">
      <alignment horizontal="left" vertical="top"/>
    </xf>
    <xf numFmtId="0" fontId="30" fillId="0" borderId="0" xfId="4495" applyFont="1" applyAlignment="1">
      <alignment horizontal="center" vertical="top"/>
    </xf>
    <xf numFmtId="0" fontId="30" fillId="0" borderId="57" xfId="4495" applyFont="1" applyBorder="1" applyAlignment="1">
      <alignment horizontal="left" vertical="top"/>
    </xf>
    <xf numFmtId="0" fontId="30" fillId="0" borderId="58" xfId="4495" applyFont="1" applyBorder="1" applyAlignment="1">
      <alignment horizontal="center" vertical="top"/>
    </xf>
    <xf numFmtId="0" fontId="125" fillId="0" borderId="58" xfId="4495" applyBorder="1"/>
    <xf numFmtId="0" fontId="29" fillId="0" borderId="58" xfId="4495" applyFont="1" applyBorder="1" applyAlignment="1">
      <alignment vertical="top"/>
    </xf>
    <xf numFmtId="0" fontId="29" fillId="0" borderId="58" xfId="4495" applyFont="1" applyBorder="1" applyAlignment="1">
      <alignment horizontal="left" vertical="top"/>
    </xf>
    <xf numFmtId="0" fontId="29" fillId="0" borderId="51" xfId="4495" applyFont="1" applyBorder="1" applyAlignment="1">
      <alignment horizontal="left" vertical="top"/>
    </xf>
    <xf numFmtId="0" fontId="29" fillId="0" borderId="53" xfId="4495" applyFont="1" applyBorder="1" applyAlignment="1">
      <alignment horizontal="left" vertical="top"/>
    </xf>
    <xf numFmtId="0" fontId="58" fillId="0" borderId="0" xfId="4495" applyFont="1" applyAlignment="1">
      <alignment horizontal="left" vertical="top"/>
    </xf>
    <xf numFmtId="0" fontId="30" fillId="0" borderId="0" xfId="4495" quotePrefix="1" applyFont="1" applyAlignment="1">
      <alignment horizontal="center" vertical="top"/>
    </xf>
    <xf numFmtId="0" fontId="59" fillId="0" borderId="0" xfId="4495" applyFont="1" applyAlignment="1">
      <alignment horizontal="center"/>
    </xf>
    <xf numFmtId="0" fontId="59" fillId="0" borderId="0" xfId="4495" applyFont="1" applyAlignment="1">
      <alignment vertical="top"/>
    </xf>
    <xf numFmtId="0" fontId="112" fillId="0" borderId="0" xfId="4495" applyFont="1"/>
    <xf numFmtId="0" fontId="58" fillId="0" borderId="0" xfId="4495" applyFont="1" applyAlignment="1">
      <alignment vertical="top"/>
    </xf>
    <xf numFmtId="0" fontId="38" fillId="0" borderId="53" xfId="4495" applyFont="1" applyBorder="1"/>
    <xf numFmtId="2" fontId="30" fillId="0" borderId="8" xfId="4495" applyNumberFormat="1" applyFont="1" applyBorder="1" applyAlignment="1">
      <alignment horizontal="right"/>
    </xf>
    <xf numFmtId="0" fontId="29" fillId="0" borderId="50" xfId="4495" applyFont="1" applyBorder="1" applyAlignment="1">
      <alignment horizontal="left" vertical="top"/>
    </xf>
    <xf numFmtId="0" fontId="58" fillId="0" borderId="51" xfId="4495" applyFont="1" applyBorder="1" applyAlignment="1">
      <alignment horizontal="left" vertical="top"/>
    </xf>
    <xf numFmtId="0" fontId="125" fillId="0" borderId="53" xfId="4495" applyBorder="1"/>
    <xf numFmtId="0" fontId="112" fillId="0" borderId="0" xfId="4495" applyFont="1" applyAlignment="1">
      <alignment horizontal="left" vertical="top"/>
    </xf>
    <xf numFmtId="1" fontId="29" fillId="0" borderId="58" xfId="4495" applyNumberFormat="1" applyFont="1" applyBorder="1" applyAlignment="1">
      <alignment vertical="top"/>
    </xf>
    <xf numFmtId="172" fontId="29" fillId="0" borderId="8" xfId="543" applyNumberFormat="1" applyFont="1" applyBorder="1"/>
    <xf numFmtId="172" fontId="29" fillId="0" borderId="0" xfId="543" applyNumberFormat="1" applyFont="1"/>
    <xf numFmtId="0" fontId="38" fillId="0" borderId="0" xfId="4495" applyFont="1" applyAlignment="1">
      <alignment wrapText="1"/>
    </xf>
    <xf numFmtId="0" fontId="38" fillId="0" borderId="0" xfId="4495" applyFont="1" applyAlignment="1">
      <alignment horizontal="center"/>
    </xf>
    <xf numFmtId="0" fontId="38" fillId="0" borderId="0" xfId="4495" applyFont="1" applyAlignment="1">
      <alignment vertical="center" wrapText="1"/>
    </xf>
    <xf numFmtId="180" fontId="30" fillId="0" borderId="0" xfId="4495" applyNumberFormat="1" applyFont="1" applyAlignment="1">
      <alignment horizontal="center"/>
    </xf>
    <xf numFmtId="1" fontId="30" fillId="0" borderId="0" xfId="4495" applyNumberFormat="1" applyFont="1" applyAlignment="1">
      <alignment horizontal="center"/>
    </xf>
    <xf numFmtId="0" fontId="29" fillId="0" borderId="51" xfId="4495" applyFont="1" applyBorder="1" applyAlignment="1">
      <alignment horizontal="center"/>
    </xf>
    <xf numFmtId="0" fontId="29" fillId="0" borderId="51" xfId="4495" applyFont="1" applyBorder="1" applyAlignment="1">
      <alignment vertical="top"/>
    </xf>
    <xf numFmtId="0" fontId="29" fillId="0" borderId="53" xfId="4495" applyFont="1" applyBorder="1"/>
    <xf numFmtId="0" fontId="22" fillId="0" borderId="54" xfId="543" applyBorder="1"/>
    <xf numFmtId="49" fontId="30" fillId="0" borderId="0" xfId="4495" applyNumberFormat="1" applyFont="1" applyAlignment="1">
      <alignment horizontal="left" vertical="center" wrapText="1"/>
    </xf>
    <xf numFmtId="0" fontId="22" fillId="0" borderId="57" xfId="4495" applyFont="1" applyBorder="1"/>
    <xf numFmtId="1" fontId="22" fillId="0" borderId="0" xfId="4495" applyNumberFormat="1" applyFont="1" applyAlignment="1">
      <alignment vertical="center"/>
    </xf>
    <xf numFmtId="0" fontId="40" fillId="0" borderId="50" xfId="4495" applyFont="1" applyBorder="1"/>
    <xf numFmtId="0" fontId="30" fillId="0" borderId="51" xfId="4495" applyFont="1" applyBorder="1" applyAlignment="1">
      <alignment horizontal="center" vertical="top"/>
    </xf>
    <xf numFmtId="0" fontId="30" fillId="0" borderId="51" xfId="4495" applyFont="1" applyBorder="1" applyAlignment="1">
      <alignment vertical="top" wrapText="1"/>
    </xf>
    <xf numFmtId="0" fontId="30" fillId="0" borderId="51" xfId="4495" applyFont="1" applyBorder="1" applyAlignment="1">
      <alignment horizontal="left" vertical="top" wrapText="1"/>
    </xf>
    <xf numFmtId="0" fontId="22" fillId="0" borderId="0" xfId="4495" quotePrefix="1" applyFont="1" applyAlignment="1">
      <alignment horizontal="center" vertical="top"/>
    </xf>
    <xf numFmtId="1" fontId="30" fillId="0" borderId="0" xfId="4495" quotePrefix="1" applyNumberFormat="1" applyFont="1" applyAlignment="1">
      <alignment wrapText="1"/>
    </xf>
    <xf numFmtId="0" fontId="30" fillId="0" borderId="6" xfId="4495" applyFont="1" applyBorder="1" applyAlignment="1">
      <alignment horizontal="right"/>
    </xf>
    <xf numFmtId="0" fontId="127" fillId="0" borderId="0" xfId="4496" applyFont="1" applyAlignment="1">
      <alignment wrapText="1"/>
    </xf>
    <xf numFmtId="0" fontId="22" fillId="0" borderId="0" xfId="4496" applyFont="1" applyAlignment="1">
      <alignment wrapText="1"/>
    </xf>
    <xf numFmtId="0" fontId="38" fillId="0" borderId="51" xfId="4495" applyFont="1" applyBorder="1" applyAlignment="1">
      <alignment vertical="top"/>
    </xf>
    <xf numFmtId="0" fontId="22" fillId="0" borderId="51" xfId="4496" applyFont="1" applyBorder="1" applyAlignment="1">
      <alignment wrapText="1"/>
    </xf>
    <xf numFmtId="0" fontId="29" fillId="0" borderId="51" xfId="4495" applyFont="1" applyBorder="1" applyAlignment="1">
      <alignment horizontal="right"/>
    </xf>
    <xf numFmtId="0" fontId="22" fillId="0" borderId="52" xfId="4495" applyFont="1" applyBorder="1" applyAlignment="1">
      <alignment horizontal="center"/>
    </xf>
    <xf numFmtId="0" fontId="22" fillId="0" borderId="53" xfId="4495" applyFont="1" applyBorder="1" applyAlignment="1">
      <alignment horizontal="left" vertical="top"/>
    </xf>
    <xf numFmtId="0" fontId="22" fillId="0" borderId="54" xfId="4495" applyFont="1" applyBorder="1" applyAlignment="1">
      <alignment horizontal="left" vertical="top"/>
    </xf>
    <xf numFmtId="0" fontId="22" fillId="0" borderId="54" xfId="4495" applyFont="1" applyBorder="1" applyAlignment="1">
      <alignment horizontal="center"/>
    </xf>
    <xf numFmtId="0" fontId="22" fillId="0" borderId="59" xfId="4495" applyFont="1" applyBorder="1" applyAlignment="1">
      <alignment horizontal="center"/>
    </xf>
    <xf numFmtId="9" fontId="22" fillId="0" borderId="0" xfId="4496" applyNumberFormat="1" applyFont="1" applyAlignment="1">
      <alignment horizontal="center"/>
    </xf>
    <xf numFmtId="1" fontId="22" fillId="0" borderId="0" xfId="543" applyNumberFormat="1"/>
    <xf numFmtId="0" fontId="30" fillId="0" borderId="1" xfId="4495" applyFont="1" applyBorder="1"/>
    <xf numFmtId="0" fontId="29" fillId="0" borderId="0" xfId="4495" applyFont="1" applyAlignment="1">
      <alignment horizontal="center" wrapText="1"/>
    </xf>
    <xf numFmtId="0" fontId="29" fillId="0" borderId="9" xfId="4495" applyFont="1" applyBorder="1" applyAlignment="1">
      <alignment horizontal="left"/>
    </xf>
    <xf numFmtId="0" fontId="29" fillId="0" borderId="3" xfId="4495" applyFont="1" applyBorder="1" applyAlignment="1">
      <alignment horizontal="left"/>
    </xf>
    <xf numFmtId="0" fontId="29" fillId="0" borderId="4" xfId="4495" applyFont="1" applyBorder="1" applyAlignment="1">
      <alignment horizontal="left"/>
    </xf>
    <xf numFmtId="0" fontId="22" fillId="0" borderId="2" xfId="4495" applyFont="1" applyBorder="1" applyAlignment="1">
      <alignment horizontal="left"/>
    </xf>
    <xf numFmtId="0" fontId="29" fillId="0" borderId="2" xfId="4495" applyFont="1" applyBorder="1" applyAlignment="1">
      <alignment horizontal="left"/>
    </xf>
    <xf numFmtId="0" fontId="29" fillId="0" borderId="5" xfId="4495" applyFont="1" applyBorder="1" applyAlignment="1">
      <alignment horizontal="left"/>
    </xf>
    <xf numFmtId="180" fontId="69" fillId="0" borderId="0" xfId="4495" applyNumberFormat="1" applyFont="1" applyAlignment="1">
      <alignment horizontal="center" vertical="center"/>
    </xf>
    <xf numFmtId="0" fontId="22" fillId="0" borderId="12" xfId="4495" applyFont="1" applyBorder="1" applyAlignment="1">
      <alignment vertical="top"/>
    </xf>
    <xf numFmtId="0" fontId="52" fillId="0" borderId="0" xfId="4495" applyFont="1" applyAlignment="1">
      <alignment vertical="top" wrapText="1"/>
    </xf>
    <xf numFmtId="0" fontId="22" fillId="0" borderId="51" xfId="4495" applyFont="1" applyBorder="1" applyAlignment="1">
      <alignment horizontal="left" vertical="top" wrapText="1"/>
    </xf>
    <xf numFmtId="0" fontId="22" fillId="0" borderId="51" xfId="4495" applyFont="1" applyBorder="1" applyAlignment="1">
      <alignment horizontal="right"/>
    </xf>
    <xf numFmtId="0" fontId="22" fillId="0" borderId="52" xfId="4495" applyFont="1" applyBorder="1" applyAlignment="1">
      <alignment horizontal="right"/>
    </xf>
    <xf numFmtId="0" fontId="22" fillId="0" borderId="54" xfId="4495" applyFont="1" applyBorder="1" applyAlignment="1">
      <alignment horizontal="right"/>
    </xf>
    <xf numFmtId="0" fontId="22" fillId="0" borderId="58" xfId="4495" applyFont="1" applyBorder="1" applyAlignment="1">
      <alignment horizontal="left" vertical="top" wrapText="1"/>
    </xf>
    <xf numFmtId="0" fontId="22" fillId="0" borderId="58" xfId="4495" applyFont="1" applyBorder="1" applyAlignment="1">
      <alignment horizontal="right"/>
    </xf>
    <xf numFmtId="0" fontId="22" fillId="0" borderId="59" xfId="4495" applyFont="1" applyBorder="1" applyAlignment="1">
      <alignment horizontal="right"/>
    </xf>
    <xf numFmtId="0" fontId="52" fillId="0" borderId="0" xfId="4495" applyFont="1" applyAlignment="1">
      <alignment horizontal="left" vertical="top" wrapText="1"/>
    </xf>
    <xf numFmtId="0" fontId="22" fillId="0" borderId="0" xfId="1192" applyAlignment="1">
      <alignment horizontal="left" vertical="top"/>
    </xf>
    <xf numFmtId="0" fontId="40" fillId="0" borderId="0" xfId="1192" applyFont="1" applyAlignment="1">
      <alignment horizontal="left" vertical="top"/>
    </xf>
    <xf numFmtId="0" fontId="22" fillId="0" borderId="0" xfId="1192" applyAlignment="1">
      <alignment vertical="top"/>
    </xf>
    <xf numFmtId="168" fontId="22" fillId="0" borderId="0" xfId="1192" applyNumberFormat="1"/>
    <xf numFmtId="165" fontId="22" fillId="0" borderId="0" xfId="1192" applyNumberFormat="1"/>
    <xf numFmtId="165" fontId="22" fillId="0" borderId="0" xfId="1192" applyNumberFormat="1" applyAlignment="1">
      <alignment horizontal="right"/>
    </xf>
    <xf numFmtId="2" fontId="22" fillId="0" borderId="0" xfId="1192" applyNumberFormat="1"/>
    <xf numFmtId="6" fontId="22" fillId="0" borderId="0" xfId="1192" applyNumberFormat="1"/>
    <xf numFmtId="0" fontId="29" fillId="0" borderId="0" xfId="1192" applyFont="1"/>
    <xf numFmtId="0" fontId="52" fillId="0" borderId="0" xfId="1192" applyFont="1"/>
    <xf numFmtId="168" fontId="22" fillId="0" borderId="0" xfId="4495" applyNumberFormat="1" applyFont="1"/>
    <xf numFmtId="0" fontId="29" fillId="0" borderId="0" xfId="1192" applyFont="1" applyAlignment="1">
      <alignment vertical="center"/>
    </xf>
    <xf numFmtId="0" fontId="123" fillId="0" borderId="0" xfId="1192" applyFont="1" applyAlignment="1">
      <alignment horizontal="left"/>
    </xf>
    <xf numFmtId="0" fontId="120" fillId="0" borderId="0" xfId="1192" applyFont="1" applyAlignment="1">
      <alignment horizontal="left"/>
    </xf>
    <xf numFmtId="0" fontId="120" fillId="0" borderId="0" xfId="1192" applyFont="1" applyAlignment="1">
      <alignment horizontal="center"/>
    </xf>
    <xf numFmtId="168" fontId="22" fillId="0" borderId="0" xfId="1192" applyNumberFormat="1" applyAlignment="1">
      <alignment horizontal="center"/>
    </xf>
    <xf numFmtId="9" fontId="22" fillId="0" borderId="0" xfId="1192" applyNumberFormat="1"/>
    <xf numFmtId="0" fontId="22" fillId="0" borderId="0" xfId="1192" applyAlignment="1">
      <alignment horizontal="right"/>
    </xf>
    <xf numFmtId="0" fontId="22" fillId="0" borderId="53" xfId="4495" applyFont="1" applyBorder="1" applyAlignment="1">
      <alignment horizontal="left"/>
    </xf>
    <xf numFmtId="6" fontId="29" fillId="0" borderId="0" xfId="1192" applyNumberFormat="1" applyFont="1" applyAlignment="1">
      <alignment horizontal="right"/>
    </xf>
    <xf numFmtId="165" fontId="22" fillId="0" borderId="0" xfId="4495" applyNumberFormat="1" applyFont="1"/>
    <xf numFmtId="0" fontId="59" fillId="0" borderId="4" xfId="4495" applyFont="1" applyBorder="1"/>
    <xf numFmtId="0" fontId="42" fillId="0" borderId="0" xfId="543" applyFont="1" applyAlignment="1">
      <alignment vertical="center" wrapText="1"/>
    </xf>
    <xf numFmtId="1" fontId="29" fillId="0" borderId="13" xfId="271" applyNumberFormat="1" applyFont="1" applyBorder="1"/>
    <xf numFmtId="1" fontId="31" fillId="0" borderId="13" xfId="271" applyNumberFormat="1" applyBorder="1"/>
    <xf numFmtId="0" fontId="22" fillId="0" borderId="11" xfId="0" applyFont="1" applyBorder="1"/>
    <xf numFmtId="9" fontId="22" fillId="0" borderId="0" xfId="4495" applyNumberFormat="1" applyFont="1"/>
    <xf numFmtId="165" fontId="127" fillId="0" borderId="0" xfId="4496" applyNumberFormat="1" applyFont="1" applyAlignment="1">
      <alignment horizontal="center" vertical="top" wrapText="1"/>
    </xf>
    <xf numFmtId="168" fontId="127" fillId="0" borderId="0" xfId="4496" applyNumberFormat="1" applyFont="1" applyAlignment="1">
      <alignment vertical="top" wrapText="1"/>
    </xf>
    <xf numFmtId="165" fontId="127" fillId="0" borderId="64" xfId="4496" applyNumberFormat="1" applyFont="1" applyBorder="1" applyAlignment="1">
      <alignment horizontal="center" vertical="top" wrapText="1"/>
    </xf>
    <xf numFmtId="165" fontId="127" fillId="0" borderId="53" xfId="4496" applyNumberFormat="1" applyFont="1" applyBorder="1" applyAlignment="1">
      <alignment horizontal="left" vertical="top"/>
    </xf>
    <xf numFmtId="165" fontId="127" fillId="0" borderId="53" xfId="4496" applyNumberFormat="1" applyFont="1" applyBorder="1" applyAlignment="1">
      <alignment horizontal="center" vertical="top" wrapText="1"/>
    </xf>
    <xf numFmtId="168" fontId="127" fillId="0" borderId="0" xfId="4496" applyNumberFormat="1" applyFont="1" applyAlignment="1">
      <alignment vertical="top"/>
    </xf>
    <xf numFmtId="1" fontId="127" fillId="0" borderId="0" xfId="4496" applyNumberFormat="1" applyFont="1" applyAlignment="1">
      <alignment vertical="top" wrapText="1"/>
    </xf>
    <xf numFmtId="164" fontId="30" fillId="0" borderId="0" xfId="4495" applyNumberFormat="1" applyFont="1"/>
    <xf numFmtId="0" fontId="29" fillId="0" borderId="8" xfId="0" applyFont="1" applyBorder="1" applyAlignment="1">
      <alignment horizontal="center" vertical="center" wrapText="1"/>
    </xf>
    <xf numFmtId="0" fontId="2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5" fillId="0" borderId="50" xfId="1192" applyFont="1" applyBorder="1" applyAlignment="1">
      <alignment horizontal="left"/>
    </xf>
    <xf numFmtId="0" fontId="146" fillId="0" borderId="51" xfId="4495" applyFont="1" applyBorder="1" applyAlignment="1">
      <alignment vertical="top"/>
    </xf>
    <xf numFmtId="0" fontId="145" fillId="0" borderId="51" xfId="4495" applyFont="1" applyBorder="1" applyAlignment="1">
      <alignment vertical="top" wrapText="1"/>
    </xf>
    <xf numFmtId="0" fontId="146" fillId="0" borderId="51" xfId="4495" applyFont="1" applyBorder="1"/>
    <xf numFmtId="0" fontId="146" fillId="0" borderId="53" xfId="1192" applyFont="1" applyBorder="1" applyAlignment="1">
      <alignment horizontal="left"/>
    </xf>
    <xf numFmtId="0" fontId="146" fillId="0" borderId="0" xfId="4495" applyFont="1" applyAlignment="1">
      <alignment vertical="top"/>
    </xf>
    <xf numFmtId="0" fontId="145" fillId="0" borderId="0" xfId="4495" applyFont="1" applyAlignment="1">
      <alignment vertical="top" wrapText="1"/>
    </xf>
    <xf numFmtId="0" fontId="146" fillId="0" borderId="0" xfId="4495" applyFont="1"/>
    <xf numFmtId="0" fontId="145" fillId="0" borderId="53" xfId="1192" applyFont="1" applyBorder="1" applyAlignment="1">
      <alignment horizontal="left"/>
    </xf>
    <xf numFmtId="0" fontId="145" fillId="0" borderId="57" xfId="1192" applyFont="1" applyBorder="1" applyAlignment="1">
      <alignment horizontal="left"/>
    </xf>
    <xf numFmtId="0" fontId="146" fillId="0" borderId="58" xfId="4495" applyFont="1" applyBorder="1" applyAlignment="1">
      <alignment vertical="top"/>
    </xf>
    <xf numFmtId="0" fontId="145" fillId="0" borderId="58" xfId="4495" applyFont="1" applyBorder="1" applyAlignment="1">
      <alignment vertical="top" wrapText="1"/>
    </xf>
    <xf numFmtId="0" fontId="146" fillId="0" borderId="58" xfId="4495" applyFont="1" applyBorder="1"/>
    <xf numFmtId="0" fontId="31" fillId="0" borderId="3" xfId="0" applyFont="1" applyBorder="1" applyAlignment="1">
      <alignment horizontal="center"/>
    </xf>
    <xf numFmtId="0" fontId="31" fillId="0" borderId="4" xfId="0" applyFont="1" applyBorder="1" applyAlignment="1">
      <alignment horizontal="center"/>
    </xf>
    <xf numFmtId="0" fontId="31" fillId="0" borderId="5" xfId="0" applyFont="1" applyBorder="1" applyAlignment="1">
      <alignment horizontal="center"/>
    </xf>
    <xf numFmtId="0" fontId="29" fillId="0" borderId="7" xfId="0" applyFont="1" applyBorder="1" applyAlignment="1">
      <alignment horizontal="right"/>
    </xf>
    <xf numFmtId="0" fontId="0" fillId="0" borderId="0" xfId="0" applyAlignment="1" applyProtection="1">
      <alignment horizontal="left" vertical="top" wrapText="1"/>
      <protection locked="0"/>
    </xf>
    <xf numFmtId="0" fontId="22" fillId="0" borderId="9" xfId="0" applyFont="1" applyBorder="1" applyAlignment="1">
      <alignment horizontal="left"/>
    </xf>
    <xf numFmtId="0" fontId="22" fillId="0" borderId="6" xfId="0" applyFont="1" applyBorder="1"/>
    <xf numFmtId="0" fontId="22" fillId="0" borderId="9" xfId="0" applyFont="1" applyBorder="1"/>
    <xf numFmtId="0" fontId="55" fillId="0" borderId="0" xfId="0" applyFont="1" applyAlignment="1">
      <alignment horizontal="center"/>
    </xf>
    <xf numFmtId="0" fontId="28" fillId="0" borderId="0" xfId="0" applyFont="1" applyAlignment="1">
      <alignment horizontal="center" vertical="center" wrapText="1"/>
    </xf>
    <xf numFmtId="0" fontId="37" fillId="0" borderId="0" xfId="0" applyFont="1" applyAlignment="1">
      <alignment horizontal="center"/>
    </xf>
    <xf numFmtId="0" fontId="30" fillId="0" borderId="0" xfId="0" applyFont="1" applyAlignment="1">
      <alignment horizontal="center"/>
    </xf>
    <xf numFmtId="0" fontId="29" fillId="0" borderId="3" xfId="0" applyFont="1" applyBorder="1"/>
    <xf numFmtId="0" fontId="29" fillId="0" borderId="4" xfId="271" applyFont="1" applyBorder="1"/>
    <xf numFmtId="0" fontId="29" fillId="0" borderId="3" xfId="271" applyFont="1" applyBorder="1"/>
    <xf numFmtId="0" fontId="29" fillId="0" borderId="5" xfId="271" applyFont="1" applyBorder="1"/>
    <xf numFmtId="0" fontId="22" fillId="0" borderId="58" xfId="4495" applyFont="1" applyBorder="1" applyAlignment="1">
      <alignment vertical="center" wrapText="1"/>
    </xf>
    <xf numFmtId="0" fontId="22" fillId="0" borderId="59" xfId="4495" applyFont="1" applyBorder="1" applyAlignment="1">
      <alignment vertical="center" wrapText="1"/>
    </xf>
    <xf numFmtId="0" fontId="22" fillId="0" borderId="0" xfId="4495" applyFont="1" applyAlignment="1">
      <alignment horizontal="left" vertical="center" wrapText="1"/>
    </xf>
    <xf numFmtId="0" fontId="29" fillId="0" borderId="5" xfId="0" applyFont="1" applyBorder="1"/>
    <xf numFmtId="168" fontId="27" fillId="43" borderId="0" xfId="0" applyNumberFormat="1" applyFont="1" applyFill="1"/>
    <xf numFmtId="9" fontId="30" fillId="0" borderId="0" xfId="543" applyNumberFormat="1" applyFont="1" applyAlignment="1">
      <alignment horizontal="center"/>
    </xf>
    <xf numFmtId="171" fontId="22" fillId="0" borderId="0" xfId="543" applyNumberFormat="1"/>
    <xf numFmtId="171" fontId="22" fillId="0" borderId="11" xfId="543" applyNumberFormat="1" applyBorder="1"/>
    <xf numFmtId="1" fontId="22" fillId="0" borderId="11" xfId="543" applyNumberFormat="1" applyBorder="1" applyAlignment="1">
      <alignment horizontal="center"/>
    </xf>
    <xf numFmtId="0" fontId="48" fillId="0" borderId="8" xfId="543" applyFont="1" applyBorder="1" applyAlignment="1">
      <alignment vertical="center" wrapText="1"/>
    </xf>
    <xf numFmtId="0" fontId="48" fillId="0" borderId="0" xfId="543" applyFont="1" applyAlignment="1">
      <alignment vertical="center" wrapText="1"/>
    </xf>
    <xf numFmtId="0" fontId="48" fillId="0" borderId="12" xfId="543" applyFont="1" applyBorder="1" applyAlignment="1">
      <alignment vertical="center" wrapText="1"/>
    </xf>
    <xf numFmtId="0" fontId="48" fillId="0" borderId="9" xfId="543" applyFont="1" applyBorder="1" applyAlignment="1">
      <alignment vertical="center" wrapText="1"/>
    </xf>
    <xf numFmtId="0" fontId="48" fillId="0" borderId="6" xfId="543" applyFont="1" applyBorder="1" applyAlignment="1">
      <alignment vertical="center" wrapText="1"/>
    </xf>
    <xf numFmtId="0" fontId="48" fillId="0" borderId="10" xfId="543" applyFont="1" applyBorder="1" applyAlignment="1">
      <alignment vertical="center" wrapText="1"/>
    </xf>
    <xf numFmtId="0" fontId="49" fillId="0" borderId="8" xfId="543" applyFont="1" applyBorder="1" applyAlignment="1">
      <alignment vertical="center" wrapText="1"/>
    </xf>
    <xf numFmtId="0" fontId="49" fillId="0" borderId="0" xfId="543" applyFont="1" applyAlignment="1">
      <alignment vertical="center" wrapText="1"/>
    </xf>
    <xf numFmtId="0" fontId="49" fillId="0" borderId="12" xfId="543" applyFont="1" applyBorder="1" applyAlignment="1">
      <alignment vertical="center" wrapText="1"/>
    </xf>
    <xf numFmtId="0" fontId="49" fillId="0" borderId="9" xfId="543" applyFont="1" applyBorder="1" applyAlignment="1">
      <alignment vertical="center" wrapText="1"/>
    </xf>
    <xf numFmtId="0" fontId="49" fillId="0" borderId="6" xfId="543" applyFont="1" applyBorder="1" applyAlignment="1">
      <alignment vertical="center" wrapText="1"/>
    </xf>
    <xf numFmtId="0" fontId="49" fillId="0" borderId="10" xfId="543" applyFont="1" applyBorder="1" applyAlignment="1">
      <alignment vertical="center" wrapText="1"/>
    </xf>
    <xf numFmtId="0" fontId="42" fillId="0" borderId="12" xfId="543" applyFont="1" applyBorder="1" applyAlignment="1">
      <alignment horizontal="center" vertical="top"/>
    </xf>
    <xf numFmtId="0" fontId="43" fillId="0" borderId="7" xfId="543" applyFont="1" applyBorder="1"/>
    <xf numFmtId="0" fontId="22" fillId="0" borderId="12" xfId="543" quotePrefix="1" applyBorder="1"/>
    <xf numFmtId="0" fontId="58" fillId="0" borderId="2" xfId="569" applyFont="1" applyBorder="1" applyAlignment="1">
      <alignment vertical="top"/>
    </xf>
    <xf numFmtId="0" fontId="32" fillId="0" borderId="0" xfId="4495" applyFont="1"/>
    <xf numFmtId="0" fontId="22" fillId="0" borderId="0" xfId="4495" applyFont="1" applyAlignment="1">
      <alignment vertical="top" wrapText="1" shrinkToFit="1"/>
    </xf>
    <xf numFmtId="0" fontId="150" fillId="0" borderId="0" xfId="4495" applyFont="1"/>
    <xf numFmtId="164" fontId="22" fillId="0" borderId="0" xfId="1192" applyNumberFormat="1" applyAlignment="1">
      <alignment horizontal="right"/>
    </xf>
    <xf numFmtId="164" fontId="22" fillId="0" borderId="0" xfId="4495" applyNumberFormat="1" applyFont="1" applyAlignment="1">
      <alignment horizontal="right"/>
    </xf>
    <xf numFmtId="0" fontId="22" fillId="0" borderId="0" xfId="4495" applyFont="1" applyAlignment="1">
      <alignment horizontal="left" vertical="top" wrapText="1" shrinkToFit="1"/>
    </xf>
    <xf numFmtId="0" fontId="22" fillId="0" borderId="6" xfId="4495" applyFont="1" applyBorder="1" applyAlignment="1">
      <alignment vertical="top" wrapText="1"/>
    </xf>
    <xf numFmtId="0" fontId="150" fillId="0" borderId="4" xfId="4495" applyFont="1" applyBorder="1"/>
    <xf numFmtId="0" fontId="22" fillId="0" borderId="4" xfId="4495" applyFont="1" applyBorder="1" applyAlignment="1">
      <alignment horizontal="left" vertical="top" wrapText="1" shrinkToFit="1"/>
    </xf>
    <xf numFmtId="0" fontId="32" fillId="0" borderId="0" xfId="4495" applyFont="1" applyAlignment="1">
      <alignment horizontal="left" vertical="top"/>
    </xf>
    <xf numFmtId="0" fontId="22" fillId="0" borderId="0" xfId="4495" applyFont="1" applyAlignment="1">
      <alignment vertical="center" wrapText="1" shrinkToFit="1"/>
    </xf>
    <xf numFmtId="0" fontId="22" fillId="0" borderId="0" xfId="4495" applyFont="1" applyAlignment="1">
      <alignment horizontal="left" vertical="top" shrinkToFit="1"/>
    </xf>
    <xf numFmtId="0" fontId="22" fillId="0" borderId="0" xfId="4495" applyFont="1" applyAlignment="1">
      <alignment horizontal="left" vertical="center" shrinkToFit="1"/>
    </xf>
    <xf numFmtId="0" fontId="32" fillId="0" borderId="4" xfId="4495" applyFont="1" applyBorder="1"/>
    <xf numFmtId="0" fontId="22" fillId="0" borderId="4" xfId="4495" applyFont="1" applyBorder="1" applyAlignment="1">
      <alignment horizontal="left" vertical="top" shrinkToFit="1"/>
    </xf>
    <xf numFmtId="0" fontId="22" fillId="0" borderId="0" xfId="4495" applyFont="1" applyAlignment="1">
      <alignment vertical="center"/>
    </xf>
    <xf numFmtId="0" fontId="28" fillId="0" borderId="0" xfId="4495" applyFont="1"/>
    <xf numFmtId="0" fontId="32" fillId="0" borderId="0" xfId="4495" applyFont="1" applyAlignment="1">
      <alignment horizontal="center"/>
    </xf>
    <xf numFmtId="0" fontId="22" fillId="0" borderId="4" xfId="4495" applyFont="1" applyBorder="1" applyAlignment="1">
      <alignment horizontal="left" vertical="top" wrapText="1"/>
    </xf>
    <xf numFmtId="44" fontId="22" fillId="0" borderId="0" xfId="707" applyFont="1" applyFill="1" applyBorder="1" applyAlignment="1" applyProtection="1">
      <alignment horizontal="left" vertical="top" wrapText="1"/>
    </xf>
    <xf numFmtId="44" fontId="22" fillId="0" borderId="4" xfId="707" applyFont="1" applyFill="1" applyBorder="1" applyAlignment="1" applyProtection="1">
      <alignment horizontal="left" vertical="top" wrapText="1"/>
    </xf>
    <xf numFmtId="164" fontId="40" fillId="0" borderId="0" xfId="4495" applyNumberFormat="1" applyFont="1" applyAlignment="1">
      <alignment horizontal="left"/>
    </xf>
    <xf numFmtId="0" fontId="32" fillId="0" borderId="0" xfId="4495" applyFont="1" applyAlignment="1">
      <alignment horizontal="left"/>
    </xf>
    <xf numFmtId="0" fontId="22" fillId="0" borderId="4" xfId="4495" applyFont="1" applyBorder="1" applyAlignment="1">
      <alignment vertical="top" wrapText="1"/>
    </xf>
    <xf numFmtId="0" fontId="32" fillId="0" borderId="4" xfId="4495" applyFont="1" applyBorder="1" applyAlignment="1">
      <alignment horizontal="left" vertical="top"/>
    </xf>
    <xf numFmtId="0" fontId="22" fillId="0" borderId="0" xfId="4495" applyFont="1" applyAlignment="1">
      <alignment horizontal="left" vertical="center" wrapText="1" shrinkToFit="1"/>
    </xf>
    <xf numFmtId="0" fontId="22" fillId="0" borderId="6" xfId="4495" applyFont="1" applyBorder="1" applyAlignment="1">
      <alignment horizontal="left" vertical="top" wrapText="1"/>
    </xf>
    <xf numFmtId="2" fontId="123" fillId="0" borderId="0" xfId="0" applyNumberFormat="1" applyFont="1" applyAlignment="1">
      <alignment horizontal="center"/>
    </xf>
    <xf numFmtId="9" fontId="22" fillId="0" borderId="0" xfId="4494" applyFont="1" applyAlignment="1">
      <alignment horizontal="center"/>
    </xf>
    <xf numFmtId="3" fontId="22" fillId="0" borderId="0" xfId="0" applyNumberFormat="1" applyFont="1"/>
    <xf numFmtId="10" fontId="22" fillId="0" borderId="0" xfId="0" applyNumberFormat="1" applyFont="1" applyAlignment="1">
      <alignment horizontal="center"/>
    </xf>
    <xf numFmtId="168" fontId="22" fillId="0" borderId="0" xfId="0" applyNumberFormat="1" applyFont="1"/>
    <xf numFmtId="172" fontId="22" fillId="0" borderId="11" xfId="0" applyNumberFormat="1" applyFont="1" applyBorder="1" applyAlignment="1">
      <alignment horizontal="center"/>
    </xf>
    <xf numFmtId="168" fontId="22" fillId="5" borderId="0" xfId="0" applyNumberFormat="1" applyFont="1" applyFill="1"/>
    <xf numFmtId="3" fontId="22" fillId="5" borderId="0" xfId="0" applyNumberFormat="1" applyFont="1" applyFill="1"/>
    <xf numFmtId="0" fontId="22" fillId="5" borderId="0" xfId="0" applyFont="1" applyFill="1"/>
    <xf numFmtId="3" fontId="22" fillId="5" borderId="6" xfId="0" applyNumberFormat="1" applyFont="1" applyFill="1" applyBorder="1"/>
    <xf numFmtId="3" fontId="22" fillId="0" borderId="6" xfId="0" applyNumberFormat="1" applyFont="1" applyBorder="1"/>
    <xf numFmtId="168" fontId="22" fillId="0" borderId="0" xfId="0" applyNumberFormat="1" applyFont="1" applyAlignment="1">
      <alignment horizontal="center"/>
    </xf>
    <xf numFmtId="3" fontId="22" fillId="0" borderId="0" xfId="0" applyNumberFormat="1" applyFont="1" applyAlignment="1">
      <alignment horizontal="center"/>
    </xf>
    <xf numFmtId="0" fontId="22" fillId="0" borderId="50" xfId="4495" applyFont="1" applyBorder="1" applyAlignment="1">
      <alignment vertical="center"/>
    </xf>
    <xf numFmtId="0" fontId="22" fillId="0" borderId="51" xfId="4495" applyFont="1" applyBorder="1" applyAlignment="1">
      <alignment vertical="center"/>
    </xf>
    <xf numFmtId="0" fontId="22" fillId="0" borderId="52" xfId="4495" applyFont="1" applyBorder="1" applyAlignment="1">
      <alignment vertical="center"/>
    </xf>
    <xf numFmtId="0" fontId="22" fillId="0" borderId="54" xfId="4495" applyFont="1" applyBorder="1" applyAlignment="1">
      <alignment vertical="center" wrapText="1"/>
    </xf>
    <xf numFmtId="0" fontId="22" fillId="0" borderId="53" xfId="4495" applyFont="1" applyBorder="1" applyAlignment="1">
      <alignment vertical="top" wrapText="1"/>
    </xf>
    <xf numFmtId="9" fontId="22" fillId="0" borderId="0" xfId="543" applyNumberFormat="1" applyAlignment="1">
      <alignment horizontal="center"/>
    </xf>
    <xf numFmtId="0" fontId="54" fillId="0" borderId="0" xfId="4496" applyFont="1"/>
    <xf numFmtId="168" fontId="58" fillId="5" borderId="11" xfId="0" applyNumberFormat="1" applyFont="1" applyFill="1" applyBorder="1" applyAlignment="1" applyProtection="1">
      <alignment vertical="top" wrapText="1"/>
      <protection locked="0"/>
    </xf>
    <xf numFmtId="0" fontId="22" fillId="0" borderId="0" xfId="0" applyFont="1" applyAlignment="1">
      <alignment horizontal="left" wrapText="1"/>
    </xf>
    <xf numFmtId="4" fontId="40" fillId="0" borderId="0" xfId="0" applyNumberFormat="1" applyFont="1" applyAlignment="1">
      <alignment horizontal="left"/>
    </xf>
    <xf numFmtId="4" fontId="22" fillId="0" borderId="0" xfId="0" applyNumberFormat="1" applyFont="1" applyAlignment="1">
      <alignment horizontal="left" vertical="top" wrapText="1"/>
    </xf>
    <xf numFmtId="0" fontId="29" fillId="0" borderId="4" xfId="0" applyFont="1" applyBorder="1" applyAlignment="1">
      <alignment horizontal="left"/>
    </xf>
    <xf numFmtId="4" fontId="22" fillId="0" borderId="0" xfId="0" applyNumberFormat="1" applyFont="1" applyAlignment="1">
      <alignment horizontal="left"/>
    </xf>
    <xf numFmtId="43" fontId="56" fillId="0" borderId="0" xfId="4503" applyFont="1" applyAlignment="1" applyProtection="1">
      <alignment horizontal="center"/>
    </xf>
    <xf numFmtId="43" fontId="22" fillId="0" borderId="0" xfId="4503" applyFont="1" applyAlignment="1" applyProtection="1">
      <alignment horizontal="center"/>
    </xf>
    <xf numFmtId="43" fontId="22" fillId="0" borderId="0" xfId="4503" applyFont="1" applyProtection="1"/>
    <xf numFmtId="49" fontId="22" fillId="0" borderId="0" xfId="0" applyNumberFormat="1" applyFont="1"/>
    <xf numFmtId="49" fontId="22" fillId="0" borderId="0" xfId="0" applyNumberFormat="1" applyFont="1" applyAlignment="1">
      <alignment horizontal="center"/>
    </xf>
    <xf numFmtId="4" fontId="22" fillId="0" borderId="0" xfId="0" applyNumberFormat="1" applyFont="1" applyAlignment="1">
      <alignment vertical="top" wrapText="1"/>
    </xf>
    <xf numFmtId="0" fontId="22" fillId="0" borderId="0" xfId="0" quotePrefix="1" applyFont="1"/>
    <xf numFmtId="0" fontId="52" fillId="0" borderId="0" xfId="0" applyFont="1" applyAlignment="1">
      <alignment horizontal="left"/>
    </xf>
    <xf numFmtId="0" fontId="22" fillId="0" borderId="4" xfId="0" applyFont="1" applyBorder="1" applyAlignment="1">
      <alignment horizontal="left"/>
    </xf>
    <xf numFmtId="0" fontId="22" fillId="0" borderId="0" xfId="0" quotePrefix="1" applyFont="1" applyAlignment="1">
      <alignment horizontal="left"/>
    </xf>
    <xf numFmtId="0" fontId="22" fillId="0" borderId="0" xfId="0" quotePrefix="1" applyFont="1" applyAlignment="1">
      <alignment horizontal="left" vertical="top"/>
    </xf>
    <xf numFmtId="0" fontId="52" fillId="0" borderId="0" xfId="1192" applyFont="1" applyAlignment="1">
      <alignment horizontal="left"/>
    </xf>
    <xf numFmtId="0" fontId="56" fillId="0" borderId="0" xfId="0" applyFont="1" applyAlignment="1">
      <alignment horizontal="center" vertical="center"/>
    </xf>
    <xf numFmtId="49" fontId="29" fillId="0" borderId="0" xfId="0" applyNumberFormat="1" applyFont="1" applyAlignment="1">
      <alignment horizontal="center" vertical="center"/>
    </xf>
    <xf numFmtId="49" fontId="22" fillId="0" borderId="0" xfId="0" applyNumberFormat="1" applyFont="1" applyAlignment="1">
      <alignment vertical="center"/>
    </xf>
    <xf numFmtId="4" fontId="22" fillId="0" borderId="0" xfId="0" applyNumberFormat="1" applyFont="1" applyAlignment="1">
      <alignment horizontal="center"/>
    </xf>
    <xf numFmtId="4" fontId="22" fillId="0" borderId="0" xfId="0" applyNumberFormat="1" applyFont="1"/>
    <xf numFmtId="10" fontId="22" fillId="0" borderId="0" xfId="4495" applyNumberFormat="1" applyFont="1"/>
    <xf numFmtId="10" fontId="127" fillId="0" borderId="0" xfId="4496" applyNumberFormat="1" applyFont="1" applyAlignment="1">
      <alignment horizontal="center" vertical="top" wrapText="1"/>
    </xf>
    <xf numFmtId="10" fontId="127" fillId="0" borderId="64" xfId="4496" applyNumberFormat="1" applyFont="1" applyBorder="1" applyAlignment="1">
      <alignment horizontal="center" vertical="top" wrapText="1"/>
    </xf>
    <xf numFmtId="10" fontId="12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2" fillId="0" borderId="0" xfId="1192" quotePrefix="1" applyNumberFormat="1" applyAlignment="1">
      <alignment horizontal="center"/>
    </xf>
    <xf numFmtId="0" fontId="127" fillId="0" borderId="0" xfId="4495" applyFont="1"/>
    <xf numFmtId="10" fontId="127" fillId="0" borderId="0" xfId="4495" applyNumberFormat="1" applyFont="1"/>
    <xf numFmtId="172" fontId="22" fillId="0" borderId="0" xfId="4495" applyNumberFormat="1" applyFont="1"/>
    <xf numFmtId="0" fontId="45" fillId="0" borderId="0" xfId="0" applyFont="1" applyAlignment="1">
      <alignment horizontal="center"/>
    </xf>
    <xf numFmtId="0" fontId="41" fillId="0" borderId="0" xfId="0" applyFont="1" applyAlignment="1">
      <alignment horizontal="left"/>
    </xf>
    <xf numFmtId="0" fontId="0" fillId="0" borderId="10" xfId="0" applyBorder="1" applyAlignment="1">
      <alignment horizontal="left"/>
    </xf>
    <xf numFmtId="1" fontId="22" fillId="0" borderId="0" xfId="1192" applyNumberFormat="1" applyAlignment="1">
      <alignment horizontal="center"/>
    </xf>
    <xf numFmtId="0" fontId="125" fillId="0" borderId="63" xfId="4495" applyBorder="1"/>
    <xf numFmtId="0" fontId="58" fillId="0" borderId="0" xfId="271" applyFont="1" applyAlignment="1">
      <alignment vertical="top"/>
    </xf>
    <xf numFmtId="0" fontId="29" fillId="0" borderId="11" xfId="0" applyFont="1" applyBorder="1" applyAlignment="1">
      <alignment horizontal="right" vertical="top" wrapText="1"/>
    </xf>
    <xf numFmtId="0" fontId="31" fillId="0" borderId="11" xfId="271" applyBorder="1" applyAlignment="1" applyProtection="1">
      <alignment horizontal="right" vertical="top" wrapText="1"/>
      <protection locked="0"/>
    </xf>
    <xf numFmtId="0" fontId="22" fillId="0" borderId="54" xfId="4495" applyFont="1" applyBorder="1" applyAlignment="1">
      <alignment vertical="top"/>
    </xf>
    <xf numFmtId="9" fontId="31" fillId="0" borderId="0" xfId="0" applyNumberFormat="1" applyFont="1"/>
    <xf numFmtId="0" fontId="22" fillId="0" borderId="16" xfId="569" applyBorder="1" applyAlignment="1">
      <alignment horizontal="center"/>
    </xf>
    <xf numFmtId="164" fontId="22" fillId="0" borderId="57" xfId="4495" applyNumberFormat="1" applyFont="1" applyBorder="1" applyAlignment="1">
      <alignment vertical="top" wrapText="1"/>
    </xf>
    <xf numFmtId="164" fontId="22" fillId="0" borderId="58" xfId="4495" applyNumberFormat="1" applyFont="1" applyBorder="1" applyAlignment="1">
      <alignment vertical="top" wrapText="1"/>
    </xf>
    <xf numFmtId="164" fontId="22" fillId="0" borderId="59" xfId="4495" applyNumberFormat="1" applyFont="1" applyBorder="1" applyAlignment="1">
      <alignment vertical="top" wrapText="1"/>
    </xf>
    <xf numFmtId="0" fontId="29" fillId="0" borderId="0" xfId="1192" applyFont="1" applyAlignment="1">
      <alignment horizontal="left" vertical="top" wrapText="1"/>
    </xf>
    <xf numFmtId="0" fontId="22" fillId="0" borderId="16" xfId="569" applyBorder="1"/>
    <xf numFmtId="0" fontId="22" fillId="0" borderId="4" xfId="569" applyBorder="1"/>
    <xf numFmtId="0" fontId="29" fillId="0" borderId="4" xfId="569" applyFont="1" applyBorder="1"/>
    <xf numFmtId="49" fontId="22" fillId="0" borderId="4" xfId="569" applyNumberFormat="1" applyBorder="1"/>
    <xf numFmtId="0" fontId="153" fillId="0" borderId="0" xfId="0" applyFont="1"/>
    <xf numFmtId="0" fontId="22" fillId="0" borderId="0" xfId="0" applyFont="1" applyAlignment="1">
      <alignment horizontal="right"/>
    </xf>
    <xf numFmtId="1" fontId="22" fillId="0" borderId="0" xfId="0" applyNumberFormat="1" applyFont="1" applyAlignment="1">
      <alignment horizontal="center"/>
    </xf>
    <xf numFmtId="0" fontId="29" fillId="0" borderId="0" xfId="0" applyFont="1" applyAlignment="1">
      <alignment horizontal="left" vertical="center"/>
    </xf>
    <xf numFmtId="0" fontId="22" fillId="0" borderId="0" xfId="0" applyFont="1" applyAlignment="1">
      <alignment horizontal="left" vertical="center"/>
    </xf>
    <xf numFmtId="0" fontId="29" fillId="0" borderId="0" xfId="569" applyFont="1" applyAlignment="1">
      <alignment vertical="top"/>
    </xf>
    <xf numFmtId="0" fontId="23" fillId="0" borderId="0" xfId="244" applyAlignment="1"/>
    <xf numFmtId="0" fontId="29" fillId="0" borderId="0" xfId="0" applyFont="1" applyAlignment="1">
      <alignment vertical="top" wrapText="1"/>
    </xf>
    <xf numFmtId="49" fontId="29" fillId="0" borderId="0" xfId="0" applyNumberFormat="1" applyFont="1"/>
    <xf numFmtId="49" fontId="29" fillId="0" borderId="0" xfId="0" applyNumberFormat="1" applyFont="1" applyAlignment="1">
      <alignment vertical="top"/>
    </xf>
    <xf numFmtId="0" fontId="45" fillId="0" borderId="11" xfId="0" applyFont="1" applyBorder="1"/>
    <xf numFmtId="175" fontId="22" fillId="0" borderId="0" xfId="543" applyNumberFormat="1" applyAlignment="1">
      <alignment vertical="center"/>
    </xf>
    <xf numFmtId="0" fontId="103" fillId="43" borderId="6" xfId="4496" applyFont="1" applyFill="1" applyBorder="1" applyAlignment="1" applyProtection="1">
      <alignment horizontal="center"/>
      <protection locked="0"/>
    </xf>
    <xf numFmtId="0" fontId="103" fillId="0" borderId="0" xfId="4496" applyFont="1"/>
    <xf numFmtId="0" fontId="103" fillId="0" borderId="0" xfId="4496" applyFont="1" applyAlignment="1">
      <alignment wrapText="1"/>
    </xf>
    <xf numFmtId="0" fontId="141" fillId="0" borderId="0" xfId="4496" applyFont="1"/>
    <xf numFmtId="181" fontId="142" fillId="0" borderId="0" xfId="4498" applyNumberFormat="1" applyFont="1" applyBorder="1" applyProtection="1"/>
    <xf numFmtId="0" fontId="143" fillId="0" borderId="0" xfId="4496" applyFont="1" applyAlignment="1">
      <alignment vertical="center" wrapText="1"/>
    </xf>
    <xf numFmtId="49" fontId="103" fillId="0" borderId="0" xfId="4496" applyNumberFormat="1" applyFont="1" applyAlignment="1">
      <alignment horizontal="center"/>
    </xf>
    <xf numFmtId="182" fontId="103" fillId="0" borderId="6" xfId="4496" applyNumberFormat="1" applyFont="1" applyBorder="1"/>
    <xf numFmtId="0" fontId="103" fillId="0" borderId="0" xfId="4496" applyFont="1" applyAlignment="1">
      <alignment vertical="center"/>
    </xf>
    <xf numFmtId="182" fontId="103" fillId="0" borderId="0" xfId="4496" applyNumberFormat="1" applyFont="1" applyAlignment="1">
      <alignment vertical="center"/>
    </xf>
    <xf numFmtId="175" fontId="103" fillId="0" borderId="0" xfId="4499" applyNumberFormat="1" applyFont="1" applyFill="1" applyBorder="1" applyAlignment="1" applyProtection="1">
      <alignment horizontal="left" vertical="center"/>
    </xf>
    <xf numFmtId="9" fontId="103" fillId="0" borderId="0" xfId="4499" applyFont="1" applyFill="1" applyBorder="1" applyAlignment="1" applyProtection="1">
      <alignment vertical="center"/>
    </xf>
    <xf numFmtId="183" fontId="103" fillId="0" borderId="0" xfId="4496" applyNumberFormat="1" applyFont="1" applyAlignment="1">
      <alignment vertical="center" wrapText="1"/>
    </xf>
    <xf numFmtId="9" fontId="103" fillId="0" borderId="0" xfId="4499" applyFont="1" applyBorder="1" applyAlignment="1" applyProtection="1">
      <alignment vertical="center"/>
    </xf>
    <xf numFmtId="164" fontId="103" fillId="0" borderId="0" xfId="4496" applyNumberFormat="1" applyFont="1" applyAlignment="1">
      <alignment vertical="center" wrapText="1"/>
    </xf>
    <xf numFmtId="0" fontId="103" fillId="0" borderId="0" xfId="4496" applyFont="1" applyAlignment="1">
      <alignment horizontal="center" vertical="center"/>
    </xf>
    <xf numFmtId="182" fontId="103" fillId="0" borderId="11" xfId="8721" applyNumberFormat="1" applyFont="1" applyBorder="1" applyProtection="1"/>
    <xf numFmtId="182" fontId="103" fillId="0" borderId="11" xfId="4496" applyNumberFormat="1" applyFont="1" applyBorder="1"/>
    <xf numFmtId="164" fontId="103" fillId="0" borderId="0" xfId="4496" applyNumberFormat="1" applyFont="1" applyAlignment="1">
      <alignment wrapText="1"/>
    </xf>
    <xf numFmtId="49" fontId="103" fillId="0" borderId="0" xfId="4496" applyNumberFormat="1" applyFont="1" applyAlignment="1">
      <alignment horizontal="left"/>
    </xf>
    <xf numFmtId="0" fontId="144" fillId="0" borderId="0" xfId="4496" applyFont="1"/>
    <xf numFmtId="9" fontId="103" fillId="0" borderId="11" xfId="4494" applyFont="1" applyFill="1" applyBorder="1" applyAlignment="1" applyProtection="1">
      <alignment horizontal="right"/>
    </xf>
    <xf numFmtId="1" fontId="103" fillId="0" borderId="0" xfId="4496" applyNumberFormat="1" applyFont="1"/>
    <xf numFmtId="0" fontId="141" fillId="45" borderId="3" xfId="4496" applyFont="1" applyFill="1" applyBorder="1" applyAlignment="1">
      <alignment horizontal="left" indent="1"/>
    </xf>
    <xf numFmtId="0" fontId="103" fillId="45" borderId="4" xfId="4496" applyFont="1" applyFill="1" applyBorder="1"/>
    <xf numFmtId="2" fontId="103" fillId="45" borderId="5" xfId="4496" applyNumberFormat="1" applyFont="1" applyFill="1" applyBorder="1"/>
    <xf numFmtId="181" fontId="103" fillId="0" borderId="0" xfId="4496" applyNumberFormat="1" applyFont="1"/>
    <xf numFmtId="165" fontId="142" fillId="0" borderId="0" xfId="4499" applyNumberFormat="1" applyFont="1" applyFill="1" applyBorder="1" applyProtection="1"/>
    <xf numFmtId="9" fontId="103" fillId="0" borderId="0" xfId="4494" applyFont="1" applyFill="1" applyProtection="1"/>
    <xf numFmtId="0" fontId="103" fillId="0" borderId="11" xfId="4496" applyFont="1" applyBorder="1" applyAlignment="1">
      <alignment horizontal="center"/>
    </xf>
    <xf numFmtId="2" fontId="103" fillId="0" borderId="11" xfId="4496" applyNumberFormat="1" applyFont="1" applyBorder="1" applyAlignment="1">
      <alignment horizontal="center"/>
    </xf>
    <xf numFmtId="0" fontId="103" fillId="0" borderId="0" xfId="4496" applyFont="1" applyAlignment="1">
      <alignment vertical="top" wrapText="1"/>
    </xf>
    <xf numFmtId="0" fontId="103" fillId="0" borderId="11" xfId="4496" applyFont="1" applyBorder="1" applyAlignment="1">
      <alignment horizontal="center" vertical="top" wrapText="1"/>
    </xf>
    <xf numFmtId="182" fontId="103" fillId="0" borderId="0" xfId="8721" applyNumberFormat="1" applyFont="1" applyBorder="1" applyProtection="1"/>
    <xf numFmtId="0" fontId="103" fillId="0" borderId="0" xfId="4496" applyFont="1" applyAlignment="1">
      <alignment horizontal="left" indent="1"/>
    </xf>
    <xf numFmtId="182" fontId="103" fillId="0" borderId="0" xfId="4496" applyNumberFormat="1" applyFont="1"/>
    <xf numFmtId="184" fontId="103" fillId="0" borderId="0" xfId="4496" applyNumberFormat="1" applyFont="1"/>
    <xf numFmtId="0" fontId="103" fillId="0" borderId="0" xfId="4496" applyFont="1" applyAlignment="1">
      <alignment horizontal="left"/>
    </xf>
    <xf numFmtId="0" fontId="103" fillId="0" borderId="0" xfId="4496" applyFont="1" applyAlignment="1">
      <alignment horizontal="center"/>
    </xf>
    <xf numFmtId="3" fontId="27" fillId="0" borderId="11" xfId="271" applyNumberFormat="1" applyFont="1" applyBorder="1" applyAlignment="1">
      <alignment horizontal="center"/>
    </xf>
    <xf numFmtId="3" fontId="27" fillId="43" borderId="11" xfId="271" applyNumberFormat="1" applyFont="1" applyFill="1" applyBorder="1" applyProtection="1">
      <protection locked="0"/>
    </xf>
    <xf numFmtId="0" fontId="103" fillId="0" borderId="0" xfId="4496" applyFont="1" applyAlignment="1">
      <alignment horizontal="right"/>
    </xf>
    <xf numFmtId="168" fontId="31" fillId="0" borderId="0" xfId="0" applyNumberFormat="1" applyFont="1"/>
    <xf numFmtId="0" fontId="103" fillId="0" borderId="15" xfId="4496" applyFont="1" applyBorder="1" applyAlignment="1">
      <alignment horizontal="center" vertical="top" wrapText="1"/>
    </xf>
    <xf numFmtId="2" fontId="103" fillId="0" borderId="15" xfId="4496" applyNumberFormat="1" applyFont="1" applyBorder="1" applyAlignment="1">
      <alignment horizontal="center"/>
    </xf>
    <xf numFmtId="0" fontId="103" fillId="0" borderId="15" xfId="4496" applyFont="1" applyBorder="1" applyAlignment="1">
      <alignment horizontal="center"/>
    </xf>
    <xf numFmtId="0" fontId="141" fillId="0" borderId="68" xfId="4496" applyFont="1" applyBorder="1" applyAlignment="1">
      <alignment horizontal="center" vertical="top" wrapText="1"/>
    </xf>
    <xf numFmtId="0" fontId="141" fillId="0" borderId="68" xfId="4496" applyFont="1" applyBorder="1" applyAlignment="1">
      <alignment horizontal="center"/>
    </xf>
    <xf numFmtId="0" fontId="155" fillId="0" borderId="0" xfId="4496" applyFont="1" applyAlignment="1">
      <alignment horizontal="right" vertical="center"/>
    </xf>
    <xf numFmtId="175" fontId="103" fillId="0" borderId="0" xfId="4499" applyNumberFormat="1" applyFont="1" applyFill="1" applyBorder="1" applyAlignment="1" applyProtection="1">
      <alignment horizontal="right" vertical="center"/>
    </xf>
    <xf numFmtId="0" fontId="103" fillId="0" borderId="66" xfId="4496" applyFont="1" applyBorder="1" applyAlignment="1">
      <alignment vertical="center"/>
    </xf>
    <xf numFmtId="0" fontId="103" fillId="0" borderId="41" xfId="4496" applyFont="1" applyBorder="1" applyAlignment="1">
      <alignment vertical="center"/>
    </xf>
    <xf numFmtId="182" fontId="103" fillId="0" borderId="73" xfId="4496" applyNumberFormat="1" applyFont="1" applyBorder="1" applyAlignment="1">
      <alignment vertical="center"/>
    </xf>
    <xf numFmtId="175" fontId="103" fillId="0" borderId="42" xfId="4499" applyNumberFormat="1" applyFont="1" applyFill="1" applyBorder="1" applyAlignment="1" applyProtection="1">
      <alignment horizontal="left" vertical="center"/>
    </xf>
    <xf numFmtId="0" fontId="103" fillId="0" borderId="42" xfId="4496" applyFont="1" applyBorder="1" applyAlignment="1">
      <alignment vertical="center"/>
    </xf>
    <xf numFmtId="0" fontId="103" fillId="0" borderId="44" xfId="4496" applyFont="1" applyBorder="1" applyAlignment="1">
      <alignment vertical="center"/>
    </xf>
    <xf numFmtId="49" fontId="103" fillId="0" borderId="0" xfId="4496" applyNumberFormat="1" applyFont="1" applyAlignment="1">
      <alignment horizontal="center" vertical="center"/>
    </xf>
    <xf numFmtId="0" fontId="103" fillId="0" borderId="65" xfId="4496" applyFont="1" applyBorder="1" applyAlignment="1">
      <alignment vertical="center"/>
    </xf>
    <xf numFmtId="0" fontId="103" fillId="0" borderId="29" xfId="4496" applyFont="1" applyBorder="1" applyAlignment="1">
      <alignment vertical="center"/>
    </xf>
    <xf numFmtId="0" fontId="103" fillId="0" borderId="29" xfId="4496" applyFont="1" applyBorder="1" applyAlignment="1">
      <alignment horizontal="right" vertical="center"/>
    </xf>
    <xf numFmtId="5" fontId="103" fillId="0" borderId="29" xfId="4496" applyNumberFormat="1" applyFont="1" applyBorder="1" applyAlignment="1">
      <alignment vertical="center"/>
    </xf>
    <xf numFmtId="0" fontId="103" fillId="0" borderId="31" xfId="4496" applyFont="1" applyBorder="1" applyAlignment="1">
      <alignment vertical="center"/>
    </xf>
    <xf numFmtId="175" fontId="141" fillId="0" borderId="42" xfId="4494" applyNumberFormat="1" applyFont="1" applyFill="1" applyBorder="1" applyAlignment="1" applyProtection="1">
      <alignment horizontal="center" vertical="center"/>
    </xf>
    <xf numFmtId="0" fontId="141" fillId="0" borderId="29" xfId="4496" applyFont="1" applyBorder="1" applyAlignment="1">
      <alignment vertical="center"/>
    </xf>
    <xf numFmtId="0" fontId="141" fillId="0" borderId="0" xfId="4496" applyFont="1" applyAlignment="1">
      <alignment vertical="center"/>
    </xf>
    <xf numFmtId="0" fontId="141" fillId="0" borderId="42" xfId="4496" applyFont="1" applyBorder="1" applyAlignment="1">
      <alignment vertical="center"/>
    </xf>
    <xf numFmtId="9" fontId="141" fillId="0" borderId="42" xfId="4499" applyFont="1" applyFill="1" applyBorder="1" applyAlignment="1" applyProtection="1">
      <alignment vertical="center"/>
    </xf>
    <xf numFmtId="182" fontId="141" fillId="0" borderId="68" xfId="8721" applyNumberFormat="1" applyFont="1" applyBorder="1" applyProtection="1"/>
    <xf numFmtId="182" fontId="141" fillId="0" borderId="68" xfId="4496" applyNumberFormat="1" applyFont="1" applyBorder="1"/>
    <xf numFmtId="0" fontId="155" fillId="0" borderId="0" xfId="4496" applyFont="1" applyAlignment="1">
      <alignment horizontal="right"/>
    </xf>
    <xf numFmtId="0" fontId="103" fillId="0" borderId="0" xfId="4496" applyFont="1" applyAlignment="1">
      <alignment horizontal="right" vertical="top" wrapText="1" indent="1"/>
    </xf>
    <xf numFmtId="182" fontId="103" fillId="0" borderId="6" xfId="8721" applyNumberFormat="1" applyFont="1" applyBorder="1" applyAlignment="1" applyProtection="1">
      <alignment horizontal="center"/>
    </xf>
    <xf numFmtId="0" fontId="103" fillId="0" borderId="0" xfId="4496" applyFont="1" applyAlignment="1">
      <alignment horizontal="right" indent="1"/>
    </xf>
    <xf numFmtId="0" fontId="103" fillId="0" borderId="0" xfId="4496" applyFont="1" applyAlignment="1">
      <alignment horizontal="right" vertical="top"/>
    </xf>
    <xf numFmtId="0" fontId="141" fillId="0" borderId="0" xfId="4496" applyFont="1" applyAlignment="1">
      <alignment horizontal="right"/>
    </xf>
    <xf numFmtId="182" fontId="141" fillId="0" borderId="0" xfId="8721" applyNumberFormat="1" applyFont="1" applyBorder="1" applyAlignment="1" applyProtection="1">
      <alignment horizontal="center"/>
    </xf>
    <xf numFmtId="10" fontId="103" fillId="0" borderId="0" xfId="4494" applyNumberFormat="1" applyFont="1" applyBorder="1" applyAlignment="1" applyProtection="1">
      <alignment horizontal="center"/>
    </xf>
    <xf numFmtId="184" fontId="103" fillId="0" borderId="6" xfId="4496" applyNumberFormat="1" applyFont="1" applyBorder="1"/>
    <xf numFmtId="0" fontId="141" fillId="0" borderId="0" xfId="4496" applyFont="1" applyAlignment="1">
      <alignment horizontal="right" vertical="top"/>
    </xf>
    <xf numFmtId="182" fontId="141" fillId="0" borderId="0" xfId="4496" applyNumberFormat="1" applyFont="1"/>
    <xf numFmtId="182" fontId="103" fillId="0" borderId="6" xfId="8721" applyNumberFormat="1" applyFont="1" applyBorder="1" applyProtection="1"/>
    <xf numFmtId="184" fontId="103" fillId="0" borderId="0" xfId="4496" applyNumberFormat="1" applyFont="1" applyAlignment="1">
      <alignment horizontal="center"/>
    </xf>
    <xf numFmtId="0" fontId="103" fillId="0" borderId="6" xfId="4496" applyFont="1" applyBorder="1" applyAlignment="1">
      <alignment horizontal="right" vertical="top" wrapText="1" indent="1"/>
    </xf>
    <xf numFmtId="0" fontId="103" fillId="0" borderId="67" xfId="4496" applyFont="1" applyBorder="1" applyAlignment="1">
      <alignment horizontal="right" indent="1"/>
    </xf>
    <xf numFmtId="0" fontId="103" fillId="0" borderId="72" xfId="4496" applyFont="1" applyBorder="1" applyAlignment="1">
      <alignment horizontal="right" indent="1"/>
    </xf>
    <xf numFmtId="0" fontId="103" fillId="0" borderId="72" xfId="4496" quotePrefix="1" applyFont="1" applyBorder="1" applyAlignment="1">
      <alignment horizontal="right" indent="1"/>
    </xf>
    <xf numFmtId="0" fontId="103" fillId="0" borderId="69" xfId="4496" applyFont="1" applyBorder="1" applyAlignment="1">
      <alignment horizontal="right" indent="1"/>
    </xf>
    <xf numFmtId="182" fontId="103" fillId="0" borderId="71" xfId="4496" applyNumberFormat="1" applyFont="1" applyBorder="1"/>
    <xf numFmtId="182" fontId="103" fillId="0" borderId="76" xfId="4496" applyNumberFormat="1" applyFont="1" applyBorder="1"/>
    <xf numFmtId="182" fontId="103" fillId="0" borderId="77" xfId="4496" applyNumberFormat="1" applyFont="1" applyBorder="1"/>
    <xf numFmtId="175" fontId="29" fillId="0" borderId="0" xfId="543" applyNumberFormat="1" applyFont="1" applyAlignment="1">
      <alignment vertical="center"/>
    </xf>
    <xf numFmtId="10" fontId="141" fillId="0" borderId="0" xfId="4494" applyNumberFormat="1" applyFont="1" applyProtection="1"/>
    <xf numFmtId="0" fontId="29" fillId="0" borderId="0" xfId="1192" applyFont="1" applyAlignment="1">
      <alignment horizontal="left" indent="1"/>
    </xf>
    <xf numFmtId="168" fontId="103" fillId="0" borderId="11" xfId="4499" applyNumberFormat="1" applyFont="1" applyFill="1" applyBorder="1" applyAlignment="1" applyProtection="1">
      <alignment horizontal="left" vertical="center" indent="1"/>
    </xf>
    <xf numFmtId="168" fontId="141" fillId="0" borderId="68" xfId="4499" applyNumberFormat="1" applyFont="1" applyFill="1" applyBorder="1" applyAlignment="1" applyProtection="1">
      <alignment horizontal="left" vertical="center" indent="1"/>
    </xf>
    <xf numFmtId="182" fontId="103" fillId="0" borderId="13" xfId="4496" applyNumberFormat="1" applyFont="1" applyBorder="1"/>
    <xf numFmtId="182" fontId="103" fillId="0" borderId="70" xfId="4496" applyNumberFormat="1" applyFont="1" applyBorder="1"/>
    <xf numFmtId="0" fontId="40" fillId="0" borderId="0" xfId="4495" applyFont="1" applyAlignment="1">
      <alignment vertical="center"/>
    </xf>
    <xf numFmtId="0" fontId="127" fillId="0" borderId="0" xfId="4496" applyFont="1" applyAlignment="1">
      <alignment vertical="center" wrapText="1"/>
    </xf>
    <xf numFmtId="0" fontId="27" fillId="43" borderId="0" xfId="1192" applyFont="1" applyFill="1"/>
    <xf numFmtId="3" fontId="73" fillId="43" borderId="6" xfId="1192" applyNumberFormat="1" applyFont="1" applyFill="1" applyBorder="1"/>
    <xf numFmtId="0" fontId="157" fillId="0" borderId="0" xfId="0" applyFont="1"/>
    <xf numFmtId="0" fontId="27"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58" fillId="5" borderId="11" xfId="0" applyFont="1" applyFill="1" applyBorder="1" applyAlignment="1" applyProtection="1">
      <alignment horizontal="right" vertical="top" wrapText="1"/>
      <protection locked="0"/>
    </xf>
    <xf numFmtId="0" fontId="22" fillId="43" borderId="3" xfId="569" applyFill="1" applyBorder="1"/>
    <xf numFmtId="0" fontId="162" fillId="0" borderId="0" xfId="0" applyFont="1" applyAlignment="1">
      <alignment horizontal="right"/>
    </xf>
    <xf numFmtId="1" fontId="30" fillId="0" borderId="0" xfId="4495" applyNumberFormat="1" applyFont="1"/>
    <xf numFmtId="0" fontId="29" fillId="0" borderId="4" xfId="569" applyFont="1" applyBorder="1" applyAlignment="1">
      <alignment horizontal="center"/>
    </xf>
    <xf numFmtId="43" fontId="29" fillId="0" borderId="0" xfId="4503" applyFont="1" applyAlignment="1" applyProtection="1">
      <alignment horizontal="center"/>
    </xf>
    <xf numFmtId="0" fontId="29" fillId="0" borderId="0" xfId="569" applyFont="1" applyAlignment="1">
      <alignment horizontal="center" vertical="center"/>
    </xf>
    <xf numFmtId="0" fontId="29" fillId="0" borderId="16" xfId="569" applyFont="1" applyBorder="1" applyAlignment="1">
      <alignment horizontal="center"/>
    </xf>
    <xf numFmtId="49" fontId="29" fillId="0" borderId="4" xfId="569" applyNumberFormat="1" applyFont="1" applyBorder="1" applyAlignment="1">
      <alignment horizontal="center"/>
    </xf>
    <xf numFmtId="4" fontId="29" fillId="0" borderId="0" xfId="569" applyNumberFormat="1" applyFont="1" applyAlignment="1">
      <alignment horizontal="center"/>
    </xf>
    <xf numFmtId="0" fontId="22" fillId="0" borderId="0" xfId="569" applyAlignment="1">
      <alignment horizontal="center" wrapText="1"/>
    </xf>
    <xf numFmtId="0" fontId="22" fillId="0" borderId="0" xfId="0" applyFont="1" applyAlignment="1">
      <alignment vertical="center" wrapText="1"/>
    </xf>
    <xf numFmtId="3" fontId="27" fillId="43" borderId="11" xfId="271" applyNumberFormat="1" applyFont="1" applyFill="1" applyBorder="1" applyAlignment="1" applyProtection="1">
      <alignment horizontal="left"/>
      <protection locked="0"/>
    </xf>
    <xf numFmtId="0" fontId="103" fillId="43" borderId="6" xfId="4496" applyFont="1" applyFill="1" applyBorder="1" applyProtection="1">
      <protection locked="0"/>
    </xf>
    <xf numFmtId="1" fontId="103" fillId="0" borderId="0" xfId="4496" applyNumberFormat="1" applyFont="1" applyProtection="1">
      <protection locked="0"/>
    </xf>
    <xf numFmtId="182" fontId="167" fillId="0" borderId="11" xfId="4496" applyNumberFormat="1" applyFont="1" applyBorder="1"/>
    <xf numFmtId="44" fontId="103" fillId="0" borderId="0" xfId="4496" applyNumberFormat="1" applyFont="1"/>
    <xf numFmtId="182" fontId="27" fillId="0" borderId="11" xfId="4496" applyNumberFormat="1" applyFont="1" applyBorder="1"/>
    <xf numFmtId="9" fontId="103" fillId="0" borderId="0" xfId="4494" applyFont="1"/>
    <xf numFmtId="182" fontId="103" fillId="43" borderId="6" xfId="8721" applyNumberFormat="1" applyFont="1" applyFill="1" applyBorder="1" applyProtection="1">
      <protection locked="0"/>
    </xf>
    <xf numFmtId="0" fontId="22" fillId="0" borderId="0" xfId="4495" applyFont="1" applyAlignment="1">
      <alignment wrapText="1"/>
    </xf>
    <xf numFmtId="168" fontId="179" fillId="48" borderId="79" xfId="700" applyNumberFormat="1" applyFont="1" applyFill="1" applyBorder="1" applyAlignment="1" applyProtection="1">
      <protection locked="0"/>
    </xf>
    <xf numFmtId="3" fontId="50" fillId="10" borderId="0" xfId="543" applyNumberFormat="1" applyFont="1" applyFill="1" applyAlignment="1">
      <alignment vertical="center" wrapText="1"/>
    </xf>
    <xf numFmtId="0" fontId="186" fillId="0" borderId="0" xfId="543" applyFont="1" applyAlignment="1">
      <alignment horizontal="left" vertical="center"/>
    </xf>
    <xf numFmtId="0" fontId="187" fillId="0" borderId="0" xfId="543" applyFont="1" applyAlignment="1">
      <alignment horizontal="right" vertical="top" wrapText="1"/>
    </xf>
    <xf numFmtId="168" fontId="187" fillId="0" borderId="0" xfId="543" applyNumberFormat="1" applyFont="1" applyAlignment="1">
      <alignment horizontal="center" vertical="center"/>
    </xf>
    <xf numFmtId="0" fontId="188" fillId="0" borderId="0" xfId="543" applyFont="1" applyAlignment="1">
      <alignment horizontal="left" vertical="center"/>
    </xf>
    <xf numFmtId="0" fontId="188" fillId="0" borderId="0" xfId="543" applyFont="1" applyAlignment="1">
      <alignment horizontal="right" vertical="top" wrapText="1"/>
    </xf>
    <xf numFmtId="168" fontId="187" fillId="0" borderId="104" xfId="543" applyNumberFormat="1" applyFont="1" applyBorder="1" applyAlignment="1">
      <alignment horizontal="center" vertical="center"/>
    </xf>
    <xf numFmtId="0" fontId="188" fillId="0" borderId="106" xfId="543" applyFont="1" applyBorder="1" applyAlignment="1">
      <alignment horizontal="right" vertical="top" wrapText="1"/>
    </xf>
    <xf numFmtId="0" fontId="29" fillId="0" borderId="0" xfId="4495" applyFont="1" applyAlignment="1">
      <alignment wrapText="1"/>
    </xf>
    <xf numFmtId="182" fontId="22" fillId="0" borderId="0" xfId="700" applyNumberFormat="1" applyFont="1"/>
    <xf numFmtId="9" fontId="22" fillId="0" borderId="0" xfId="1022" applyFont="1"/>
    <xf numFmtId="168" fontId="22"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7" fillId="52" borderId="113" xfId="0" applyFont="1" applyFill="1" applyBorder="1"/>
    <xf numFmtId="0" fontId="127" fillId="53" borderId="113" xfId="0" applyFont="1" applyFill="1" applyBorder="1"/>
    <xf numFmtId="1" fontId="0" fillId="0" borderId="0" xfId="0" applyNumberFormat="1"/>
    <xf numFmtId="0" fontId="23"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3" fillId="0" borderId="0" xfId="244" applyAlignment="1">
      <alignment horizontal="left" vertical="top"/>
    </xf>
    <xf numFmtId="9" fontId="22" fillId="0" borderId="0" xfId="0" applyNumberFormat="1" applyFont="1"/>
    <xf numFmtId="185" fontId="173" fillId="0" borderId="0" xfId="698" applyNumberFormat="1" applyFont="1"/>
    <xf numFmtId="0" fontId="190" fillId="0" borderId="0" xfId="0" applyFont="1" applyAlignment="1">
      <alignment horizontal="center"/>
    </xf>
    <xf numFmtId="0" fontId="22" fillId="0" borderId="0" xfId="569" quotePrefix="1"/>
    <xf numFmtId="168" fontId="160" fillId="0" borderId="0" xfId="0" applyNumberFormat="1" applyFont="1" applyAlignment="1">
      <alignment vertical="center" wrapText="1"/>
    </xf>
    <xf numFmtId="168" fontId="191" fillId="0" borderId="0" xfId="0" applyNumberFormat="1" applyFont="1" applyAlignment="1">
      <alignment horizontal="center" vertical="center" wrapText="1"/>
    </xf>
    <xf numFmtId="0" fontId="0" fillId="0" borderId="0" xfId="0" applyAlignment="1">
      <alignment vertical="center"/>
    </xf>
    <xf numFmtId="0" fontId="29" fillId="0" borderId="0" xfId="4495" quotePrefix="1" applyFont="1"/>
    <xf numFmtId="0" fontId="29" fillId="0" borderId="0" xfId="4495" applyFont="1" applyAlignment="1">
      <alignment horizontal="left" vertical="center"/>
    </xf>
    <xf numFmtId="0" fontId="29" fillId="0" borderId="0" xfId="4495" applyFont="1" applyAlignment="1">
      <alignment vertical="center"/>
    </xf>
    <xf numFmtId="0" fontId="127" fillId="0" borderId="58" xfId="4496" applyFont="1" applyBorder="1" applyAlignment="1">
      <alignment vertical="center"/>
    </xf>
    <xf numFmtId="0" fontId="29" fillId="0" borderId="5" xfId="4495" applyFont="1" applyBorder="1"/>
    <xf numFmtId="182" fontId="103" fillId="0" borderId="6" xfId="4496" applyNumberFormat="1" applyFont="1" applyBorder="1" applyAlignment="1">
      <alignment vertical="center"/>
    </xf>
    <xf numFmtId="1" fontId="103" fillId="0" borderId="0" xfId="4496" applyNumberFormat="1" applyFont="1" applyAlignment="1">
      <alignment horizontal="right" vertical="top" wrapText="1" indent="1"/>
    </xf>
    <xf numFmtId="3" fontId="103" fillId="43" borderId="6" xfId="4496" applyNumberFormat="1" applyFont="1" applyFill="1" applyBorder="1" applyAlignment="1" applyProtection="1">
      <alignment horizontal="center"/>
      <protection locked="0"/>
    </xf>
    <xf numFmtId="0" fontId="6" fillId="0" borderId="0" xfId="8736"/>
    <xf numFmtId="0" fontId="173" fillId="0" borderId="0" xfId="8736" applyFont="1"/>
    <xf numFmtId="0" fontId="108" fillId="0" borderId="0" xfId="8736" applyFont="1"/>
    <xf numFmtId="0" fontId="6" fillId="47" borderId="66" xfId="8736" applyFill="1" applyBorder="1"/>
    <xf numFmtId="0" fontId="6" fillId="47" borderId="0" xfId="8736" applyFill="1"/>
    <xf numFmtId="0" fontId="107" fillId="47" borderId="0" xfId="8736" applyFont="1" applyFill="1"/>
    <xf numFmtId="9" fontId="6" fillId="44" borderId="3" xfId="1022" applyFont="1" applyFill="1" applyBorder="1" applyAlignment="1">
      <alignment horizontal="centerContinuous"/>
    </xf>
    <xf numFmtId="9" fontId="6" fillId="44" borderId="4" xfId="1022" applyFont="1" applyFill="1" applyBorder="1" applyAlignment="1">
      <alignment horizontal="centerContinuous"/>
    </xf>
    <xf numFmtId="9" fontId="6" fillId="44" borderId="5" xfId="1022" applyFont="1" applyFill="1" applyBorder="1" applyAlignment="1">
      <alignment horizontal="centerContinuous"/>
    </xf>
    <xf numFmtId="0" fontId="107" fillId="47" borderId="41" xfId="8736" applyFont="1" applyFill="1" applyBorder="1" applyAlignment="1">
      <alignment horizontal="center"/>
    </xf>
    <xf numFmtId="182" fontId="178" fillId="47" borderId="0" xfId="8737" applyNumberFormat="1" applyFont="1" applyFill="1" applyBorder="1" applyAlignment="1"/>
    <xf numFmtId="0" fontId="6" fillId="47" borderId="41" xfId="8736" applyFill="1" applyBorder="1"/>
    <xf numFmtId="0" fontId="108" fillId="47" borderId="0" xfId="8736" applyFont="1" applyFill="1"/>
    <xf numFmtId="0" fontId="182" fillId="47" borderId="0" xfId="8736" applyFont="1" applyFill="1"/>
    <xf numFmtId="0" fontId="107" fillId="47" borderId="41" xfId="8736" applyFont="1" applyFill="1" applyBorder="1"/>
    <xf numFmtId="0" fontId="107" fillId="0" borderId="0" xfId="8736" applyFont="1"/>
    <xf numFmtId="0" fontId="170" fillId="0" borderId="0" xfId="8736" applyFont="1"/>
    <xf numFmtId="0" fontId="107" fillId="54" borderId="100" xfId="8736" applyFont="1" applyFill="1" applyBorder="1"/>
    <xf numFmtId="0" fontId="6" fillId="53" borderId="99" xfId="8736" applyFill="1" applyBorder="1"/>
    <xf numFmtId="0" fontId="6" fillId="52" borderId="99" xfId="8736" applyFill="1" applyBorder="1"/>
    <xf numFmtId="0" fontId="107" fillId="45" borderId="65" xfId="8736" applyFont="1" applyFill="1" applyBorder="1"/>
    <xf numFmtId="0" fontId="6" fillId="45" borderId="80" xfId="8736" applyFill="1" applyBorder="1"/>
    <xf numFmtId="0" fontId="6" fillId="45" borderId="79" xfId="8736" applyFill="1" applyBorder="1"/>
    <xf numFmtId="0" fontId="6" fillId="45" borderId="78" xfId="8736" applyFill="1" applyBorder="1"/>
    <xf numFmtId="0" fontId="107" fillId="45" borderId="0" xfId="8736" applyFont="1" applyFill="1"/>
    <xf numFmtId="0" fontId="107" fillId="45" borderId="12" xfId="8736" applyFont="1" applyFill="1" applyBorder="1"/>
    <xf numFmtId="0" fontId="107" fillId="45" borderId="29" xfId="8736" applyFont="1" applyFill="1" applyBorder="1"/>
    <xf numFmtId="0" fontId="107" fillId="45" borderId="80" xfId="8736" applyFont="1" applyFill="1" applyBorder="1"/>
    <xf numFmtId="0" fontId="107" fillId="45" borderId="79" xfId="8736" applyFont="1" applyFill="1" applyBorder="1"/>
    <xf numFmtId="0" fontId="107" fillId="45" borderId="78" xfId="8736" applyFont="1" applyFill="1" applyBorder="1"/>
    <xf numFmtId="0" fontId="107" fillId="45" borderId="93" xfId="8736" applyFont="1" applyFill="1" applyBorder="1"/>
    <xf numFmtId="0" fontId="107" fillId="45" borderId="6" xfId="8736" applyFont="1" applyFill="1" applyBorder="1"/>
    <xf numFmtId="0" fontId="107" fillId="45" borderId="10" xfId="8736" applyFont="1" applyFill="1" applyBorder="1"/>
    <xf numFmtId="0" fontId="173" fillId="44" borderId="0" xfId="8736" applyFont="1" applyFill="1"/>
    <xf numFmtId="10" fontId="173" fillId="44" borderId="0" xfId="1022" applyNumberFormat="1" applyFont="1" applyFill="1"/>
    <xf numFmtId="0" fontId="6" fillId="45" borderId="29" xfId="8736" applyFill="1" applyBorder="1"/>
    <xf numFmtId="0" fontId="6" fillId="45" borderId="31" xfId="8736" applyFill="1" applyBorder="1"/>
    <xf numFmtId="0" fontId="107" fillId="45" borderId="92" xfId="8736" applyFont="1" applyFill="1" applyBorder="1"/>
    <xf numFmtId="0" fontId="107" fillId="45" borderId="74" xfId="8736" applyFont="1" applyFill="1" applyBorder="1"/>
    <xf numFmtId="0" fontId="184" fillId="47" borderId="0" xfId="8736" applyFont="1" applyFill="1"/>
    <xf numFmtId="0" fontId="107" fillId="45" borderId="31" xfId="8736" applyFont="1" applyFill="1" applyBorder="1"/>
    <xf numFmtId="0" fontId="6" fillId="47" borderId="0" xfId="8736" applyFill="1" applyAlignment="1">
      <alignment horizontal="left"/>
    </xf>
    <xf numFmtId="0" fontId="176" fillId="51" borderId="11" xfId="8736" applyFont="1" applyFill="1" applyBorder="1"/>
    <xf numFmtId="0" fontId="176" fillId="51" borderId="76" xfId="8736" applyFont="1" applyFill="1" applyBorder="1"/>
    <xf numFmtId="0" fontId="177" fillId="51" borderId="11" xfId="8736" applyFont="1" applyFill="1" applyBorder="1" applyAlignment="1">
      <alignment horizontal="center"/>
    </xf>
    <xf numFmtId="0" fontId="177" fillId="51" borderId="76" xfId="8736" applyFont="1" applyFill="1" applyBorder="1" applyAlignment="1">
      <alignment horizontal="center"/>
    </xf>
    <xf numFmtId="0" fontId="6" fillId="48" borderId="66" xfId="8736" applyFill="1" applyBorder="1"/>
    <xf numFmtId="0" fontId="6" fillId="48" borderId="0" xfId="8736" applyFill="1"/>
    <xf numFmtId="0" fontId="6" fillId="48" borderId="78" xfId="8736" applyFill="1" applyBorder="1"/>
    <xf numFmtId="0" fontId="107" fillId="47" borderId="66" xfId="8736" applyFont="1" applyFill="1" applyBorder="1"/>
    <xf numFmtId="49" fontId="107" fillId="47" borderId="66" xfId="8736" applyNumberFormat="1" applyFont="1" applyFill="1" applyBorder="1" applyAlignment="1">
      <alignment horizontal="right" vertical="top"/>
    </xf>
    <xf numFmtId="0" fontId="6" fillId="47" borderId="73" xfId="8736" applyFill="1" applyBorder="1"/>
    <xf numFmtId="0" fontId="6" fillId="47" borderId="42" xfId="8736" applyFill="1" applyBorder="1"/>
    <xf numFmtId="0" fontId="6" fillId="47" borderId="44" xfId="8736" applyFill="1" applyBorder="1"/>
    <xf numFmtId="0" fontId="6" fillId="44" borderId="66" xfId="8736" applyFill="1" applyBorder="1"/>
    <xf numFmtId="0" fontId="6" fillId="44" borderId="0" xfId="8736" applyFill="1"/>
    <xf numFmtId="0" fontId="6" fillId="44" borderId="41" xfId="8736" applyFill="1" applyBorder="1"/>
    <xf numFmtId="0" fontId="6" fillId="44" borderId="0" xfId="8736" applyFill="1" applyAlignment="1">
      <alignment horizontal="left"/>
    </xf>
    <xf numFmtId="0" fontId="6" fillId="44" borderId="73" xfId="8736" applyFill="1" applyBorder="1"/>
    <xf numFmtId="0" fontId="6" fillId="44" borderId="42" xfId="8736" applyFill="1" applyBorder="1"/>
    <xf numFmtId="0" fontId="6" fillId="44" borderId="44" xfId="8736" applyFill="1" applyBorder="1"/>
    <xf numFmtId="0" fontId="168" fillId="0" borderId="0" xfId="8736" applyFont="1"/>
    <xf numFmtId="0" fontId="22" fillId="5" borderId="3" xfId="0" applyFont="1" applyFill="1" applyBorder="1" applyAlignment="1" applyProtection="1">
      <alignment horizontal="left"/>
      <protection locked="0"/>
    </xf>
    <xf numFmtId="0" fontId="63" fillId="2" borderId="3" xfId="0" applyFont="1" applyFill="1" applyBorder="1" applyAlignment="1">
      <alignment horizontal="center" vertical="top"/>
    </xf>
    <xf numFmtId="0" fontId="63" fillId="2" borderId="4" xfId="0" applyFont="1" applyFill="1" applyBorder="1" applyAlignment="1">
      <alignment horizontal="center" vertical="top"/>
    </xf>
    <xf numFmtId="0" fontId="63" fillId="2" borderId="5" xfId="0" applyFont="1" applyFill="1" applyBorder="1" applyAlignment="1">
      <alignment horizontal="center" vertical="top"/>
    </xf>
    <xf numFmtId="0" fontId="31" fillId="0" borderId="6" xfId="0" applyFont="1" applyBorder="1" applyAlignment="1">
      <alignment vertical="top" wrapText="1"/>
    </xf>
    <xf numFmtId="177" fontId="31" fillId="5" borderId="6" xfId="0" applyNumberFormat="1" applyFont="1" applyFill="1" applyBorder="1" applyAlignment="1" applyProtection="1">
      <alignment horizontal="left" vertical="top" wrapText="1"/>
      <protection locked="0"/>
    </xf>
    <xf numFmtId="0" fontId="31" fillId="0" borderId="2" xfId="0" applyFont="1" applyBorder="1" applyAlignment="1">
      <alignment vertical="top" wrapText="1"/>
    </xf>
    <xf numFmtId="0" fontId="31" fillId="5" borderId="6" xfId="0" applyFont="1" applyFill="1" applyBorder="1" applyAlignment="1" applyProtection="1">
      <alignment horizontal="left" vertical="top" wrapText="1"/>
      <protection locked="0"/>
    </xf>
    <xf numFmtId="0" fontId="58" fillId="0" borderId="0" xfId="0" applyFont="1" applyAlignment="1">
      <alignment vertical="top" wrapText="1"/>
    </xf>
    <xf numFmtId="0" fontId="31" fillId="0" borderId="2" xfId="0" applyFont="1" applyBorder="1" applyAlignment="1">
      <alignment horizontal="left" vertical="top" wrapText="1"/>
    </xf>
    <xf numFmtId="0" fontId="59" fillId="0" borderId="0" xfId="0" applyFont="1" applyAlignment="1">
      <alignment vertical="top" wrapText="1"/>
    </xf>
    <xf numFmtId="0" fontId="0" fillId="0" borderId="0" xfId="0" applyAlignment="1">
      <alignment vertical="top" wrapText="1"/>
    </xf>
    <xf numFmtId="0" fontId="31" fillId="0" borderId="0" xfId="0" applyFont="1" applyAlignment="1">
      <alignment vertical="top" wrapText="1"/>
    </xf>
    <xf numFmtId="0" fontId="31" fillId="0" borderId="6" xfId="0" applyFont="1" applyBorder="1" applyAlignment="1">
      <alignment horizontal="right" vertical="top" wrapText="1"/>
    </xf>
    <xf numFmtId="0" fontId="28" fillId="3" borderId="0" xfId="0" applyFont="1" applyFill="1" applyAlignment="1">
      <alignment horizontal="center" vertical="center" wrapText="1"/>
    </xf>
    <xf numFmtId="0" fontId="28" fillId="3" borderId="16" xfId="0" applyFont="1" applyFill="1" applyBorder="1" applyAlignment="1">
      <alignment horizontal="center" vertical="center" wrapText="1"/>
    </xf>
    <xf numFmtId="0" fontId="22" fillId="0" borderId="0" xfId="0" applyFont="1" applyAlignment="1">
      <alignment horizontal="left" vertical="top" wrapText="1"/>
    </xf>
    <xf numFmtId="0" fontId="110" fillId="0" borderId="0" xfId="0" applyFont="1" applyAlignment="1">
      <alignment horizontal="left" vertical="top" wrapText="1"/>
    </xf>
    <xf numFmtId="0" fontId="23" fillId="0" borderId="0" xfId="244" applyAlignment="1">
      <alignment horizontal="left" vertical="top"/>
    </xf>
    <xf numFmtId="0" fontId="51" fillId="0" borderId="0" xfId="0" applyFont="1" applyAlignment="1">
      <alignment horizontal="left" vertical="top" wrapText="1"/>
    </xf>
    <xf numFmtId="0" fontId="118" fillId="0" borderId="0" xfId="0" applyFont="1" applyAlignment="1">
      <alignment horizontal="left" wrapText="1"/>
    </xf>
    <xf numFmtId="0" fontId="22" fillId="0" borderId="0" xfId="0" applyFont="1" applyAlignment="1">
      <alignment horizontal="left" wrapText="1"/>
    </xf>
    <xf numFmtId="0" fontId="31" fillId="0" borderId="0" xfId="0" applyFont="1" applyAlignment="1">
      <alignment horizontal="left" wrapText="1"/>
    </xf>
    <xf numFmtId="0" fontId="23" fillId="0" borderId="0" xfId="244" applyAlignment="1" applyProtection="1">
      <alignment horizontal="left"/>
    </xf>
    <xf numFmtId="0" fontId="23" fillId="0" borderId="0" xfId="244"/>
    <xf numFmtId="0" fontId="0" fillId="0" borderId="0" xfId="0"/>
    <xf numFmtId="0" fontId="22" fillId="0" borderId="0" xfId="1192" applyAlignment="1">
      <alignment horizontal="left" vertical="top" wrapText="1"/>
    </xf>
    <xf numFmtId="0" fontId="29" fillId="0" borderId="0" xfId="0" applyFont="1" applyAlignment="1">
      <alignment horizontal="left" vertical="top" wrapText="1"/>
    </xf>
    <xf numFmtId="0" fontId="119" fillId="0" borderId="0" xfId="569" applyFont="1" applyAlignment="1">
      <alignment horizontal="center"/>
    </xf>
    <xf numFmtId="0" fontId="120" fillId="0" borderId="0" xfId="569" applyFont="1"/>
    <xf numFmtId="0" fontId="22" fillId="0" borderId="0" xfId="569" applyAlignment="1">
      <alignment wrapText="1"/>
    </xf>
    <xf numFmtId="0" fontId="29" fillId="0" borderId="0" xfId="569" applyFont="1" applyAlignment="1">
      <alignment wrapText="1"/>
    </xf>
    <xf numFmtId="0" fontId="37" fillId="0" borderId="0" xfId="569" applyFont="1" applyAlignment="1">
      <alignment horizontal="center"/>
    </xf>
    <xf numFmtId="0" fontId="22" fillId="0" borderId="0" xfId="569"/>
    <xf numFmtId="0" fontId="22" fillId="0" borderId="0" xfId="1192" applyAlignment="1">
      <alignment vertical="top" wrapText="1"/>
    </xf>
    <xf numFmtId="0" fontId="22" fillId="0" borderId="0" xfId="0" applyFont="1" applyAlignment="1">
      <alignment horizontal="left" vertical="top"/>
    </xf>
    <xf numFmtId="4" fontId="22" fillId="0" borderId="0" xfId="569" applyNumberFormat="1" applyAlignment="1">
      <alignment horizontal="left"/>
    </xf>
    <xf numFmtId="0" fontId="40" fillId="0" borderId="0" xfId="569" applyFont="1" applyAlignment="1">
      <alignment horizontal="left" vertical="top"/>
    </xf>
    <xf numFmtId="4" fontId="40" fillId="0" borderId="0" xfId="0" applyNumberFormat="1" applyFont="1" applyAlignment="1">
      <alignment horizontal="left"/>
    </xf>
    <xf numFmtId="4" fontId="22" fillId="0" borderId="0" xfId="0" applyNumberFormat="1" applyFont="1" applyAlignment="1">
      <alignment horizontal="left"/>
    </xf>
    <xf numFmtId="0" fontId="29" fillId="0" borderId="4" xfId="0" applyFont="1" applyBorder="1" applyAlignment="1">
      <alignment horizontal="left"/>
    </xf>
    <xf numFmtId="0" fontId="40" fillId="0" borderId="0" xfId="0" applyFont="1" applyAlignment="1">
      <alignment horizontal="left" vertical="top"/>
    </xf>
    <xf numFmtId="49" fontId="22" fillId="0" borderId="0" xfId="0" applyNumberFormat="1" applyFont="1" applyAlignment="1">
      <alignment horizontal="left" vertical="top" wrapText="1"/>
    </xf>
    <xf numFmtId="0" fontId="40" fillId="0" borderId="0" xfId="0" applyFont="1" applyAlignment="1">
      <alignment horizontal="left"/>
    </xf>
    <xf numFmtId="0" fontId="22" fillId="0" borderId="0" xfId="0" applyFont="1" applyAlignment="1">
      <alignment horizontal="left"/>
    </xf>
    <xf numFmtId="0" fontId="29" fillId="0" borderId="0" xfId="0" applyFont="1" applyAlignment="1">
      <alignment vertical="top" wrapText="1"/>
    </xf>
    <xf numFmtId="4" fontId="22" fillId="0" borderId="0" xfId="0" applyNumberFormat="1" applyFont="1" applyAlignment="1">
      <alignment horizontal="left" vertical="top" wrapText="1"/>
    </xf>
    <xf numFmtId="0" fontId="22" fillId="0" borderId="0" xfId="0" applyFont="1" applyAlignment="1">
      <alignment horizontal="left" vertical="center" wrapText="1"/>
    </xf>
    <xf numFmtId="0" fontId="22" fillId="0" borderId="0" xfId="569" applyAlignment="1">
      <alignment horizontal="left" wrapText="1"/>
    </xf>
    <xf numFmtId="0" fontId="22" fillId="0" borderId="0" xfId="0" applyFont="1" applyAlignment="1">
      <alignment vertical="top" wrapText="1"/>
    </xf>
    <xf numFmtId="0" fontId="23" fillId="0" borderId="0" xfId="244" applyFill="1" applyBorder="1" applyAlignment="1">
      <alignment horizontal="left" vertical="top" wrapText="1"/>
    </xf>
    <xf numFmtId="0" fontId="22" fillId="0" borderId="0" xfId="0" applyFont="1" applyAlignment="1">
      <alignment vertical="center" wrapText="1"/>
    </xf>
    <xf numFmtId="0" fontId="29" fillId="0" borderId="0" xfId="1192" applyFont="1" applyAlignment="1">
      <alignment horizontal="left" vertical="top" wrapText="1"/>
    </xf>
    <xf numFmtId="4" fontId="22" fillId="0" borderId="0" xfId="569" applyNumberFormat="1" applyAlignment="1">
      <alignment horizontal="left" vertical="top" wrapText="1"/>
    </xf>
    <xf numFmtId="0" fontId="22" fillId="0" borderId="0" xfId="569" applyAlignment="1">
      <alignment horizontal="left" vertical="top" wrapText="1"/>
    </xf>
    <xf numFmtId="0" fontId="29" fillId="0" borderId="4" xfId="569" applyFont="1" applyBorder="1" applyAlignment="1">
      <alignment horizontal="left"/>
    </xf>
    <xf numFmtId="0" fontId="22" fillId="0" borderId="0" xfId="569" applyAlignment="1">
      <alignment horizontal="left"/>
    </xf>
    <xf numFmtId="0" fontId="40" fillId="0" borderId="0" xfId="569" applyFont="1" applyAlignment="1">
      <alignment horizontal="left"/>
    </xf>
    <xf numFmtId="0" fontId="29" fillId="0" borderId="4" xfId="569" applyFont="1" applyBorder="1" applyAlignment="1">
      <alignment horizontal="left" vertical="top"/>
    </xf>
    <xf numFmtId="0" fontId="23" fillId="0" borderId="0" xfId="244" quotePrefix="1" applyAlignment="1" applyProtection="1">
      <alignment horizontal="left"/>
    </xf>
    <xf numFmtId="0" fontId="22" fillId="0" borderId="0" xfId="569" applyAlignment="1">
      <alignment horizontal="left" vertical="top"/>
    </xf>
    <xf numFmtId="0" fontId="22" fillId="0" borderId="0" xfId="0" quotePrefix="1" applyFont="1" applyAlignment="1">
      <alignment horizontal="left" vertical="top"/>
    </xf>
    <xf numFmtId="0" fontId="40" fillId="0" borderId="0" xfId="0" applyFont="1" applyAlignment="1">
      <alignment horizontal="left" vertical="top" wrapText="1"/>
    </xf>
    <xf numFmtId="0" fontId="22" fillId="0" borderId="0" xfId="0" quotePrefix="1" applyFont="1" applyAlignment="1">
      <alignment horizontal="left" vertical="top" wrapText="1"/>
    </xf>
    <xf numFmtId="0" fontId="22" fillId="0" borderId="0" xfId="1192" applyAlignment="1">
      <alignment horizontal="left"/>
    </xf>
    <xf numFmtId="0" fontId="29" fillId="0" borderId="16" xfId="569" applyFont="1" applyBorder="1" applyAlignment="1">
      <alignment horizontal="left"/>
    </xf>
    <xf numFmtId="4" fontId="40" fillId="0" borderId="0" xfId="569" applyNumberFormat="1" applyFont="1" applyAlignment="1">
      <alignment horizontal="left" vertical="top" wrapText="1"/>
    </xf>
    <xf numFmtId="0" fontId="22" fillId="0" borderId="0" xfId="1192" applyAlignment="1" applyProtection="1">
      <alignment horizontal="left" vertical="top" wrapText="1"/>
      <protection locked="0"/>
    </xf>
    <xf numFmtId="0" fontId="0" fillId="0" borderId="0" xfId="0" applyAlignment="1">
      <alignment horizontal="left" vertical="top" wrapText="1"/>
    </xf>
    <xf numFmtId="0" fontId="40" fillId="0" borderId="0" xfId="1192" applyFont="1" applyAlignment="1">
      <alignment horizontal="left" vertical="top" wrapText="1"/>
    </xf>
    <xf numFmtId="4" fontId="22" fillId="0" borderId="0" xfId="1192" applyNumberFormat="1" applyAlignment="1">
      <alignment horizontal="left" vertical="top" wrapText="1"/>
    </xf>
    <xf numFmtId="0" fontId="22" fillId="0" borderId="0" xfId="569" applyAlignment="1">
      <alignment vertical="top" wrapText="1"/>
    </xf>
    <xf numFmtId="4" fontId="40" fillId="0" borderId="0" xfId="0" applyNumberFormat="1" applyFont="1" applyAlignment="1">
      <alignment horizontal="left" vertical="top" wrapText="1"/>
    </xf>
    <xf numFmtId="0" fontId="29" fillId="0" borderId="4" xfId="0" applyFont="1" applyBorder="1" applyAlignment="1">
      <alignment horizontal="left" vertical="top"/>
    </xf>
    <xf numFmtId="0" fontId="40" fillId="0" borderId="0" xfId="569" applyFont="1" applyAlignment="1">
      <alignment horizontal="left" vertical="top" wrapText="1"/>
    </xf>
    <xf numFmtId="0" fontId="22" fillId="0" borderId="27" xfId="569" applyBorder="1" applyAlignment="1">
      <alignment horizontal="left"/>
    </xf>
    <xf numFmtId="0" fontId="29" fillId="0" borderId="0" xfId="569" applyFont="1" applyAlignment="1">
      <alignment horizontal="center"/>
    </xf>
    <xf numFmtId="0" fontId="23" fillId="0" borderId="0" xfId="244" applyNumberFormat="1" applyFill="1" applyAlignment="1" applyProtection="1">
      <alignment horizontal="left"/>
    </xf>
    <xf numFmtId="0" fontId="40" fillId="0" borderId="0" xfId="569" applyFont="1" applyAlignment="1">
      <alignment horizontal="left" wrapText="1"/>
    </xf>
    <xf numFmtId="0" fontId="40" fillId="0" borderId="0" xfId="569" applyFont="1" applyAlignment="1">
      <alignment horizontal="center" wrapText="1"/>
    </xf>
    <xf numFmtId="49" fontId="22" fillId="0" borderId="0" xfId="1192" applyNumberFormat="1" applyAlignment="1">
      <alignment horizontal="left" vertical="top" wrapText="1"/>
    </xf>
    <xf numFmtId="0" fontId="22" fillId="0" borderId="0" xfId="569" applyAlignment="1">
      <alignment horizontal="left" vertical="center" wrapText="1"/>
    </xf>
    <xf numFmtId="0" fontId="29" fillId="0" borderId="0" xfId="0" applyFont="1" applyAlignment="1">
      <alignment horizontal="left" vertical="top"/>
    </xf>
    <xf numFmtId="0" fontId="29" fillId="0" borderId="0" xfId="569" applyFont="1" applyAlignment="1">
      <alignment horizontal="left"/>
    </xf>
    <xf numFmtId="0" fontId="40" fillId="0" borderId="0" xfId="1192" applyFont="1" applyAlignment="1">
      <alignment horizontal="left"/>
    </xf>
    <xf numFmtId="0" fontId="23" fillId="0" borderId="0" xfId="244" applyAlignment="1" applyProtection="1">
      <alignment horizontal="left" vertical="top" wrapText="1"/>
    </xf>
    <xf numFmtId="0" fontId="40" fillId="0" borderId="0" xfId="569" applyFont="1" applyAlignment="1">
      <alignment horizontal="center"/>
    </xf>
    <xf numFmtId="0" fontId="0" fillId="5" borderId="6" xfId="0" applyFill="1" applyBorder="1" applyAlignment="1" applyProtection="1">
      <alignment horizontal="center"/>
      <protection locked="0"/>
    </xf>
    <xf numFmtId="0" fontId="31" fillId="0" borderId="0" xfId="543" applyFont="1" applyAlignment="1">
      <alignment horizontal="center"/>
    </xf>
    <xf numFmtId="0" fontId="0" fillId="0" borderId="0" xfId="0" applyAlignment="1">
      <alignment horizontal="center"/>
    </xf>
    <xf numFmtId="0" fontId="22" fillId="0" borderId="0" xfId="543" applyAlignment="1">
      <alignment wrapText="1"/>
    </xf>
    <xf numFmtId="0" fontId="29" fillId="0" borderId="0" xfId="0" applyFont="1" applyAlignment="1">
      <alignment horizontal="center"/>
    </xf>
    <xf numFmtId="0" fontId="163" fillId="0" borderId="8" xfId="543" applyFont="1" applyBorder="1" applyAlignment="1">
      <alignment horizontal="center" wrapText="1"/>
    </xf>
    <xf numFmtId="0" fontId="163" fillId="0" borderId="0" xfId="543" applyFont="1" applyAlignment="1">
      <alignment horizontal="center" wrapText="1"/>
    </xf>
    <xf numFmtId="0" fontId="163" fillId="0" borderId="12" xfId="543" applyFont="1" applyBorder="1" applyAlignment="1">
      <alignment horizontal="center" wrapText="1"/>
    </xf>
    <xf numFmtId="0" fontId="163" fillId="0" borderId="9" xfId="543" applyFont="1" applyBorder="1" applyAlignment="1">
      <alignment horizontal="center" wrapText="1"/>
    </xf>
    <xf numFmtId="0" fontId="163" fillId="0" borderId="6" xfId="543" applyFont="1" applyBorder="1" applyAlignment="1">
      <alignment horizontal="center" wrapText="1"/>
    </xf>
    <xf numFmtId="0" fontId="163" fillId="0" borderId="10" xfId="543" applyFont="1" applyBorder="1" applyAlignment="1">
      <alignment horizontal="center" wrapText="1"/>
    </xf>
    <xf numFmtId="0" fontId="163" fillId="0" borderId="8" xfId="543" applyFont="1" applyBorder="1" applyAlignment="1">
      <alignment horizontal="center" vertical="top" wrapText="1"/>
    </xf>
    <xf numFmtId="0" fontId="163" fillId="0" borderId="0" xfId="543" applyFont="1" applyAlignment="1">
      <alignment horizontal="center" vertical="top" wrapText="1"/>
    </xf>
    <xf numFmtId="0" fontId="163" fillId="0" borderId="12" xfId="543" applyFont="1" applyBorder="1" applyAlignment="1">
      <alignment horizontal="center" vertical="top" wrapText="1"/>
    </xf>
    <xf numFmtId="0" fontId="163" fillId="0" borderId="9" xfId="543" applyFont="1" applyBorder="1" applyAlignment="1">
      <alignment horizontal="center" vertical="top" wrapText="1"/>
    </xf>
    <xf numFmtId="0" fontId="163" fillId="0" borderId="6" xfId="543" applyFont="1" applyBorder="1" applyAlignment="1">
      <alignment horizontal="center" vertical="top" wrapText="1"/>
    </xf>
    <xf numFmtId="0" fontId="163" fillId="0" borderId="10" xfId="543" applyFont="1" applyBorder="1" applyAlignment="1">
      <alignment horizontal="center" vertical="top" wrapText="1"/>
    </xf>
    <xf numFmtId="0" fontId="160" fillId="0" borderId="0" xfId="0" applyFont="1" applyAlignment="1">
      <alignment horizontal="center" vertical="center" wrapText="1"/>
    </xf>
    <xf numFmtId="1" fontId="31" fillId="5" borderId="3" xfId="0" applyNumberFormat="1" applyFont="1" applyFill="1" applyBorder="1" applyAlignment="1" applyProtection="1">
      <alignment horizontal="center"/>
      <protection locked="0"/>
    </xf>
    <xf numFmtId="1" fontId="31" fillId="5" borderId="4" xfId="0" applyNumberFormat="1" applyFont="1" applyFill="1" applyBorder="1" applyAlignment="1" applyProtection="1">
      <alignment horizontal="center"/>
      <protection locked="0"/>
    </xf>
    <xf numFmtId="1" fontId="3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31" fillId="5" borderId="3" xfId="0" applyFont="1" applyFill="1" applyBorder="1" applyAlignment="1" applyProtection="1">
      <alignment horizontal="center"/>
      <protection locked="0"/>
    </xf>
    <xf numFmtId="0" fontId="31" fillId="5" borderId="4" xfId="0" applyFont="1" applyFill="1" applyBorder="1" applyAlignment="1" applyProtection="1">
      <alignment horizontal="center"/>
      <protection locked="0"/>
    </xf>
    <xf numFmtId="0" fontId="31" fillId="5" borderId="5" xfId="0" applyFont="1" applyFill="1" applyBorder="1" applyAlignment="1" applyProtection="1">
      <alignment horizontal="center"/>
      <protection locked="0"/>
    </xf>
    <xf numFmtId="168" fontId="22" fillId="0" borderId="1" xfId="543" applyNumberFormat="1" applyBorder="1" applyAlignment="1">
      <alignment horizontal="center" vertical="center"/>
    </xf>
    <xf numFmtId="168" fontId="22" fillId="0" borderId="2" xfId="543" applyNumberFormat="1" applyBorder="1" applyAlignment="1">
      <alignment horizontal="center" vertical="center"/>
    </xf>
    <xf numFmtId="168" fontId="22" fillId="0" borderId="7" xfId="543" applyNumberFormat="1" applyBorder="1" applyAlignment="1">
      <alignment horizontal="center" vertical="center"/>
    </xf>
    <xf numFmtId="168" fontId="22" fillId="0" borderId="8" xfId="543" applyNumberFormat="1" applyBorder="1" applyAlignment="1">
      <alignment horizontal="center" vertical="center"/>
    </xf>
    <xf numFmtId="168" fontId="22" fillId="0" borderId="0" xfId="543" applyNumberFormat="1" applyAlignment="1">
      <alignment horizontal="center" vertical="center"/>
    </xf>
    <xf numFmtId="168" fontId="22" fillId="0" borderId="12" xfId="543" applyNumberFormat="1" applyBorder="1" applyAlignment="1">
      <alignment horizontal="center" vertical="center"/>
    </xf>
    <xf numFmtId="168" fontId="22" fillId="0" borderId="9" xfId="543" applyNumberFormat="1" applyBorder="1" applyAlignment="1">
      <alignment horizontal="center" vertical="center"/>
    </xf>
    <xf numFmtId="168" fontId="22" fillId="0" borderId="6" xfId="543" applyNumberFormat="1" applyBorder="1" applyAlignment="1">
      <alignment horizontal="center" vertical="center"/>
    </xf>
    <xf numFmtId="168" fontId="22"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2" fillId="5" borderId="3"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68" fontId="22" fillId="5" borderId="5" xfId="0" applyNumberFormat="1" applyFon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8" fillId="5" borderId="3" xfId="0" applyFont="1" applyFill="1" applyBorder="1" applyAlignment="1" applyProtection="1">
      <alignment horizontal="right"/>
      <protection locked="0"/>
    </xf>
    <xf numFmtId="0" fontId="58" fillId="5" borderId="4" xfId="0" applyFont="1" applyFill="1" applyBorder="1" applyAlignment="1" applyProtection="1">
      <alignment horizontal="right"/>
      <protection locked="0"/>
    </xf>
    <xf numFmtId="0" fontId="58" fillId="5" borderId="5" xfId="0" applyFont="1" applyFill="1" applyBorder="1" applyAlignment="1" applyProtection="1">
      <alignment horizontal="right"/>
      <protection locked="0"/>
    </xf>
    <xf numFmtId="182" fontId="30"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0" fillId="5" borderId="3" xfId="543" applyFont="1" applyFill="1" applyBorder="1" applyAlignment="1" applyProtection="1">
      <alignment horizontal="left" vertical="top" wrapText="1"/>
      <protection locked="0"/>
    </xf>
    <xf numFmtId="0" fontId="30" fillId="5" borderId="4" xfId="543" applyFont="1" applyFill="1" applyBorder="1" applyAlignment="1" applyProtection="1">
      <alignment horizontal="left" vertical="top" wrapText="1"/>
      <protection locked="0"/>
    </xf>
    <xf numFmtId="0" fontId="30" fillId="5" borderId="5" xfId="543" applyFont="1" applyFill="1" applyBorder="1" applyAlignment="1" applyProtection="1">
      <alignment horizontal="left" vertical="top" wrapText="1"/>
      <protection locked="0"/>
    </xf>
    <xf numFmtId="168" fontId="22" fillId="10" borderId="3" xfId="543" applyNumberFormat="1" applyFill="1" applyBorder="1" applyAlignment="1">
      <alignment horizontal="center"/>
    </xf>
    <xf numFmtId="168" fontId="22" fillId="10" borderId="4" xfId="543" applyNumberFormat="1" applyFill="1" applyBorder="1" applyAlignment="1">
      <alignment horizontal="center"/>
    </xf>
    <xf numFmtId="168" fontId="22" fillId="10" borderId="5" xfId="543" applyNumberFormat="1" applyFill="1" applyBorder="1" applyAlignment="1">
      <alignment horizontal="center"/>
    </xf>
    <xf numFmtId="0" fontId="22" fillId="2" borderId="3" xfId="543" applyFill="1" applyBorder="1" applyAlignment="1">
      <alignment horizontal="center"/>
    </xf>
    <xf numFmtId="0" fontId="22" fillId="2" borderId="4" xfId="543" applyFill="1" applyBorder="1" applyAlignment="1">
      <alignment horizontal="center"/>
    </xf>
    <xf numFmtId="0" fontId="22" fillId="2" borderId="5" xfId="543" applyFill="1" applyBorder="1" applyAlignment="1">
      <alignment horizontal="center"/>
    </xf>
    <xf numFmtId="0" fontId="30" fillId="0" borderId="0" xfId="0" applyFont="1" applyAlignment="1">
      <alignment horizontal="center"/>
    </xf>
    <xf numFmtId="168" fontId="31" fillId="0" borderId="4" xfId="0" applyNumberFormat="1" applyFont="1" applyBorder="1" applyAlignment="1">
      <alignment horizontal="center"/>
    </xf>
    <xf numFmtId="168" fontId="31" fillId="5" borderId="3" xfId="0" applyNumberFormat="1" applyFont="1" applyFill="1" applyBorder="1" applyAlignment="1" applyProtection="1">
      <alignment horizontal="center"/>
      <protection locked="0"/>
    </xf>
    <xf numFmtId="168" fontId="31" fillId="5" borderId="4" xfId="0" applyNumberFormat="1" applyFont="1" applyFill="1" applyBorder="1" applyAlignment="1" applyProtection="1">
      <alignment horizontal="center"/>
      <protection locked="0"/>
    </xf>
    <xf numFmtId="168" fontId="31" fillId="5" borderId="5" xfId="0" applyNumberFormat="1" applyFont="1" applyFill="1" applyBorder="1" applyAlignment="1" applyProtection="1">
      <alignment horizontal="center"/>
      <protection locked="0"/>
    </xf>
    <xf numFmtId="168" fontId="31" fillId="0" borderId="3" xfId="0" applyNumberFormat="1" applyFont="1" applyBorder="1" applyAlignment="1">
      <alignment horizontal="center"/>
    </xf>
    <xf numFmtId="168" fontId="31" fillId="0" borderId="5" xfId="0" applyNumberFormat="1" applyFont="1" applyBorder="1" applyAlignment="1">
      <alignment horizontal="center"/>
    </xf>
    <xf numFmtId="9" fontId="31" fillId="5" borderId="3" xfId="0" applyNumberFormat="1" applyFont="1" applyFill="1" applyBorder="1" applyAlignment="1" applyProtection="1">
      <alignment horizontal="center"/>
      <protection locked="0"/>
    </xf>
    <xf numFmtId="9" fontId="31" fillId="5" borderId="4" xfId="0" applyNumberFormat="1" applyFont="1" applyFill="1" applyBorder="1" applyAlignment="1" applyProtection="1">
      <alignment horizontal="center"/>
      <protection locked="0"/>
    </xf>
    <xf numFmtId="9" fontId="31"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1" fillId="0" borderId="1" xfId="0" applyFont="1" applyBorder="1" applyAlignment="1">
      <alignment horizontal="center" vertical="top" wrapText="1"/>
    </xf>
    <xf numFmtId="0" fontId="31" fillId="0" borderId="2" xfId="0" applyFont="1" applyBorder="1" applyAlignment="1">
      <alignment horizontal="center" vertical="top" wrapText="1"/>
    </xf>
    <xf numFmtId="0" fontId="31" fillId="0" borderId="7" xfId="0" applyFont="1" applyBorder="1" applyAlignment="1">
      <alignment horizontal="center" vertical="top" wrapText="1"/>
    </xf>
    <xf numFmtId="0" fontId="31" fillId="0" borderId="8" xfId="0" applyFont="1" applyBorder="1" applyAlignment="1">
      <alignment horizontal="center" vertical="top" wrapText="1"/>
    </xf>
    <xf numFmtId="0" fontId="31" fillId="0" borderId="0" xfId="0" applyFont="1" applyAlignment="1">
      <alignment horizontal="center" vertical="top" wrapText="1"/>
    </xf>
    <xf numFmtId="0" fontId="31" fillId="0" borderId="12" xfId="0" applyFont="1" applyBorder="1" applyAlignment="1">
      <alignment horizontal="center" vertical="top" wrapText="1"/>
    </xf>
    <xf numFmtId="0" fontId="31" fillId="0" borderId="9" xfId="0" applyFont="1" applyBorder="1" applyAlignment="1">
      <alignment horizontal="center" vertical="top" wrapText="1"/>
    </xf>
    <xf numFmtId="0" fontId="31" fillId="0" borderId="6" xfId="0" applyFont="1" applyBorder="1" applyAlignment="1">
      <alignment horizontal="center" vertical="top" wrapText="1"/>
    </xf>
    <xf numFmtId="0" fontId="31" fillId="0" borderId="10" xfId="0" applyFont="1" applyBorder="1" applyAlignment="1">
      <alignment horizontal="center" vertical="top" wrapText="1"/>
    </xf>
    <xf numFmtId="165" fontId="31" fillId="0" borderId="1" xfId="0" applyNumberFormat="1" applyFont="1" applyBorder="1" applyAlignment="1">
      <alignment horizontal="right"/>
    </xf>
    <xf numFmtId="165" fontId="31" fillId="0" borderId="2" xfId="0" applyNumberFormat="1" applyFont="1" applyBorder="1" applyAlignment="1">
      <alignment horizontal="right"/>
    </xf>
    <xf numFmtId="165" fontId="31" fillId="0" borderId="7" xfId="0" applyNumberFormat="1" applyFont="1" applyBorder="1" applyAlignment="1">
      <alignment horizontal="right"/>
    </xf>
    <xf numFmtId="0" fontId="2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31" fillId="5" borderId="4" xfId="0" applyFont="1" applyFill="1" applyBorder="1" applyAlignment="1" applyProtection="1">
      <alignment wrapText="1"/>
      <protection locked="0"/>
    </xf>
    <xf numFmtId="1" fontId="22" fillId="0" borderId="3" xfId="543" applyNumberFormat="1" applyBorder="1" applyAlignment="1">
      <alignment horizontal="center"/>
    </xf>
    <xf numFmtId="1" fontId="22" fillId="0" borderId="4" xfId="543" applyNumberFormat="1" applyBorder="1" applyAlignment="1">
      <alignment horizontal="center"/>
    </xf>
    <xf numFmtId="1" fontId="22" fillId="0" borderId="5" xfId="543" applyNumberFormat="1" applyBorder="1" applyAlignment="1">
      <alignment horizontal="center"/>
    </xf>
    <xf numFmtId="0" fontId="22" fillId="0" borderId="3" xfId="543" applyBorder="1" applyAlignment="1">
      <alignment horizontal="center"/>
    </xf>
    <xf numFmtId="0" fontId="22" fillId="0" borderId="4" xfId="543" applyBorder="1" applyAlignment="1">
      <alignment horizontal="center"/>
    </xf>
    <xf numFmtId="0" fontId="22" fillId="0" borderId="5" xfId="543" applyBorder="1" applyAlignment="1">
      <alignment horizontal="center"/>
    </xf>
    <xf numFmtId="168" fontId="22" fillId="0" borderId="11" xfId="543" applyNumberForma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xf numFmtId="0" fontId="22" fillId="0" borderId="4" xfId="0" applyFont="1" applyBorder="1"/>
    <xf numFmtId="0" fontId="22" fillId="0" borderId="5" xfId="0" applyFont="1" applyBorder="1"/>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6" fontId="31"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22" fillId="43" borderId="3" xfId="0" applyNumberFormat="1" applyFont="1" applyFill="1" applyBorder="1" applyAlignment="1" applyProtection="1">
      <alignment horizontal="center"/>
      <protection locked="0"/>
    </xf>
    <xf numFmtId="175" fontId="22" fillId="43" borderId="4" xfId="0" applyNumberFormat="1" applyFont="1" applyFill="1" applyBorder="1" applyAlignment="1" applyProtection="1">
      <alignment horizontal="center"/>
      <protection locked="0"/>
    </xf>
    <xf numFmtId="175" fontId="22"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9"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31" fillId="5" borderId="11" xfId="0" applyNumberFormat="1" applyFont="1" applyFill="1" applyBorder="1" applyAlignment="1" applyProtection="1">
      <alignment horizontal="center"/>
      <protection locked="0"/>
    </xf>
    <xf numFmtId="0" fontId="31" fillId="0" borderId="11" xfId="0" applyFont="1" applyBorder="1" applyAlignment="1">
      <alignment horizontal="center" vertical="top" wrapText="1"/>
    </xf>
    <xf numFmtId="0" fontId="22" fillId="5" borderId="6" xfId="0" applyFont="1" applyFill="1" applyBorder="1" applyAlignment="1" applyProtection="1">
      <alignment horizontal="left"/>
      <protection locked="0"/>
    </xf>
    <xf numFmtId="0" fontId="31" fillId="0" borderId="0" xfId="0" applyFont="1" applyAlignment="1">
      <alignment horizontal="left" vertical="top" wrapText="1"/>
    </xf>
    <xf numFmtId="0" fontId="2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2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22" fillId="5" borderId="11" xfId="0" applyFont="1" applyFill="1" applyBorder="1" applyAlignment="1" applyProtection="1">
      <alignment horizontal="left" vertical="center" wrapText="1"/>
      <protection locked="0"/>
    </xf>
    <xf numFmtId="175" fontId="22" fillId="43" borderId="3" xfId="0" applyNumberFormat="1" applyFont="1" applyFill="1" applyBorder="1" applyAlignment="1" applyProtection="1">
      <alignment horizontal="center" vertical="center"/>
      <protection locked="0"/>
    </xf>
    <xf numFmtId="175" fontId="22" fillId="43" borderId="4" xfId="0" applyNumberFormat="1" applyFont="1" applyFill="1" applyBorder="1" applyAlignment="1" applyProtection="1">
      <alignment horizontal="center" vertical="center"/>
      <protection locked="0"/>
    </xf>
    <xf numFmtId="175" fontId="22" fillId="43" borderId="5" xfId="0" applyNumberFormat="1" applyFont="1" applyFill="1" applyBorder="1" applyAlignment="1" applyProtection="1">
      <alignment horizontal="center" vertical="center"/>
      <protection locked="0"/>
    </xf>
    <xf numFmtId="180" fontId="30" fillId="43" borderId="3" xfId="0" applyNumberFormat="1" applyFont="1" applyFill="1" applyBorder="1" applyAlignment="1" applyProtection="1">
      <alignment horizontal="center" vertical="center"/>
      <protection locked="0"/>
    </xf>
    <xf numFmtId="180" fontId="30" fillId="43" borderId="4" xfId="0" applyNumberFormat="1" applyFont="1" applyFill="1" applyBorder="1" applyAlignment="1" applyProtection="1">
      <alignment horizontal="center" vertical="center"/>
      <protection locked="0"/>
    </xf>
    <xf numFmtId="180" fontId="30"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22" fillId="43" borderId="3" xfId="0" applyNumberFormat="1" applyFont="1" applyFill="1" applyBorder="1" applyAlignment="1" applyProtection="1">
      <alignment horizontal="center" vertical="center"/>
      <protection locked="0"/>
    </xf>
    <xf numFmtId="168" fontId="22" fillId="43" borderId="4" xfId="0" applyNumberFormat="1" applyFont="1" applyFill="1" applyBorder="1" applyAlignment="1" applyProtection="1">
      <alignment horizontal="center" vertical="center"/>
      <protection locked="0"/>
    </xf>
    <xf numFmtId="168" fontId="22" fillId="43" borderId="5" xfId="0" applyNumberFormat="1" applyFont="1" applyFill="1" applyBorder="1" applyAlignment="1" applyProtection="1">
      <alignment horizontal="center" vertical="center"/>
      <protection locked="0"/>
    </xf>
    <xf numFmtId="0" fontId="29" fillId="0" borderId="9" xfId="0" applyFont="1" applyBorder="1" applyAlignment="1">
      <alignment horizontal="center"/>
    </xf>
    <xf numFmtId="0" fontId="29" fillId="0" borderId="6" xfId="0" applyFont="1" applyBorder="1" applyAlignment="1">
      <alignment horizontal="center"/>
    </xf>
    <xf numFmtId="0" fontId="55" fillId="0" borderId="0" xfId="0" applyFont="1" applyAlignment="1">
      <alignment horizontal="center"/>
    </xf>
    <xf numFmtId="0" fontId="22" fillId="0" borderId="0" xfId="0" applyFont="1" applyAlignment="1">
      <alignment horizontal="center"/>
    </xf>
    <xf numFmtId="0" fontId="37" fillId="0" borderId="0" xfId="0" applyFont="1" applyAlignment="1">
      <alignment horizontal="center"/>
    </xf>
    <xf numFmtId="0" fontId="22" fillId="0" borderId="0" xfId="0" applyFont="1" applyAlignment="1">
      <alignment wrapText="1"/>
    </xf>
    <xf numFmtId="0" fontId="22" fillId="0" borderId="0" xfId="0" applyFont="1" applyAlignment="1">
      <alignment horizontal="center" vertical="top"/>
    </xf>
    <xf numFmtId="0" fontId="31" fillId="5" borderId="6" xfId="0" applyFont="1" applyFill="1" applyBorder="1" applyAlignment="1" applyProtection="1">
      <alignment horizontal="left"/>
      <protection locked="0"/>
    </xf>
    <xf numFmtId="168" fontId="31" fillId="0" borderId="6" xfId="0" applyNumberFormat="1" applyFont="1" applyBorder="1" applyAlignment="1">
      <alignment horizontal="center"/>
    </xf>
    <xf numFmtId="0" fontId="22" fillId="5" borderId="6" xfId="0" applyFont="1" applyFill="1" applyBorder="1" applyAlignment="1" applyProtection="1">
      <alignment horizontal="left" wrapText="1"/>
      <protection locked="0"/>
    </xf>
    <xf numFmtId="0" fontId="31" fillId="5" borderId="6" xfId="0" applyFont="1" applyFill="1" applyBorder="1" applyAlignment="1" applyProtection="1">
      <alignment horizontal="left" wrapText="1"/>
      <protection locked="0"/>
    </xf>
    <xf numFmtId="0" fontId="28"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166" fontId="31" fillId="5" borderId="6" xfId="0" applyNumberFormat="1" applyFont="1" applyFill="1" applyBorder="1" applyAlignment="1" applyProtection="1">
      <alignment horizontal="left"/>
      <protection locked="0"/>
    </xf>
    <xf numFmtId="0" fontId="0" fillId="0" borderId="6" xfId="0" applyBorder="1" applyAlignment="1">
      <alignment horizontal="left"/>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31" fillId="5" borderId="4" xfId="0" applyFont="1" applyFill="1" applyBorder="1" applyAlignment="1" applyProtection="1">
      <alignment horizontal="left"/>
      <protection locked="0"/>
    </xf>
    <xf numFmtId="0" fontId="30" fillId="5" borderId="3" xfId="0" applyFont="1" applyFill="1" applyBorder="1" applyAlignment="1" applyProtection="1">
      <alignment horizontal="center"/>
      <protection locked="0"/>
    </xf>
    <xf numFmtId="0" fontId="30" fillId="5" borderId="4" xfId="0" applyFont="1" applyFill="1" applyBorder="1" applyAlignment="1" applyProtection="1">
      <alignment horizontal="center"/>
      <protection locked="0"/>
    </xf>
    <xf numFmtId="0" fontId="30" fillId="5" borderId="5" xfId="0" applyFont="1" applyFill="1" applyBorder="1" applyAlignment="1" applyProtection="1">
      <alignment horizontal="center"/>
      <protection locked="0"/>
    </xf>
    <xf numFmtId="1" fontId="31" fillId="5" borderId="3" xfId="0" applyNumberFormat="1" applyFont="1" applyFill="1" applyBorder="1" applyAlignment="1" applyProtection="1">
      <alignment horizontal="right" vertical="top"/>
      <protection locked="0"/>
    </xf>
    <xf numFmtId="1" fontId="31" fillId="5" borderId="4" xfId="0" applyNumberFormat="1" applyFont="1" applyFill="1" applyBorder="1" applyAlignment="1" applyProtection="1">
      <alignment horizontal="right" vertical="top"/>
      <protection locked="0"/>
    </xf>
    <xf numFmtId="1" fontId="31" fillId="5" borderId="5" xfId="0" applyNumberFormat="1" applyFont="1" applyFill="1" applyBorder="1" applyAlignment="1" applyProtection="1">
      <alignment horizontal="right" vertical="top"/>
      <protection locked="0"/>
    </xf>
    <xf numFmtId="0" fontId="31" fillId="5" borderId="9" xfId="0" applyFont="1" applyFill="1" applyBorder="1" applyAlignment="1" applyProtection="1">
      <alignment horizontal="center"/>
      <protection locked="0"/>
    </xf>
    <xf numFmtId="0" fontId="31" fillId="5" borderId="6" xfId="0" applyFont="1" applyFill="1" applyBorder="1" applyAlignment="1" applyProtection="1">
      <alignment horizontal="center"/>
      <protection locked="0"/>
    </xf>
    <xf numFmtId="0" fontId="0" fillId="0" borderId="11" xfId="0" applyBorder="1" applyAlignment="1">
      <alignment horizontal="center"/>
    </xf>
    <xf numFmtId="0" fontId="29" fillId="0" borderId="3" xfId="0" applyFont="1" applyBorder="1" applyAlignment="1">
      <alignment horizontal="right"/>
    </xf>
    <xf numFmtId="0" fontId="29" fillId="0" borderId="4" xfId="0" applyFont="1" applyBorder="1" applyAlignment="1">
      <alignment horizontal="right"/>
    </xf>
    <xf numFmtId="0" fontId="29" fillId="0" borderId="5" xfId="0" applyFon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1" fillId="45" borderId="3" xfId="0" applyFont="1" applyFill="1" applyBorder="1" applyAlignment="1">
      <alignment horizontal="center"/>
    </xf>
    <xf numFmtId="0" fontId="31" fillId="45" borderId="4" xfId="0" applyFont="1" applyFill="1" applyBorder="1" applyAlignment="1">
      <alignment horizontal="center"/>
    </xf>
    <xf numFmtId="0" fontId="31" fillId="45" borderId="5" xfId="0" applyFont="1" applyFill="1" applyBorder="1" applyAlignment="1">
      <alignment horizontal="center"/>
    </xf>
    <xf numFmtId="0" fontId="22" fillId="0" borderId="11" xfId="0" applyFont="1" applyBorder="1" applyAlignment="1">
      <alignment horizontal="center"/>
    </xf>
    <xf numFmtId="0" fontId="31"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31" fillId="0" borderId="3" xfId="0" applyFont="1" applyBorder="1" applyAlignment="1">
      <alignment horizontal="center"/>
    </xf>
    <xf numFmtId="0" fontId="31" fillId="0" borderId="5" xfId="0" applyFont="1" applyBorder="1" applyAlignment="1">
      <alignment horizontal="center"/>
    </xf>
    <xf numFmtId="0" fontId="31" fillId="2" borderId="11" xfId="0" applyFont="1" applyFill="1" applyBorder="1" applyAlignment="1">
      <alignment horizontal="center"/>
    </xf>
    <xf numFmtId="0" fontId="22" fillId="0" borderId="11" xfId="543" applyBorder="1" applyAlignment="1">
      <alignment horizontal="center"/>
    </xf>
    <xf numFmtId="0" fontId="22" fillId="0" borderId="4"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45" fillId="0" borderId="5" xfId="0" applyFont="1" applyBorder="1" applyAlignment="1">
      <alignment horizontal="center"/>
    </xf>
    <xf numFmtId="0" fontId="29" fillId="0" borderId="1" xfId="543" applyFont="1" applyBorder="1" applyAlignment="1">
      <alignment horizontal="left" vertical="center" wrapText="1"/>
    </xf>
    <xf numFmtId="0" fontId="29" fillId="0" borderId="2" xfId="543" applyFont="1" applyBorder="1" applyAlignment="1">
      <alignment horizontal="left" vertical="center" wrapText="1"/>
    </xf>
    <xf numFmtId="0" fontId="29" fillId="0" borderId="7" xfId="543" applyFont="1" applyBorder="1" applyAlignment="1">
      <alignment horizontal="left" vertical="center" wrapText="1"/>
    </xf>
    <xf numFmtId="9" fontId="2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9" fillId="0" borderId="8" xfId="0" applyFont="1" applyBorder="1" applyAlignment="1">
      <alignment horizontal="center" wrapText="1"/>
    </xf>
    <xf numFmtId="0" fontId="29" fillId="0" borderId="0" xfId="0" applyFont="1" applyAlignment="1">
      <alignment horizontal="center" wrapText="1"/>
    </xf>
    <xf numFmtId="0" fontId="29" fillId="0" borderId="12" xfId="0" applyFont="1" applyBorder="1" applyAlignment="1">
      <alignment horizontal="center" wrapText="1"/>
    </xf>
    <xf numFmtId="0" fontId="29" fillId="0" borderId="9" xfId="0" applyFont="1" applyBorder="1" applyAlignment="1">
      <alignment horizontal="center" wrapText="1"/>
    </xf>
    <xf numFmtId="0" fontId="29" fillId="0" borderId="6" xfId="0" applyFont="1" applyBorder="1" applyAlignment="1">
      <alignment horizontal="center" wrapText="1"/>
    </xf>
    <xf numFmtId="0" fontId="29"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22" fillId="5" borderId="3" xfId="0" applyNumberFormat="1" applyFont="1" applyFill="1" applyBorder="1" applyAlignment="1" applyProtection="1">
      <alignment horizontal="right"/>
      <protection locked="0"/>
    </xf>
    <xf numFmtId="0" fontId="22" fillId="5" borderId="3" xfId="543" applyFill="1" applyBorder="1" applyAlignment="1" applyProtection="1">
      <alignment horizontal="left" vertical="top" wrapText="1"/>
      <protection locked="0"/>
    </xf>
    <xf numFmtId="0" fontId="31" fillId="5" borderId="4" xfId="543" applyFont="1" applyFill="1" applyBorder="1" applyAlignment="1" applyProtection="1">
      <alignment horizontal="left" vertical="top" wrapText="1"/>
      <protection locked="0"/>
    </xf>
    <xf numFmtId="0" fontId="31" fillId="5" borderId="5" xfId="543" applyFont="1" applyFill="1" applyBorder="1" applyAlignment="1" applyProtection="1">
      <alignment horizontal="left" vertical="top" wrapText="1"/>
      <protection locked="0"/>
    </xf>
    <xf numFmtId="0" fontId="22" fillId="0" borderId="8" xfId="543" applyBorder="1" applyAlignment="1">
      <alignment horizontal="left" vertical="center" wrapText="1"/>
    </xf>
    <xf numFmtId="0" fontId="22" fillId="0" borderId="0" xfId="543" applyAlignment="1">
      <alignment horizontal="left" vertical="center" wrapText="1"/>
    </xf>
    <xf numFmtId="0" fontId="22" fillId="0" borderId="12" xfId="543" applyBorder="1" applyAlignment="1">
      <alignment horizontal="left" vertical="center" wrapText="1"/>
    </xf>
    <xf numFmtId="0" fontId="22" fillId="0" borderId="9" xfId="543" applyBorder="1" applyAlignment="1">
      <alignment horizontal="left" vertical="center" wrapText="1"/>
    </xf>
    <xf numFmtId="0" fontId="22" fillId="0" borderId="6" xfId="543" applyBorder="1" applyAlignment="1">
      <alignment horizontal="left" vertical="center" wrapText="1"/>
    </xf>
    <xf numFmtId="0" fontId="22" fillId="0" borderId="10" xfId="543" applyBorder="1" applyAlignment="1">
      <alignment horizontal="left" vertical="center" wrapText="1"/>
    </xf>
    <xf numFmtId="0" fontId="29" fillId="0" borderId="8" xfId="543" applyFont="1" applyBorder="1" applyAlignment="1">
      <alignment horizontal="left" vertical="center" wrapText="1"/>
    </xf>
    <xf numFmtId="0" fontId="29" fillId="0" borderId="0" xfId="543" applyFont="1" applyAlignment="1">
      <alignment horizontal="left" vertical="center" wrapText="1"/>
    </xf>
    <xf numFmtId="0" fontId="29" fillId="0" borderId="12" xfId="543" applyFont="1" applyBorder="1" applyAlignment="1">
      <alignment horizontal="left" vertical="center" wrapText="1"/>
    </xf>
    <xf numFmtId="0" fontId="22" fillId="0" borderId="9" xfId="543" applyBorder="1" applyAlignment="1">
      <alignment horizontal="left" vertical="top" wrapText="1"/>
    </xf>
    <xf numFmtId="0" fontId="22" fillId="0" borderId="6" xfId="543" applyBorder="1" applyAlignment="1">
      <alignment horizontal="left" vertical="top" wrapText="1"/>
    </xf>
    <xf numFmtId="0" fontId="22"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42" fillId="0" borderId="4" xfId="543" applyFont="1" applyBorder="1" applyAlignment="1">
      <alignment horizontal="right" vertical="top" wrapText="1"/>
    </xf>
    <xf numFmtId="0" fontId="42" fillId="0" borderId="5" xfId="543" applyFont="1" applyBorder="1" applyAlignment="1">
      <alignment horizontal="right" vertical="top" wrapText="1"/>
    </xf>
    <xf numFmtId="0" fontId="22" fillId="0" borderId="8" xfId="543" applyBorder="1" applyAlignment="1">
      <alignment horizontal="left" vertical="top" wrapText="1"/>
    </xf>
    <xf numFmtId="0" fontId="22" fillId="0" borderId="0" xfId="543" applyAlignment="1">
      <alignment horizontal="left" vertical="top" wrapText="1"/>
    </xf>
    <xf numFmtId="0" fontId="22" fillId="0" borderId="12" xfId="543" applyBorder="1" applyAlignment="1">
      <alignment horizontal="left" vertical="top" wrapText="1"/>
    </xf>
    <xf numFmtId="0" fontId="30" fillId="0" borderId="3" xfId="543" applyFont="1" applyBorder="1" applyAlignment="1">
      <alignment horizontal="center"/>
    </xf>
    <xf numFmtId="0" fontId="30" fillId="0" borderId="5" xfId="543" applyFont="1" applyBorder="1" applyAlignment="1">
      <alignment horizontal="center"/>
    </xf>
    <xf numFmtId="1" fontId="30" fillId="0" borderId="3" xfId="543" applyNumberFormat="1" applyFont="1" applyBorder="1" applyAlignment="1">
      <alignment horizontal="center"/>
    </xf>
    <xf numFmtId="1" fontId="30" fillId="0" borderId="5" xfId="543" applyNumberFormat="1" applyFont="1" applyBorder="1" applyAlignment="1">
      <alignment horizontal="center"/>
    </xf>
    <xf numFmtId="0" fontId="41" fillId="0" borderId="3" xfId="543" applyFont="1" applyBorder="1" applyAlignment="1">
      <alignment horizontal="center"/>
    </xf>
    <xf numFmtId="0" fontId="41" fillId="0" borderId="5" xfId="543" applyFont="1" applyBorder="1" applyAlignment="1">
      <alignment horizontal="center"/>
    </xf>
    <xf numFmtId="0" fontId="41" fillId="5" borderId="3" xfId="543" applyFont="1" applyFill="1" applyBorder="1" applyAlignment="1" applyProtection="1">
      <alignment horizontal="center"/>
      <protection locked="0"/>
    </xf>
    <xf numFmtId="0" fontId="41" fillId="5" borderId="5" xfId="543" applyFont="1" applyFill="1" applyBorder="1" applyAlignment="1" applyProtection="1">
      <alignment horizontal="center"/>
      <protection locked="0"/>
    </xf>
    <xf numFmtId="0" fontId="43" fillId="0" borderId="3" xfId="543" applyFont="1" applyBorder="1" applyAlignment="1">
      <alignment horizontal="center"/>
    </xf>
    <xf numFmtId="0" fontId="43" fillId="0" borderId="4" xfId="543" applyFont="1" applyBorder="1" applyAlignment="1">
      <alignment horizontal="center"/>
    </xf>
    <xf numFmtId="0" fontId="43" fillId="0" borderId="5" xfId="543" applyFont="1" applyBorder="1" applyAlignment="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49" fillId="0" borderId="8" xfId="543" applyFont="1" applyBorder="1" applyAlignment="1">
      <alignment horizontal="center" vertical="center" wrapText="1"/>
    </xf>
    <xf numFmtId="0" fontId="49" fillId="0" borderId="0" xfId="543" applyFont="1" applyAlignment="1">
      <alignment horizontal="center" vertical="center" wrapText="1"/>
    </xf>
    <xf numFmtId="0" fontId="49" fillId="0" borderId="12" xfId="543" applyFont="1" applyBorder="1" applyAlignment="1">
      <alignment horizontal="center" vertical="center" wrapText="1"/>
    </xf>
    <xf numFmtId="168" fontId="29" fillId="0" borderId="3" xfId="543" applyNumberFormat="1" applyFont="1" applyBorder="1" applyAlignment="1">
      <alignment horizontal="center" vertical="center"/>
    </xf>
    <xf numFmtId="168" fontId="29" fillId="0" borderId="4" xfId="543" applyNumberFormat="1" applyFont="1" applyBorder="1" applyAlignment="1">
      <alignment horizontal="center" vertical="center"/>
    </xf>
    <xf numFmtId="168" fontId="29" fillId="0" borderId="5" xfId="543" applyNumberFormat="1" applyFont="1" applyBorder="1" applyAlignment="1">
      <alignment horizontal="center" vertical="center"/>
    </xf>
    <xf numFmtId="0" fontId="22" fillId="0" borderId="8" xfId="0" applyFont="1" applyBorder="1" applyAlignment="1">
      <alignment horizontal="left" wrapText="1"/>
    </xf>
    <xf numFmtId="0" fontId="22" fillId="0" borderId="12" xfId="0" applyFont="1" applyBorder="1" applyAlignment="1">
      <alignment horizontal="left" wrapText="1"/>
    </xf>
    <xf numFmtId="0" fontId="22" fillId="0" borderId="9" xfId="0" applyFont="1" applyBorder="1" applyAlignment="1">
      <alignment horizontal="left" wrapText="1"/>
    </xf>
    <xf numFmtId="0" fontId="22" fillId="0" borderId="6" xfId="0" applyFont="1" applyBorder="1" applyAlignment="1">
      <alignment horizontal="left" wrapText="1"/>
    </xf>
    <xf numFmtId="0" fontId="22" fillId="0" borderId="10" xfId="0" applyFont="1" applyBorder="1" applyAlignment="1">
      <alignment horizontal="left" wrapText="1"/>
    </xf>
    <xf numFmtId="0" fontId="41" fillId="5" borderId="9" xfId="543" applyFont="1" applyFill="1" applyBorder="1" applyAlignment="1" applyProtection="1">
      <alignment horizontal="center"/>
      <protection locked="0"/>
    </xf>
    <xf numFmtId="0" fontId="41" fillId="5" borderId="10" xfId="543" applyFont="1" applyFill="1" applyBorder="1" applyAlignment="1" applyProtection="1">
      <alignment horizontal="center"/>
      <protection locked="0"/>
    </xf>
    <xf numFmtId="0" fontId="29" fillId="0" borderId="1" xfId="0" applyFont="1" applyBorder="1" applyAlignment="1">
      <alignment horizontal="center" wrapText="1"/>
    </xf>
    <xf numFmtId="0" fontId="29" fillId="0" borderId="2" xfId="0" applyFont="1" applyBorder="1" applyAlignment="1">
      <alignment horizontal="center" wrapText="1"/>
    </xf>
    <xf numFmtId="168" fontId="2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9" fillId="10" borderId="3" xfId="543" applyFont="1" applyFill="1" applyBorder="1" applyAlignment="1">
      <alignment horizontal="center"/>
    </xf>
    <xf numFmtId="0" fontId="29" fillId="10" borderId="4" xfId="543" applyFont="1" applyFill="1" applyBorder="1" applyAlignment="1">
      <alignment horizontal="center"/>
    </xf>
    <xf numFmtId="0" fontId="29" fillId="10" borderId="5" xfId="543" applyFont="1" applyFill="1" applyBorder="1" applyAlignment="1">
      <alignment horizontal="center"/>
    </xf>
    <xf numFmtId="0" fontId="41" fillId="5" borderId="3" xfId="543" applyFont="1" applyFill="1" applyBorder="1" applyAlignment="1" applyProtection="1">
      <alignment horizontal="center" vertical="top"/>
      <protection locked="0"/>
    </xf>
    <xf numFmtId="0" fontId="41" fillId="5" borderId="5" xfId="543" applyFont="1" applyFill="1" applyBorder="1" applyAlignment="1" applyProtection="1">
      <alignment horizontal="center" vertical="top"/>
      <protection locked="0"/>
    </xf>
    <xf numFmtId="0" fontId="29" fillId="0" borderId="1" xfId="543" applyFont="1" applyBorder="1" applyAlignment="1">
      <alignment horizontal="left" vertical="top" wrapText="1"/>
    </xf>
    <xf numFmtId="0" fontId="29" fillId="0" borderId="2" xfId="543" applyFont="1" applyBorder="1" applyAlignment="1">
      <alignment horizontal="left" vertical="top" wrapText="1"/>
    </xf>
    <xf numFmtId="0" fontId="29" fillId="0" borderId="7" xfId="543" applyFont="1" applyBorder="1" applyAlignment="1">
      <alignment horizontal="left" vertical="top" wrapText="1"/>
    </xf>
    <xf numFmtId="0" fontId="29" fillId="0" borderId="8" xfId="543" applyFont="1" applyBorder="1" applyAlignment="1">
      <alignment horizontal="left" vertical="top" wrapText="1"/>
    </xf>
    <xf numFmtId="0" fontId="29" fillId="0" borderId="0" xfId="543" applyFont="1" applyAlignment="1">
      <alignment horizontal="left" vertical="top" wrapText="1"/>
    </xf>
    <xf numFmtId="0" fontId="29" fillId="0" borderId="12" xfId="543" applyFont="1" applyBorder="1" applyAlignment="1">
      <alignment horizontal="left" vertical="top" wrapText="1"/>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14" fontId="22"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41" fillId="5" borderId="3" xfId="0" applyNumberFormat="1" applyFont="1" applyFill="1" applyBorder="1" applyAlignment="1" applyProtection="1">
      <alignment horizontal="left"/>
      <protection locked="0"/>
    </xf>
    <xf numFmtId="164" fontId="41" fillId="5" borderId="4" xfId="0" applyNumberFormat="1" applyFont="1" applyFill="1" applyBorder="1" applyAlignment="1" applyProtection="1">
      <alignment horizontal="left"/>
      <protection locked="0"/>
    </xf>
    <xf numFmtId="164" fontId="41" fillId="5" borderId="5"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42" fillId="0" borderId="1" xfId="543" applyFont="1" applyBorder="1" applyAlignment="1">
      <alignment horizontal="right"/>
    </xf>
    <xf numFmtId="0" fontId="42" fillId="0" borderId="2" xfId="543" applyFont="1" applyBorder="1" applyAlignment="1">
      <alignment horizontal="right"/>
    </xf>
    <xf numFmtId="0" fontId="42" fillId="0" borderId="7" xfId="543" applyFont="1" applyBorder="1" applyAlignment="1">
      <alignment horizontal="right"/>
    </xf>
    <xf numFmtId="0" fontId="29" fillId="0" borderId="3" xfId="543" applyFont="1" applyBorder="1" applyAlignment="1">
      <alignment horizontal="right"/>
    </xf>
    <xf numFmtId="0" fontId="29" fillId="0" borderId="4" xfId="543" applyFont="1" applyBorder="1" applyAlignment="1">
      <alignment horizontal="right"/>
    </xf>
    <xf numFmtId="0" fontId="29" fillId="0" borderId="5" xfId="543" applyFont="1" applyBorder="1" applyAlignment="1">
      <alignment horizontal="right"/>
    </xf>
    <xf numFmtId="165" fontId="29" fillId="0" borderId="3" xfId="271" applyNumberFormat="1" applyFont="1" applyBorder="1" applyAlignment="1">
      <alignment horizontal="center"/>
    </xf>
    <xf numFmtId="165" fontId="29" fillId="0" borderId="4" xfId="271" applyNumberFormat="1" applyFont="1" applyBorder="1" applyAlignment="1">
      <alignment horizontal="center"/>
    </xf>
    <xf numFmtId="165" fontId="29" fillId="0" borderId="5" xfId="271" applyNumberFormat="1" applyFont="1" applyBorder="1" applyAlignment="1">
      <alignment horizontal="center"/>
    </xf>
    <xf numFmtId="0" fontId="29" fillId="5" borderId="3" xfId="0" applyFont="1" applyFill="1" applyBorder="1" applyAlignment="1" applyProtection="1">
      <alignment horizontal="right"/>
      <protection locked="0"/>
    </xf>
    <xf numFmtId="0" fontId="29" fillId="5" borderId="4" xfId="0" applyFont="1" applyFill="1" applyBorder="1" applyAlignment="1" applyProtection="1">
      <alignment horizontal="right"/>
      <protection locked="0"/>
    </xf>
    <xf numFmtId="0" fontId="29" fillId="5" borderId="5" xfId="0" applyFont="1" applyFill="1" applyBorder="1" applyAlignment="1" applyProtection="1">
      <alignment horizontal="right"/>
      <protection locked="0"/>
    </xf>
    <xf numFmtId="1" fontId="22" fillId="0" borderId="3" xfId="0" applyNumberFormat="1" applyFont="1" applyBorder="1" applyAlignment="1">
      <alignment horizontal="center"/>
    </xf>
    <xf numFmtId="1" fontId="31" fillId="0" borderId="4" xfId="0" applyNumberFormat="1" applyFont="1" applyBorder="1" applyAlignment="1">
      <alignment horizontal="center"/>
    </xf>
    <xf numFmtId="1" fontId="31" fillId="0" borderId="5" xfId="0" applyNumberFormat="1" applyFont="1" applyBorder="1" applyAlignment="1">
      <alignment horizontal="center"/>
    </xf>
    <xf numFmtId="0" fontId="31" fillId="5" borderId="6" xfId="271" applyFill="1" applyBorder="1" applyProtection="1">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center"/>
      <protection locked="0"/>
    </xf>
    <xf numFmtId="168" fontId="0" fillId="5" borderId="11" xfId="0" applyNumberFormat="1" applyFill="1" applyBorder="1" applyProtection="1">
      <protection locked="0"/>
    </xf>
    <xf numFmtId="168" fontId="0" fillId="0" borderId="11" xfId="0" applyNumberFormat="1" applyBorder="1"/>
    <xf numFmtId="0" fontId="29" fillId="0" borderId="11"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168" fontId="22" fillId="5" borderId="3" xfId="0" applyNumberFormat="1" applyFont="1" applyFill="1" applyBorder="1" applyAlignment="1" applyProtection="1">
      <alignment horizontal="left"/>
      <protection locked="0"/>
    </xf>
    <xf numFmtId="168" fontId="22" fillId="5" borderId="4" xfId="0" applyNumberFormat="1" applyFont="1" applyFill="1" applyBorder="1" applyAlignment="1" applyProtection="1">
      <alignment horizontal="left"/>
      <protection locked="0"/>
    </xf>
    <xf numFmtId="168" fontId="22" fillId="5" borderId="5" xfId="0" applyNumberFormat="1" applyFont="1" applyFill="1" applyBorder="1" applyAlignment="1" applyProtection="1">
      <alignment horizontal="left"/>
      <protection locked="0"/>
    </xf>
    <xf numFmtId="0" fontId="22" fillId="0" borderId="0" xfId="543" applyAlignment="1">
      <alignment horizontal="center"/>
    </xf>
    <xf numFmtId="2" fontId="22" fillId="0" borderId="0" xfId="543" applyNumberFormat="1" applyAlignment="1">
      <alignment horizontal="center"/>
    </xf>
    <xf numFmtId="0" fontId="29" fillId="0" borderId="7" xfId="0" applyFont="1" applyBorder="1" applyAlignment="1">
      <alignment horizontal="center" wrapText="1"/>
    </xf>
    <xf numFmtId="14" fontId="0" fillId="5" borderId="3" xfId="0" applyNumberFormat="1" applyFill="1" applyBorder="1" applyAlignment="1" applyProtection="1">
      <alignment horizontal="right"/>
      <protection locked="0"/>
    </xf>
    <xf numFmtId="0" fontId="31" fillId="0" borderId="3" xfId="0" applyFont="1" applyBorder="1" applyAlignment="1">
      <alignment horizontal="left"/>
    </xf>
    <xf numFmtId="168" fontId="0" fillId="0" borderId="11" xfId="0" applyNumberForma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0" fontId="41" fillId="5" borderId="3" xfId="543" applyFont="1" applyFill="1" applyBorder="1" applyAlignment="1">
      <alignment horizontal="center"/>
    </xf>
    <xf numFmtId="0" fontId="41" fillId="5" borderId="4" xfId="543" applyFont="1" applyFill="1" applyBorder="1" applyAlignment="1">
      <alignment horizontal="center"/>
    </xf>
    <xf numFmtId="0" fontId="41" fillId="5" borderId="5" xfId="543" applyFont="1" applyFill="1" applyBorder="1" applyAlignment="1">
      <alignment horizontal="center"/>
    </xf>
    <xf numFmtId="49" fontId="22" fillId="5" borderId="3" xfId="543" applyNumberFormat="1" applyFill="1" applyBorder="1" applyAlignment="1">
      <alignment horizontal="center"/>
    </xf>
    <xf numFmtId="49" fontId="22" fillId="5" borderId="5" xfId="543" applyNumberFormat="1" applyFill="1" applyBorder="1" applyAlignment="1">
      <alignment horizontal="center"/>
    </xf>
    <xf numFmtId="0" fontId="22" fillId="0" borderId="1" xfId="0" applyFont="1" applyBorder="1" applyAlignment="1">
      <alignment horizontal="center" vertical="top" wrapText="1"/>
    </xf>
    <xf numFmtId="171" fontId="22" fillId="0" borderId="0" xfId="543" applyNumberFormat="1" applyAlignment="1">
      <alignment horizontal="center"/>
    </xf>
    <xf numFmtId="0" fontId="22" fillId="5" borderId="4" xfId="569" applyFill="1" applyBorder="1" applyAlignment="1" applyProtection="1">
      <alignment horizontal="left"/>
      <protection locked="0"/>
    </xf>
    <xf numFmtId="0" fontId="22" fillId="5" borderId="6" xfId="569" applyFill="1" applyBorder="1" applyAlignment="1" applyProtection="1">
      <alignment horizontal="left"/>
      <protection locked="0"/>
    </xf>
    <xf numFmtId="0" fontId="29" fillId="0" borderId="9" xfId="0" applyFont="1" applyBorder="1" applyAlignment="1">
      <alignment horizontal="right"/>
    </xf>
    <xf numFmtId="0" fontId="29" fillId="0" borderId="6" xfId="0" applyFont="1" applyBorder="1" applyAlignment="1">
      <alignment horizontal="right"/>
    </xf>
    <xf numFmtId="0" fontId="29" fillId="0" borderId="10" xfId="0" applyFont="1" applyBorder="1" applyAlignment="1">
      <alignment horizontal="right"/>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0" xfId="0" applyFont="1" applyAlignment="1">
      <alignment horizontal="center" vertical="center" wrapText="1"/>
    </xf>
    <xf numFmtId="0" fontId="38" fillId="0" borderId="12"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29" fillId="0" borderId="11" xfId="0" applyNumberFormat="1" applyFont="1" applyBorder="1" applyAlignment="1">
      <alignment horizontal="center" vertical="center" wrapText="1"/>
    </xf>
    <xf numFmtId="0" fontId="59" fillId="0" borderId="1" xfId="0" applyFont="1" applyBorder="1" applyAlignment="1">
      <alignment horizontal="center" vertical="center" wrapText="1"/>
    </xf>
    <xf numFmtId="0" fontId="59" fillId="0" borderId="2"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0" xfId="0" applyFont="1" applyAlignment="1">
      <alignment horizontal="center" vertical="center" wrapText="1"/>
    </xf>
    <xf numFmtId="0" fontId="59" fillId="0" borderId="12" xfId="0" applyFont="1" applyBorder="1" applyAlignment="1">
      <alignment horizontal="center" vertical="center" wrapText="1"/>
    </xf>
    <xf numFmtId="0" fontId="59" fillId="0" borderId="9"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10" xfId="0" applyFont="1" applyBorder="1" applyAlignment="1">
      <alignment horizontal="center" vertical="center" wrapText="1"/>
    </xf>
    <xf numFmtId="0" fontId="29" fillId="0" borderId="11" xfId="0" applyFont="1" applyBorder="1" applyAlignment="1">
      <alignment horizontal="center" vertical="center"/>
    </xf>
    <xf numFmtId="14" fontId="22"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31" fillId="0" borderId="11" xfId="0" applyFont="1" applyBorder="1" applyAlignment="1">
      <alignment horizontal="center"/>
    </xf>
    <xf numFmtId="0" fontId="2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9" fillId="0" borderId="0" xfId="0" applyFont="1" applyAlignment="1">
      <alignment horizontal="center" vertical="center"/>
    </xf>
    <xf numFmtId="0" fontId="29" fillId="0" borderId="2" xfId="0" applyFont="1" applyBorder="1" applyAlignment="1">
      <alignment horizontal="right"/>
    </xf>
    <xf numFmtId="0" fontId="29" fillId="0" borderId="7" xfId="0" applyFont="1" applyBorder="1" applyAlignment="1">
      <alignment horizontal="right"/>
    </xf>
    <xf numFmtId="0" fontId="22" fillId="5" borderId="3" xfId="0" applyFont="1" applyFill="1" applyBorder="1" applyProtection="1">
      <protection locked="0"/>
    </xf>
    <xf numFmtId="0" fontId="31" fillId="0" borderId="4" xfId="0" applyFont="1" applyBorder="1" applyProtection="1">
      <protection locked="0"/>
    </xf>
    <xf numFmtId="0" fontId="31" fillId="0" borderId="5" xfId="0" applyFont="1" applyBorder="1" applyProtection="1">
      <protection locked="0"/>
    </xf>
    <xf numFmtId="9" fontId="22" fillId="0" borderId="0" xfId="543" applyNumberFormat="1" applyAlignment="1">
      <alignment horizontal="center" vertical="center"/>
    </xf>
    <xf numFmtId="0" fontId="29" fillId="0" borderId="1" xfId="0" applyFont="1" applyBorder="1" applyAlignment="1">
      <alignment horizontal="center"/>
    </xf>
    <xf numFmtId="0" fontId="29" fillId="0" borderId="2" xfId="0" applyFont="1" applyBorder="1" applyAlignment="1">
      <alignment horizontal="center"/>
    </xf>
    <xf numFmtId="0" fontId="29" fillId="0" borderId="7" xfId="0"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71" fontId="22" fillId="0" borderId="0" xfId="543" applyNumberFormat="1" applyAlignment="1">
      <alignment horizontal="right"/>
    </xf>
    <xf numFmtId="168" fontId="22" fillId="5" borderId="10" xfId="0" applyNumberFormat="1" applyFont="1" applyFill="1" applyBorder="1" applyAlignment="1" applyProtection="1">
      <alignment horizontal="right"/>
      <protection locked="0"/>
    </xf>
    <xf numFmtId="168" fontId="22" fillId="5" borderId="13" xfId="0" applyNumberFormat="1" applyFon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31" fillId="0" borderId="4" xfId="0" applyFont="1" applyBorder="1" applyAlignment="1">
      <alignment horizontal="center"/>
    </xf>
    <xf numFmtId="0" fontId="29" fillId="5" borderId="11" xfId="0" applyFont="1" applyFill="1" applyBorder="1" applyAlignment="1" applyProtection="1">
      <alignment horizontal="center"/>
      <protection locked="0"/>
    </xf>
    <xf numFmtId="168" fontId="160" fillId="0" borderId="0" xfId="0" applyNumberFormat="1" applyFont="1" applyAlignment="1">
      <alignment horizontal="center" vertical="center" wrapText="1"/>
    </xf>
    <xf numFmtId="0" fontId="0" fillId="5" borderId="3" xfId="0" quotePrefix="1" applyFill="1" applyBorder="1" applyAlignment="1" applyProtection="1">
      <alignment horizontal="right"/>
      <protection locked="0"/>
    </xf>
    <xf numFmtId="14" fontId="22"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30" fillId="43" borderId="6" xfId="0" applyFont="1"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0" fontId="22" fillId="0" borderId="3" xfId="0" applyFont="1" applyBorder="1" applyAlignment="1">
      <alignment horizontal="left"/>
    </xf>
    <xf numFmtId="0" fontId="22" fillId="0" borderId="4" xfId="0" applyFont="1" applyBorder="1" applyAlignment="1">
      <alignment horizontal="left"/>
    </xf>
    <xf numFmtId="0" fontId="22" fillId="0" borderId="5" xfId="0" applyFont="1" applyBorder="1" applyAlignment="1">
      <alignment horizontal="left"/>
    </xf>
    <xf numFmtId="0" fontId="0" fillId="0" borderId="6" xfId="0" applyBorder="1" applyAlignment="1" applyProtection="1">
      <alignment horizontal="center"/>
      <protection locked="0"/>
    </xf>
    <xf numFmtId="0" fontId="31" fillId="5" borderId="11" xfId="0" applyFont="1" applyFill="1" applyBorder="1" applyAlignment="1" applyProtection="1">
      <alignment horizontal="center"/>
      <protection locked="0"/>
    </xf>
    <xf numFmtId="3" fontId="31" fillId="5" borderId="11" xfId="0" applyNumberFormat="1" applyFont="1" applyFill="1" applyBorder="1" applyAlignment="1" applyProtection="1">
      <alignment horizontal="center"/>
      <protection locked="0"/>
    </xf>
    <xf numFmtId="168" fontId="58" fillId="0" borderId="2" xfId="0" applyNumberFormat="1" applyFont="1" applyBorder="1" applyAlignment="1">
      <alignment horizontal="left" vertical="top" wrapText="1"/>
    </xf>
    <xf numFmtId="168" fontId="58" fillId="0" borderId="0" xfId="0" applyNumberFormat="1" applyFont="1" applyAlignment="1">
      <alignment horizontal="left" vertical="top"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31" fillId="0" borderId="11" xfId="0" applyNumberFormat="1" applyFont="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0" fontId="0" fillId="0" borderId="12" xfId="0" applyBorder="1" applyAlignment="1">
      <alignment horizontal="center"/>
    </xf>
    <xf numFmtId="3" fontId="22" fillId="55" borderId="11" xfId="18053" applyNumberFormat="1" applyFont="1" applyFill="1" applyBorder="1" applyAlignment="1" applyProtection="1">
      <alignment horizontal="center"/>
      <protection locked="0"/>
    </xf>
    <xf numFmtId="168" fontId="31" fillId="0" borderId="3" xfId="0" applyNumberFormat="1" applyFont="1" applyBorder="1" applyAlignment="1">
      <alignment horizontal="left" vertical="top"/>
    </xf>
    <xf numFmtId="168" fontId="31" fillId="0" borderId="4" xfId="0" applyNumberFormat="1" applyFont="1" applyBorder="1" applyAlignment="1">
      <alignment horizontal="left" vertical="top"/>
    </xf>
    <xf numFmtId="168" fontId="31" fillId="0" borderId="5" xfId="0" applyNumberFormat="1" applyFont="1" applyBorder="1" applyAlignment="1">
      <alignment horizontal="left" vertical="top"/>
    </xf>
    <xf numFmtId="168" fontId="31" fillId="5" borderId="4" xfId="0" applyNumberFormat="1" applyFont="1" applyFill="1" applyBorder="1" applyAlignment="1" applyProtection="1">
      <alignment horizontal="right"/>
      <protection locked="0"/>
    </xf>
    <xf numFmtId="0" fontId="22" fillId="5" borderId="6" xfId="0" applyFont="1" applyFill="1" applyBorder="1" applyAlignment="1" applyProtection="1">
      <alignment horizontal="center"/>
      <protection locked="0"/>
    </xf>
    <xf numFmtId="0" fontId="41" fillId="5" borderId="6" xfId="0" applyFont="1" applyFill="1" applyBorder="1" applyAlignment="1" applyProtection="1">
      <alignment horizontal="left"/>
      <protection locked="0"/>
    </xf>
    <xf numFmtId="0" fontId="22" fillId="0" borderId="3" xfId="271" applyFont="1" applyBorder="1" applyAlignment="1">
      <alignment horizontal="left"/>
    </xf>
    <xf numFmtId="0" fontId="22" fillId="0" borderId="4" xfId="271" applyFont="1" applyBorder="1" applyAlignment="1">
      <alignment horizontal="left"/>
    </xf>
    <xf numFmtId="0" fontId="22" fillId="0" borderId="5" xfId="271" applyFont="1" applyBorder="1" applyAlignment="1">
      <alignment horizontal="left"/>
    </xf>
    <xf numFmtId="10" fontId="31"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180" fontId="0" fillId="0" borderId="6" xfId="0" applyNumberFormat="1" applyBorder="1" applyAlignment="1">
      <alignment horizontal="center"/>
    </xf>
    <xf numFmtId="0" fontId="2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31" fillId="5" borderId="4" xfId="0" applyFont="1" applyFill="1" applyBorder="1" applyAlignment="1" applyProtection="1">
      <alignment horizontal="right"/>
      <protection locked="0"/>
    </xf>
    <xf numFmtId="168" fontId="31" fillId="5" borderId="6" xfId="0" applyNumberFormat="1" applyFont="1" applyFill="1" applyBorder="1" applyAlignment="1" applyProtection="1">
      <alignment horizontal="right"/>
      <protection locked="0"/>
    </xf>
    <xf numFmtId="166" fontId="31" fillId="5" borderId="6" xfId="271" applyNumberFormat="1" applyFill="1" applyBorder="1" applyAlignment="1" applyProtection="1">
      <alignment horizontal="left"/>
      <protection locked="0"/>
    </xf>
    <xf numFmtId="166" fontId="31"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31" fillId="0" borderId="6" xfId="0" applyFont="1" applyBorder="1" applyAlignment="1">
      <alignment horizontal="left"/>
    </xf>
    <xf numFmtId="168" fontId="0" fillId="0" borderId="6" xfId="0" applyNumberFormat="1" applyBorder="1" applyAlignment="1">
      <alignment horizontal="center"/>
    </xf>
    <xf numFmtId="0" fontId="22"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173" fontId="22"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22" fillId="5" borderId="6" xfId="244"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0" fillId="0" borderId="0" xfId="0" applyAlignment="1">
      <alignment wrapText="1"/>
    </xf>
    <xf numFmtId="0" fontId="22" fillId="0" borderId="0" xfId="271" applyFont="1" applyAlignment="1">
      <alignment horizontal="left" vertical="top" wrapText="1"/>
    </xf>
    <xf numFmtId="0" fontId="22" fillId="0" borderId="6" xfId="0" applyFont="1" applyBorder="1" applyAlignment="1" applyProtection="1">
      <alignment horizontal="center"/>
      <protection locked="0"/>
    </xf>
    <xf numFmtId="174" fontId="22"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31" fillId="0" borderId="6" xfId="0" applyFont="1" applyBorder="1" applyAlignment="1">
      <alignment horizontal="left" wrapText="1"/>
    </xf>
    <xf numFmtId="1" fontId="22"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22" fillId="0" borderId="0" xfId="0" applyFont="1" applyAlignment="1" applyProtection="1">
      <alignment horizontal="left"/>
      <protection locked="0"/>
    </xf>
    <xf numFmtId="0" fontId="157" fillId="0" borderId="0" xfId="0" applyFont="1" applyAlignment="1" applyProtection="1">
      <alignment horizontal="left" vertical="top" wrapText="1"/>
      <protection locked="0"/>
    </xf>
    <xf numFmtId="0" fontId="22" fillId="0" borderId="6" xfId="0" applyFont="1" applyBorder="1" applyAlignment="1" applyProtection="1">
      <alignment horizontal="left"/>
      <protection locked="0"/>
    </xf>
    <xf numFmtId="0" fontId="23" fillId="0" borderId="0" xfId="244" applyFill="1" applyAlignment="1" applyProtection="1">
      <alignment horizontal="left"/>
      <protection locked="0"/>
    </xf>
    <xf numFmtId="168" fontId="22" fillId="0" borderId="6" xfId="0" applyNumberFormat="1" applyFont="1" applyBorder="1" applyAlignment="1">
      <alignment horizontal="center"/>
    </xf>
    <xf numFmtId="1" fontId="22" fillId="5" borderId="4" xfId="0" applyNumberFormat="1" applyFont="1" applyFill="1" applyBorder="1" applyAlignment="1" applyProtection="1">
      <alignment horizontal="center"/>
      <protection locked="0"/>
    </xf>
    <xf numFmtId="9" fontId="30" fillId="0" borderId="3" xfId="4494" applyFont="1" applyBorder="1" applyAlignment="1" applyProtection="1">
      <alignment horizontal="center"/>
    </xf>
    <xf numFmtId="9" fontId="30" fillId="0" borderId="5" xfId="4494" applyFont="1" applyBorder="1" applyAlignment="1" applyProtection="1">
      <alignment horizontal="center"/>
    </xf>
    <xf numFmtId="0" fontId="22" fillId="5" borderId="0" xfId="244" applyFont="1" applyFill="1" applyBorder="1" applyAlignment="1" applyProtection="1">
      <alignment horizontal="left"/>
      <protection locked="0"/>
    </xf>
    <xf numFmtId="0" fontId="22" fillId="0" borderId="4" xfId="0" applyFont="1" applyBorder="1" applyAlignment="1" applyProtection="1">
      <alignment horizontal="left"/>
      <protection locked="0"/>
    </xf>
    <xf numFmtId="0" fontId="31" fillId="0" borderId="4" xfId="0" applyFont="1" applyBorder="1" applyAlignment="1" applyProtection="1">
      <alignment horizontal="left"/>
      <protection locked="0"/>
    </xf>
    <xf numFmtId="0" fontId="22" fillId="43" borderId="6" xfId="0" applyFont="1" applyFill="1" applyBorder="1" applyAlignment="1" applyProtection="1">
      <alignment vertical="center"/>
      <protection locked="0"/>
    </xf>
    <xf numFmtId="0" fontId="31" fillId="43" borderId="6" xfId="0" applyFont="1" applyFill="1" applyBorder="1" applyAlignment="1" applyProtection="1">
      <alignment horizontal="left"/>
      <protection locked="0"/>
    </xf>
    <xf numFmtId="0" fontId="22" fillId="0" borderId="6" xfId="0" applyFont="1" applyBorder="1" applyAlignment="1">
      <alignment horizontal="left"/>
    </xf>
    <xf numFmtId="49" fontId="22" fillId="5" borderId="6" xfId="0" applyNumberFormat="1" applyFont="1" applyFill="1" applyBorder="1" applyAlignment="1" applyProtection="1">
      <alignment horizontal="center"/>
      <protection locked="0"/>
    </xf>
    <xf numFmtId="167" fontId="22" fillId="5" borderId="6" xfId="569" applyNumberFormat="1" applyFill="1" applyBorder="1" applyAlignment="1" applyProtection="1">
      <alignment horizontal="left"/>
      <protection locked="0"/>
    </xf>
    <xf numFmtId="166" fontId="22" fillId="5" borderId="6" xfId="569" applyNumberFormat="1" applyFill="1" applyBorder="1" applyAlignment="1" applyProtection="1">
      <alignment horizontal="left"/>
      <protection locked="0"/>
    </xf>
    <xf numFmtId="0" fontId="0" fillId="5" borderId="6" xfId="0" applyFill="1" applyBorder="1" applyProtection="1">
      <protection locked="0"/>
    </xf>
    <xf numFmtId="0" fontId="31" fillId="5" borderId="0" xfId="0" applyFont="1" applyFill="1" applyAlignment="1" applyProtection="1">
      <alignment horizontal="left" vertical="top" wrapText="1"/>
      <protection locked="0"/>
    </xf>
    <xf numFmtId="1" fontId="22"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22" fillId="43" borderId="4" xfId="0" applyFont="1" applyFill="1" applyBorder="1" applyAlignment="1" applyProtection="1">
      <alignment horizontal="left" wrapText="1"/>
      <protection locked="0"/>
    </xf>
    <xf numFmtId="1" fontId="31"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178" fontId="31" fillId="5" borderId="4"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31"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0" fontId="0" fillId="5" borderId="4" xfId="0" applyFill="1" applyBorder="1" applyAlignment="1" applyProtection="1">
      <alignment horizontal="right"/>
      <protection locked="0"/>
    </xf>
    <xf numFmtId="3" fontId="31" fillId="0" borderId="11" xfId="0" applyNumberFormat="1" applyFont="1" applyBorder="1" applyAlignment="1">
      <alignment horizontal="center"/>
    </xf>
    <xf numFmtId="10" fontId="31"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31" fillId="5" borderId="4" xfId="0" applyNumberFormat="1" applyFont="1" applyFill="1" applyBorder="1" applyAlignment="1" applyProtection="1">
      <alignment horizontal="left" vertical="top"/>
      <protection locked="0"/>
    </xf>
    <xf numFmtId="168" fontId="31" fillId="5" borderId="5" xfId="0" applyNumberFormat="1" applyFont="1" applyFill="1" applyBorder="1" applyAlignment="1" applyProtection="1">
      <alignment horizontal="left"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3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4" fontId="31"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5" fontId="31" fillId="5" borderId="3" xfId="0" applyNumberFormat="1" applyFont="1" applyFill="1" applyBorder="1" applyAlignment="1" applyProtection="1">
      <alignment horizontal="center"/>
      <protection locked="0"/>
    </xf>
    <xf numFmtId="165" fontId="31" fillId="5" borderId="4" xfId="0" applyNumberFormat="1" applyFont="1" applyFill="1" applyBorder="1" applyAlignment="1" applyProtection="1">
      <alignment horizontal="center"/>
      <protection locked="0"/>
    </xf>
    <xf numFmtId="165" fontId="31"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9" fillId="0" borderId="10" xfId="0" applyFont="1" applyBorder="1" applyAlignment="1">
      <alignment horizontal="center"/>
    </xf>
    <xf numFmtId="168" fontId="188" fillId="0" borderId="105" xfId="543" applyNumberFormat="1" applyFont="1" applyBorder="1" applyAlignment="1">
      <alignment horizontal="right" vertical="center" wrapText="1"/>
    </xf>
    <xf numFmtId="175" fontId="188" fillId="0" borderId="107" xfId="543" applyNumberFormat="1" applyFont="1" applyBorder="1" applyAlignment="1">
      <alignment horizontal="center" vertical="center" wrapText="1"/>
    </xf>
    <xf numFmtId="175" fontId="188" fillId="0" borderId="108" xfId="543" applyNumberFormat="1" applyFont="1" applyBorder="1" applyAlignment="1">
      <alignment horizontal="center" vertical="center" wrapText="1"/>
    </xf>
    <xf numFmtId="175" fontId="188" fillId="0" borderId="109" xfId="543" applyNumberFormat="1" applyFont="1" applyBorder="1" applyAlignment="1">
      <alignment horizontal="center" vertical="center" wrapText="1"/>
    </xf>
    <xf numFmtId="0" fontId="187"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0" borderId="0" xfId="569" applyFont="1" applyAlignment="1">
      <alignment vertical="top" wrapText="1"/>
    </xf>
    <xf numFmtId="0" fontId="22" fillId="0" borderId="0" xfId="569" applyAlignment="1">
      <alignment horizontal="right" vertical="top" wrapText="1"/>
    </xf>
    <xf numFmtId="0" fontId="28" fillId="3" borderId="3" xfId="0" applyFont="1" applyFill="1" applyBorder="1" applyAlignment="1">
      <alignment horizontal="left" vertical="top"/>
    </xf>
    <xf numFmtId="0" fontId="28" fillId="3" borderId="4" xfId="0" applyFont="1" applyFill="1" applyBorder="1" applyAlignment="1">
      <alignment horizontal="left" vertical="top"/>
    </xf>
    <xf numFmtId="0" fontId="28" fillId="3" borderId="5" xfId="0" applyFont="1" applyFill="1" applyBorder="1" applyAlignment="1">
      <alignment horizontal="left" vertical="top"/>
    </xf>
    <xf numFmtId="0" fontId="6" fillId="45" borderId="3" xfId="8736" applyFill="1" applyBorder="1" applyAlignment="1">
      <alignment horizontal="center"/>
    </xf>
    <xf numFmtId="0" fontId="6" fillId="45" borderId="4" xfId="8736" applyFill="1" applyBorder="1" applyAlignment="1">
      <alignment horizontal="center"/>
    </xf>
    <xf numFmtId="0" fontId="6" fillId="45" borderId="5" xfId="8736" applyFill="1" applyBorder="1" applyAlignment="1">
      <alignment horizontal="center"/>
    </xf>
    <xf numFmtId="0" fontId="173" fillId="44" borderId="80" xfId="8736" applyFont="1" applyFill="1" applyBorder="1" applyAlignment="1">
      <alignment horizontal="left"/>
    </xf>
    <xf numFmtId="0" fontId="173" fillId="44" borderId="79" xfId="8736" applyFont="1" applyFill="1" applyBorder="1" applyAlignment="1">
      <alignment horizontal="left"/>
    </xf>
    <xf numFmtId="0" fontId="173" fillId="44" borderId="78" xfId="8736" applyFont="1" applyFill="1" applyBorder="1" applyAlignment="1">
      <alignment horizontal="left"/>
    </xf>
    <xf numFmtId="0" fontId="174" fillId="45" borderId="11" xfId="8736" applyFont="1" applyFill="1" applyBorder="1" applyAlignment="1">
      <alignment horizontal="right"/>
    </xf>
    <xf numFmtId="1" fontId="173" fillId="48" borderId="11" xfId="8736" applyNumberFormat="1" applyFont="1" applyFill="1" applyBorder="1" applyAlignment="1" applyProtection="1">
      <alignment horizontal="center"/>
      <protection locked="0"/>
    </xf>
    <xf numFmtId="0" fontId="185" fillId="51" borderId="65" xfId="8736" applyFont="1" applyFill="1" applyBorder="1" applyAlignment="1">
      <alignment horizontal="center"/>
    </xf>
    <xf numFmtId="0" fontId="185" fillId="51" borderId="29" xfId="8736" applyFont="1" applyFill="1" applyBorder="1" applyAlignment="1">
      <alignment horizontal="center"/>
    </xf>
    <xf numFmtId="0" fontId="185" fillId="51" borderId="31" xfId="8736" applyFont="1" applyFill="1" applyBorder="1" applyAlignment="1">
      <alignment horizontal="center"/>
    </xf>
    <xf numFmtId="0" fontId="170" fillId="48" borderId="66" xfId="8736" applyFont="1" applyFill="1" applyBorder="1" applyAlignment="1">
      <alignment horizontal="center"/>
    </xf>
    <xf numFmtId="0" fontId="170" fillId="48" borderId="0" xfId="8736" applyFont="1" applyFill="1" applyAlignment="1">
      <alignment horizontal="center"/>
    </xf>
    <xf numFmtId="0" fontId="170" fillId="48" borderId="41" xfId="8736" applyFont="1" applyFill="1" applyBorder="1" applyAlignment="1">
      <alignment horizontal="center"/>
    </xf>
    <xf numFmtId="0" fontId="170" fillId="45" borderId="3" xfId="8736" applyFont="1" applyFill="1" applyBorder="1" applyAlignment="1">
      <alignment horizontal="center"/>
    </xf>
    <xf numFmtId="0" fontId="170" fillId="45" borderId="4" xfId="8736" applyFont="1" applyFill="1" applyBorder="1" applyAlignment="1">
      <alignment horizontal="center"/>
    </xf>
    <xf numFmtId="0" fontId="170" fillId="45" borderId="5" xfId="8736" applyFont="1" applyFill="1" applyBorder="1" applyAlignment="1">
      <alignment horizontal="center"/>
    </xf>
    <xf numFmtId="0" fontId="180" fillId="45" borderId="11" xfId="8736" applyFont="1" applyFill="1" applyBorder="1" applyAlignment="1">
      <alignment horizontal="right"/>
    </xf>
    <xf numFmtId="14" fontId="173" fillId="48" borderId="11" xfId="8736" applyNumberFormat="1"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6" fillId="44" borderId="80" xfId="8736" applyFill="1" applyBorder="1" applyAlignment="1">
      <alignment horizontal="center"/>
    </xf>
    <xf numFmtId="0" fontId="6" fillId="44" borderId="79" xfId="8736" applyFill="1" applyBorder="1" applyAlignment="1">
      <alignment horizontal="center"/>
    </xf>
    <xf numFmtId="0" fontId="6" fillId="44" borderId="78" xfId="8736" applyFill="1" applyBorder="1" applyAlignment="1">
      <alignment horizontal="center"/>
    </xf>
    <xf numFmtId="0" fontId="107" fillId="45" borderId="80" xfId="8736" applyFont="1" applyFill="1" applyBorder="1" applyAlignment="1">
      <alignment horizontal="center"/>
    </xf>
    <xf numFmtId="0" fontId="107" fillId="45" borderId="79" xfId="8736" applyFont="1" applyFill="1" applyBorder="1" applyAlignment="1">
      <alignment horizontal="center"/>
    </xf>
    <xf numFmtId="0" fontId="107" fillId="45" borderId="78" xfId="8736" applyFont="1" applyFill="1" applyBorder="1" applyAlignment="1">
      <alignment horizontal="center"/>
    </xf>
    <xf numFmtId="0" fontId="173" fillId="48" borderId="80" xfId="8736" applyFont="1" applyFill="1" applyBorder="1" applyAlignment="1" applyProtection="1">
      <alignment horizontal="center"/>
      <protection locked="0"/>
    </xf>
    <xf numFmtId="0" fontId="173" fillId="48" borderId="79" xfId="8736" applyFont="1" applyFill="1" applyBorder="1" applyAlignment="1" applyProtection="1">
      <alignment horizontal="center"/>
      <protection locked="0"/>
    </xf>
    <xf numFmtId="0" fontId="173" fillId="48" borderId="78" xfId="8736" applyFont="1" applyFill="1" applyBorder="1" applyAlignment="1" applyProtection="1">
      <alignment horizontal="center"/>
      <protection locked="0"/>
    </xf>
    <xf numFmtId="0" fontId="177" fillId="45" borderId="11" xfId="8736" applyFont="1" applyFill="1" applyBorder="1" applyAlignment="1">
      <alignment horizontal="right"/>
    </xf>
    <xf numFmtId="1" fontId="6" fillId="44" borderId="11" xfId="8736" applyNumberFormat="1" applyFill="1" applyBorder="1" applyAlignment="1">
      <alignment horizontal="center"/>
    </xf>
    <xf numFmtId="0" fontId="6" fillId="44" borderId="11" xfId="8736" applyFill="1" applyBorder="1" applyAlignment="1">
      <alignment horizontal="center"/>
    </xf>
    <xf numFmtId="0" fontId="174" fillId="45" borderId="11" xfId="8736" applyFont="1" applyFill="1" applyBorder="1" applyAlignment="1">
      <alignment horizontal="right" wrapText="1"/>
    </xf>
    <xf numFmtId="14" fontId="173" fillId="48" borderId="11" xfId="8736" applyNumberFormat="1" applyFont="1" applyFill="1" applyBorder="1" applyAlignment="1" applyProtection="1">
      <alignment horizontal="center" vertical="center"/>
      <protection locked="0"/>
    </xf>
    <xf numFmtId="0" fontId="173" fillId="48" borderId="11" xfId="8736" applyFont="1" applyFill="1" applyBorder="1" applyAlignment="1" applyProtection="1">
      <alignment horizontal="center" vertical="center"/>
      <protection locked="0"/>
    </xf>
    <xf numFmtId="168" fontId="178" fillId="44" borderId="11" xfId="8737" applyNumberFormat="1" applyFont="1" applyFill="1" applyBorder="1" applyAlignment="1" applyProtection="1">
      <alignment horizontal="left"/>
    </xf>
    <xf numFmtId="0" fontId="107" fillId="45" borderId="80" xfId="8736" applyFont="1" applyFill="1" applyBorder="1" applyAlignment="1">
      <alignment horizontal="right"/>
    </xf>
    <xf numFmtId="0" fontId="107" fillId="45" borderId="79" xfId="8736" applyFont="1" applyFill="1" applyBorder="1" applyAlignment="1">
      <alignment horizontal="right"/>
    </xf>
    <xf numFmtId="0" fontId="107" fillId="45" borderId="103" xfId="8736" applyFont="1" applyFill="1" applyBorder="1" applyAlignment="1">
      <alignment horizontal="right"/>
    </xf>
    <xf numFmtId="0" fontId="6" fillId="44" borderId="84" xfId="8736" applyFill="1" applyBorder="1" applyAlignment="1">
      <alignment horizontal="center"/>
    </xf>
    <xf numFmtId="0" fontId="6" fillId="44" borderId="102" xfId="8736" applyFill="1" applyBorder="1" applyAlignment="1">
      <alignment horizontal="center"/>
    </xf>
    <xf numFmtId="0" fontId="170" fillId="45" borderId="93" xfId="8736" applyFont="1" applyFill="1" applyBorder="1" applyAlignment="1">
      <alignment horizontal="center"/>
    </xf>
    <xf numFmtId="0" fontId="170" fillId="45" borderId="92" xfId="8736" applyFont="1" applyFill="1" applyBorder="1" applyAlignment="1">
      <alignment horizontal="center"/>
    </xf>
    <xf numFmtId="0" fontId="170" fillId="45" borderId="91" xfId="8736" applyFont="1" applyFill="1" applyBorder="1" applyAlignment="1">
      <alignment horizontal="center"/>
    </xf>
    <xf numFmtId="0" fontId="177" fillId="45" borderId="97" xfId="8736" applyFont="1" applyFill="1" applyBorder="1" applyAlignment="1">
      <alignment horizontal="center"/>
    </xf>
    <xf numFmtId="0" fontId="177" fillId="45" borderId="2" xfId="8736" applyFont="1" applyFill="1" applyBorder="1" applyAlignment="1">
      <alignment horizontal="center"/>
    </xf>
    <xf numFmtId="0" fontId="177" fillId="45" borderId="7" xfId="8736" applyFont="1" applyFill="1" applyBorder="1" applyAlignment="1">
      <alignment horizontal="center"/>
    </xf>
    <xf numFmtId="0" fontId="177" fillId="45" borderId="3" xfId="8736" applyFont="1" applyFill="1" applyBorder="1" applyAlignment="1">
      <alignment horizontal="center"/>
    </xf>
    <xf numFmtId="0" fontId="177" fillId="45" borderId="4" xfId="8736" applyFont="1" applyFill="1" applyBorder="1" applyAlignment="1">
      <alignment horizontal="center"/>
    </xf>
    <xf numFmtId="0" fontId="177" fillId="45" borderId="5" xfId="8736" applyFont="1" applyFill="1" applyBorder="1" applyAlignment="1">
      <alignment horizontal="center"/>
    </xf>
    <xf numFmtId="0" fontId="177" fillId="45" borderId="81" xfId="8736" applyFont="1" applyFill="1" applyBorder="1" applyAlignment="1">
      <alignment horizontal="center"/>
    </xf>
    <xf numFmtId="9" fontId="176" fillId="48" borderId="90" xfId="8736" applyNumberFormat="1" applyFont="1" applyFill="1" applyBorder="1" applyAlignment="1" applyProtection="1">
      <alignment horizontal="center"/>
      <protection locked="0"/>
    </xf>
    <xf numFmtId="9" fontId="176" fillId="48" borderId="4" xfId="8736" applyNumberFormat="1" applyFont="1" applyFill="1" applyBorder="1" applyAlignment="1" applyProtection="1">
      <alignment horizontal="center"/>
      <protection locked="0"/>
    </xf>
    <xf numFmtId="9" fontId="176" fillId="48" borderId="5" xfId="8736" applyNumberFormat="1" applyFont="1" applyFill="1" applyBorder="1" applyAlignment="1" applyProtection="1">
      <alignment horizontal="center"/>
      <protection locked="0"/>
    </xf>
    <xf numFmtId="0" fontId="176" fillId="44" borderId="3" xfId="8736" applyFont="1" applyFill="1" applyBorder="1" applyAlignment="1">
      <alignment horizontal="center"/>
    </xf>
    <xf numFmtId="0" fontId="176" fillId="44" borderId="4" xfId="8736" applyFont="1" applyFill="1" applyBorder="1" applyAlignment="1">
      <alignment horizontal="center"/>
    </xf>
    <xf numFmtId="0" fontId="176" fillId="44" borderId="5" xfId="8736" applyFont="1" applyFill="1" applyBorder="1" applyAlignment="1">
      <alignment horizontal="center"/>
    </xf>
    <xf numFmtId="10" fontId="177" fillId="44" borderId="3" xfId="8736" applyNumberFormat="1" applyFont="1" applyFill="1" applyBorder="1" applyAlignment="1">
      <alignment horizontal="center"/>
    </xf>
    <xf numFmtId="10" fontId="177" fillId="44" borderId="4" xfId="8736" applyNumberFormat="1" applyFont="1" applyFill="1" applyBorder="1" applyAlignment="1">
      <alignment horizontal="center"/>
    </xf>
    <xf numFmtId="10" fontId="177" fillId="44" borderId="81" xfId="8736" applyNumberFormat="1" applyFont="1" applyFill="1" applyBorder="1" applyAlignment="1">
      <alignment horizontal="center"/>
    </xf>
    <xf numFmtId="0" fontId="176" fillId="48" borderId="3" xfId="8736" applyFont="1" applyFill="1" applyBorder="1" applyAlignment="1" applyProtection="1">
      <alignment horizontal="center"/>
      <protection locked="0"/>
    </xf>
    <xf numFmtId="0" fontId="176" fillId="48" borderId="4" xfId="8736" applyFont="1" applyFill="1" applyBorder="1" applyAlignment="1" applyProtection="1">
      <alignment horizontal="center"/>
      <protection locked="0"/>
    </xf>
    <xf numFmtId="0" fontId="176" fillId="48" borderId="5" xfId="8736" applyFont="1" applyFill="1" applyBorder="1" applyAlignment="1" applyProtection="1">
      <alignment horizontal="center"/>
      <protection locked="0"/>
    </xf>
    <xf numFmtId="0" fontId="177" fillId="44" borderId="87" xfId="8736" applyFont="1" applyFill="1" applyBorder="1" applyAlignment="1">
      <alignment horizontal="center"/>
    </xf>
    <xf numFmtId="0" fontId="177" fillId="44" borderId="86" xfId="8736" applyFont="1" applyFill="1" applyBorder="1" applyAlignment="1">
      <alignment horizontal="center"/>
    </xf>
    <xf numFmtId="0" fontId="177" fillId="44" borderId="95" xfId="8736" applyFont="1" applyFill="1" applyBorder="1" applyAlignment="1">
      <alignment horizontal="center"/>
    </xf>
    <xf numFmtId="0" fontId="176" fillId="44" borderId="94" xfId="8736" applyFont="1" applyFill="1" applyBorder="1" applyAlignment="1">
      <alignment horizontal="center"/>
    </xf>
    <xf numFmtId="0" fontId="176" fillId="44" borderId="86" xfId="8736" applyFont="1" applyFill="1" applyBorder="1" applyAlignment="1">
      <alignment horizontal="center"/>
    </xf>
    <xf numFmtId="0" fontId="176" fillId="44" borderId="95" xfId="8736" applyFont="1" applyFill="1" applyBorder="1" applyAlignment="1">
      <alignment horizontal="center"/>
    </xf>
    <xf numFmtId="10" fontId="177" fillId="44" borderId="94" xfId="8736" applyNumberFormat="1" applyFont="1" applyFill="1" applyBorder="1" applyAlignment="1">
      <alignment horizontal="center"/>
    </xf>
    <xf numFmtId="10" fontId="177" fillId="44" borderId="86" xfId="8736" applyNumberFormat="1" applyFont="1" applyFill="1" applyBorder="1" applyAlignment="1">
      <alignment horizontal="center"/>
    </xf>
    <xf numFmtId="10" fontId="177" fillId="44" borderId="85" xfId="8736" applyNumberFormat="1" applyFont="1" applyFill="1" applyBorder="1" applyAlignment="1">
      <alignment horizontal="center"/>
    </xf>
    <xf numFmtId="0" fontId="177" fillId="44" borderId="101" xfId="8736" applyFont="1" applyFill="1" applyBorder="1" applyAlignment="1">
      <alignment horizontal="center"/>
    </xf>
    <xf numFmtId="0" fontId="177" fillId="44" borderId="42" xfId="8736" applyFont="1" applyFill="1" applyBorder="1" applyAlignment="1">
      <alignment horizontal="center"/>
    </xf>
    <xf numFmtId="0" fontId="177" fillId="44" borderId="96" xfId="8736" applyFont="1" applyFill="1" applyBorder="1" applyAlignment="1">
      <alignment horizontal="center"/>
    </xf>
    <xf numFmtId="9" fontId="177" fillId="44" borderId="101" xfId="1022" applyFont="1" applyFill="1" applyBorder="1" applyAlignment="1">
      <alignment horizontal="center"/>
    </xf>
    <xf numFmtId="9" fontId="177" fillId="44" borderId="42" xfId="1022" applyFont="1" applyFill="1" applyBorder="1" applyAlignment="1">
      <alignment horizontal="center"/>
    </xf>
    <xf numFmtId="9" fontId="177" fillId="44" borderId="44" xfId="1022" applyFont="1" applyFill="1" applyBorder="1" applyAlignment="1">
      <alignment horizontal="center"/>
    </xf>
    <xf numFmtId="0" fontId="170" fillId="45" borderId="80" xfId="8736" applyFont="1" applyFill="1" applyBorder="1" applyAlignment="1">
      <alignment horizontal="center"/>
    </xf>
    <xf numFmtId="0" fontId="170" fillId="45" borderId="79" xfId="8736" applyFont="1" applyFill="1" applyBorder="1" applyAlignment="1">
      <alignment horizontal="center"/>
    </xf>
    <xf numFmtId="0" fontId="170" fillId="45" borderId="78" xfId="8736" applyFont="1" applyFill="1" applyBorder="1" applyAlignment="1">
      <alignment horizontal="center"/>
    </xf>
    <xf numFmtId="0" fontId="169" fillId="45" borderId="98" xfId="8736" applyFont="1" applyFill="1" applyBorder="1" applyAlignment="1">
      <alignment horizontal="center" vertical="center" wrapText="1"/>
    </xf>
    <xf numFmtId="0" fontId="169" fillId="45" borderId="13" xfId="8736" applyFont="1" applyFill="1" applyBorder="1" applyAlignment="1">
      <alignment horizontal="center" vertical="center"/>
    </xf>
    <xf numFmtId="0" fontId="169" fillId="45" borderId="72" xfId="8736" applyFont="1" applyFill="1" applyBorder="1" applyAlignment="1">
      <alignment horizontal="center" vertical="center"/>
    </xf>
    <xf numFmtId="0" fontId="169" fillId="45" borderId="11" xfId="8736" applyFont="1" applyFill="1" applyBorder="1" applyAlignment="1">
      <alignment horizontal="center" vertical="center"/>
    </xf>
    <xf numFmtId="0" fontId="177" fillId="45" borderId="13" xfId="8736" applyFont="1" applyFill="1" applyBorder="1" applyAlignment="1">
      <alignment horizontal="center" vertical="center" wrapText="1"/>
    </xf>
    <xf numFmtId="0" fontId="177" fillId="45" borderId="13" xfId="8736" applyFont="1" applyFill="1" applyBorder="1" applyAlignment="1">
      <alignment horizontal="center" vertical="center"/>
    </xf>
    <xf numFmtId="0" fontId="177" fillId="45" borderId="11" xfId="8736" applyFont="1" applyFill="1" applyBorder="1" applyAlignment="1">
      <alignment horizontal="center" vertical="center"/>
    </xf>
    <xf numFmtId="0" fontId="177" fillId="45" borderId="9" xfId="8736" applyFont="1" applyFill="1" applyBorder="1" applyAlignment="1">
      <alignment horizontal="center" vertical="center"/>
    </xf>
    <xf numFmtId="0" fontId="177" fillId="45" borderId="3" xfId="8736" applyFont="1" applyFill="1" applyBorder="1" applyAlignment="1">
      <alignment horizontal="center" vertical="center"/>
    </xf>
    <xf numFmtId="0" fontId="169" fillId="45" borderId="80" xfId="8736" applyFont="1" applyFill="1" applyBorder="1" applyAlignment="1">
      <alignment horizontal="center"/>
    </xf>
    <xf numFmtId="0" fontId="169" fillId="45" borderId="79" xfId="8736" applyFont="1" applyFill="1" applyBorder="1" applyAlignment="1">
      <alignment horizontal="center"/>
    </xf>
    <xf numFmtId="0" fontId="169" fillId="45" borderId="78" xfId="8736" applyFont="1" applyFill="1" applyBorder="1" applyAlignment="1">
      <alignment horizontal="center"/>
    </xf>
    <xf numFmtId="0" fontId="169" fillId="45" borderId="65" xfId="8736" applyFont="1" applyFill="1" applyBorder="1" applyAlignment="1">
      <alignment horizontal="center" vertical="center" wrapText="1"/>
    </xf>
    <xf numFmtId="0" fontId="169" fillId="45" borderId="29" xfId="8736" applyFont="1" applyFill="1" applyBorder="1" applyAlignment="1">
      <alignment horizontal="center" vertical="center" wrapText="1"/>
    </xf>
    <xf numFmtId="0" fontId="169" fillId="45" borderId="31" xfId="8736" applyFont="1" applyFill="1" applyBorder="1" applyAlignment="1">
      <alignment horizontal="center" vertical="center" wrapText="1"/>
    </xf>
    <xf numFmtId="0" fontId="169" fillId="45" borderId="73" xfId="8736" applyFont="1" applyFill="1" applyBorder="1" applyAlignment="1">
      <alignment horizontal="center" vertical="center" wrapText="1"/>
    </xf>
    <xf numFmtId="0" fontId="169" fillId="45" borderId="42" xfId="8736" applyFont="1" applyFill="1" applyBorder="1" applyAlignment="1">
      <alignment horizontal="center" vertical="center" wrapText="1"/>
    </xf>
    <xf numFmtId="0" fontId="169" fillId="45" borderId="44" xfId="8736" applyFont="1" applyFill="1" applyBorder="1" applyAlignment="1">
      <alignment horizontal="center" vertical="center" wrapText="1"/>
    </xf>
    <xf numFmtId="9" fontId="177" fillId="48" borderId="13" xfId="8736" applyNumberFormat="1" applyFont="1" applyFill="1" applyBorder="1" applyAlignment="1" applyProtection="1">
      <alignment horizontal="center"/>
      <protection locked="0"/>
    </xf>
    <xf numFmtId="0" fontId="177" fillId="44" borderId="73" xfId="8736" applyFont="1" applyFill="1" applyBorder="1" applyAlignment="1">
      <alignment horizontal="center"/>
    </xf>
    <xf numFmtId="0" fontId="169" fillId="44" borderId="9" xfId="8736" applyFont="1" applyFill="1" applyBorder="1" applyAlignment="1">
      <alignment horizontal="center"/>
    </xf>
    <xf numFmtId="0" fontId="169" fillId="44" borderId="6" xfId="8736" applyFont="1" applyFill="1" applyBorder="1" applyAlignment="1">
      <alignment horizontal="center"/>
    </xf>
    <xf numFmtId="0" fontId="169" fillId="44" borderId="82" xfId="8736" applyFont="1" applyFill="1" applyBorder="1" applyAlignment="1">
      <alignment horizontal="center"/>
    </xf>
    <xf numFmtId="9" fontId="177" fillId="48" borderId="9" xfId="8736" applyNumberFormat="1" applyFont="1" applyFill="1" applyBorder="1" applyAlignment="1" applyProtection="1">
      <alignment horizontal="center"/>
      <protection locked="0"/>
    </xf>
    <xf numFmtId="9" fontId="177" fillId="48" borderId="6" xfId="8736" applyNumberFormat="1" applyFont="1" applyFill="1" applyBorder="1" applyAlignment="1" applyProtection="1">
      <alignment horizontal="center"/>
      <protection locked="0"/>
    </xf>
    <xf numFmtId="9" fontId="177" fillId="48" borderId="10" xfId="8736" applyNumberFormat="1" applyFont="1" applyFill="1" applyBorder="1" applyAlignment="1" applyProtection="1">
      <alignment horizontal="center"/>
      <protection locked="0"/>
    </xf>
    <xf numFmtId="9" fontId="169" fillId="48" borderId="9" xfId="8736" applyNumberFormat="1" applyFont="1" applyFill="1" applyBorder="1" applyAlignment="1" applyProtection="1">
      <alignment horizontal="center"/>
      <protection locked="0"/>
    </xf>
    <xf numFmtId="9" fontId="169" fillId="48" borderId="6" xfId="8736" applyNumberFormat="1" applyFont="1" applyFill="1" applyBorder="1" applyAlignment="1" applyProtection="1">
      <alignment horizontal="center"/>
      <protection locked="0"/>
    </xf>
    <xf numFmtId="9" fontId="169" fillId="48" borderId="10" xfId="8736" applyNumberFormat="1" applyFont="1" applyFill="1" applyBorder="1" applyAlignment="1" applyProtection="1">
      <alignment horizontal="center"/>
      <protection locked="0"/>
    </xf>
    <xf numFmtId="0" fontId="169" fillId="44" borderId="10" xfId="8736" applyFont="1" applyFill="1" applyBorder="1" applyAlignment="1">
      <alignment horizontal="center"/>
    </xf>
    <xf numFmtId="1" fontId="181" fillId="48" borderId="3" xfId="8736" applyNumberFormat="1" applyFont="1" applyFill="1" applyBorder="1" applyAlignment="1" applyProtection="1">
      <alignment horizontal="center"/>
      <protection locked="0"/>
    </xf>
    <xf numFmtId="1" fontId="181" fillId="48" borderId="4" xfId="8736" applyNumberFormat="1" applyFont="1" applyFill="1" applyBorder="1" applyAlignment="1" applyProtection="1">
      <alignment horizontal="center"/>
      <protection locked="0"/>
    </xf>
    <xf numFmtId="1" fontId="181" fillId="48" borderId="5" xfId="8736" applyNumberFormat="1" applyFont="1" applyFill="1" applyBorder="1" applyAlignment="1" applyProtection="1">
      <alignment horizontal="center"/>
      <protection locked="0"/>
    </xf>
    <xf numFmtId="1" fontId="169" fillId="44" borderId="3" xfId="8736" applyNumberFormat="1" applyFont="1" applyFill="1" applyBorder="1" applyAlignment="1">
      <alignment horizontal="center"/>
    </xf>
    <xf numFmtId="1" fontId="169" fillId="44" borderId="4" xfId="8736" applyNumberFormat="1" applyFont="1" applyFill="1" applyBorder="1" applyAlignment="1">
      <alignment horizontal="center"/>
    </xf>
    <xf numFmtId="1" fontId="169" fillId="44" borderId="5" xfId="8736" applyNumberFormat="1" applyFont="1" applyFill="1" applyBorder="1" applyAlignment="1">
      <alignment horizontal="center"/>
    </xf>
    <xf numFmtId="9" fontId="169" fillId="44" borderId="3" xfId="8738" applyFont="1" applyFill="1" applyBorder="1" applyAlignment="1">
      <alignment horizontal="center"/>
    </xf>
    <xf numFmtId="9" fontId="169" fillId="44" borderId="4" xfId="8738" applyFont="1" applyFill="1" applyBorder="1" applyAlignment="1">
      <alignment horizontal="center"/>
    </xf>
    <xf numFmtId="9" fontId="169" fillId="44" borderId="81" xfId="8738" applyFont="1" applyFill="1" applyBorder="1" applyAlignment="1">
      <alignment horizontal="center"/>
    </xf>
    <xf numFmtId="0" fontId="178" fillId="48" borderId="72" xfId="8736" applyFont="1" applyFill="1" applyBorder="1" applyAlignment="1" applyProtection="1">
      <alignment horizontal="right"/>
      <protection locked="0"/>
    </xf>
    <xf numFmtId="0" fontId="178" fillId="48" borderId="11" xfId="8736" applyFont="1" applyFill="1" applyBorder="1" applyAlignment="1" applyProtection="1">
      <alignment horizontal="right"/>
      <protection locked="0"/>
    </xf>
    <xf numFmtId="0" fontId="181" fillId="48" borderId="11" xfId="8736" applyFont="1" applyFill="1" applyBorder="1" applyAlignment="1" applyProtection="1">
      <alignment horizontal="center"/>
      <protection locked="0"/>
    </xf>
    <xf numFmtId="1" fontId="181" fillId="48" borderId="11" xfId="8736" applyNumberFormat="1" applyFont="1" applyFill="1" applyBorder="1" applyAlignment="1" applyProtection="1">
      <alignment horizontal="center"/>
      <protection locked="0"/>
    </xf>
    <xf numFmtId="0" fontId="176" fillId="48" borderId="72" xfId="8736" applyFont="1" applyFill="1" applyBorder="1" applyAlignment="1" applyProtection="1">
      <alignment horizontal="right"/>
      <protection locked="0"/>
    </xf>
    <xf numFmtId="0" fontId="176" fillId="48" borderId="11" xfId="8736" applyFont="1" applyFill="1" applyBorder="1" applyAlignment="1" applyProtection="1">
      <alignment horizontal="right"/>
      <protection locked="0"/>
    </xf>
    <xf numFmtId="0" fontId="176" fillId="48" borderId="69" xfId="8736" applyFont="1" applyFill="1" applyBorder="1" applyAlignment="1" applyProtection="1">
      <alignment horizontal="right"/>
      <protection locked="0"/>
    </xf>
    <xf numFmtId="0" fontId="176" fillId="48" borderId="70" xfId="8736" applyFont="1" applyFill="1" applyBorder="1" applyAlignment="1" applyProtection="1">
      <alignment horizontal="right"/>
      <protection locked="0"/>
    </xf>
    <xf numFmtId="0" fontId="181" fillId="48" borderId="70" xfId="8736" applyFont="1" applyFill="1" applyBorder="1" applyAlignment="1" applyProtection="1">
      <alignment horizontal="center"/>
      <protection locked="0"/>
    </xf>
    <xf numFmtId="1" fontId="181" fillId="48" borderId="70" xfId="8736" applyNumberFormat="1" applyFont="1" applyFill="1" applyBorder="1" applyAlignment="1" applyProtection="1">
      <alignment horizontal="center"/>
      <protection locked="0"/>
    </xf>
    <xf numFmtId="9" fontId="169" fillId="44" borderId="94" xfId="8738" applyFont="1" applyFill="1" applyBorder="1" applyAlignment="1">
      <alignment horizontal="center"/>
    </xf>
    <xf numFmtId="9" fontId="169" fillId="44" borderId="86" xfId="8738" applyFont="1" applyFill="1" applyBorder="1" applyAlignment="1">
      <alignment horizontal="center"/>
    </xf>
    <xf numFmtId="9" fontId="169" fillId="44" borderId="85" xfId="8738" applyFont="1" applyFill="1" applyBorder="1" applyAlignment="1">
      <alignment horizontal="center"/>
    </xf>
    <xf numFmtId="1" fontId="181" fillId="48" borderId="94" xfId="8736" applyNumberFormat="1" applyFont="1" applyFill="1" applyBorder="1" applyAlignment="1" applyProtection="1">
      <alignment horizontal="center"/>
      <protection locked="0"/>
    </xf>
    <xf numFmtId="1" fontId="181" fillId="48" borderId="86" xfId="8736" applyNumberFormat="1" applyFont="1" applyFill="1" applyBorder="1" applyAlignment="1" applyProtection="1">
      <alignment horizontal="center"/>
      <protection locked="0"/>
    </xf>
    <xf numFmtId="1" fontId="181" fillId="48" borderId="95" xfId="8736" applyNumberFormat="1" applyFont="1" applyFill="1" applyBorder="1" applyAlignment="1" applyProtection="1">
      <alignment horizontal="center"/>
      <protection locked="0"/>
    </xf>
    <xf numFmtId="0" fontId="170" fillId="45" borderId="67" xfId="8736" applyFont="1" applyFill="1" applyBorder="1" applyAlignment="1">
      <alignment horizontal="center"/>
    </xf>
    <xf numFmtId="0" fontId="170" fillId="45" borderId="68" xfId="8736" applyFont="1" applyFill="1" applyBorder="1" applyAlignment="1">
      <alignment horizontal="center"/>
    </xf>
    <xf numFmtId="0" fontId="170" fillId="45" borderId="71" xfId="8736" applyFont="1" applyFill="1" applyBorder="1" applyAlignment="1">
      <alignment horizontal="center"/>
    </xf>
    <xf numFmtId="0" fontId="177" fillId="45" borderId="72" xfId="8736" applyFont="1" applyFill="1" applyBorder="1" applyAlignment="1">
      <alignment horizontal="center"/>
    </xf>
    <xf numFmtId="0" fontId="177" fillId="45" borderId="11" xfId="8736" applyFont="1" applyFill="1" applyBorder="1" applyAlignment="1">
      <alignment horizontal="center"/>
    </xf>
    <xf numFmtId="0" fontId="169" fillId="45" borderId="11" xfId="8736" applyFont="1" applyFill="1" applyBorder="1" applyAlignment="1">
      <alignment horizontal="center" vertical="center" wrapText="1"/>
    </xf>
    <xf numFmtId="0" fontId="169" fillId="45" borderId="76" xfId="8736" applyFont="1" applyFill="1" applyBorder="1" applyAlignment="1">
      <alignment horizontal="center" vertical="center" wrapText="1"/>
    </xf>
    <xf numFmtId="0" fontId="176" fillId="48" borderId="11" xfId="8736" applyFont="1" applyFill="1" applyBorder="1" applyAlignment="1" applyProtection="1">
      <alignment horizontal="center"/>
      <protection locked="0"/>
    </xf>
    <xf numFmtId="168" fontId="176" fillId="48" borderId="11" xfId="8737" applyNumberFormat="1" applyFont="1" applyFill="1" applyBorder="1" applyAlignment="1" applyProtection="1">
      <alignment horizontal="center"/>
      <protection locked="0"/>
    </xf>
    <xf numFmtId="1" fontId="176" fillId="48" borderId="11" xfId="8736" applyNumberFormat="1" applyFont="1" applyFill="1" applyBorder="1" applyAlignment="1" applyProtection="1">
      <alignment horizontal="center"/>
      <protection locked="0"/>
    </xf>
    <xf numFmtId="0" fontId="176" fillId="48" borderId="11" xfId="700" applyNumberFormat="1" applyFont="1" applyFill="1" applyBorder="1" applyAlignment="1" applyProtection="1">
      <alignment horizontal="left"/>
      <protection locked="0"/>
    </xf>
    <xf numFmtId="0" fontId="176" fillId="48" borderId="76" xfId="700" applyNumberFormat="1" applyFont="1" applyFill="1" applyBorder="1" applyAlignment="1" applyProtection="1">
      <alignment horizontal="left"/>
      <protection locked="0"/>
    </xf>
    <xf numFmtId="0" fontId="170" fillId="45" borderId="65" xfId="8736" applyFont="1" applyFill="1" applyBorder="1" applyAlignment="1">
      <alignment horizontal="center"/>
    </xf>
    <xf numFmtId="0" fontId="170" fillId="45" borderId="29" xfId="8736" applyFont="1" applyFill="1" applyBorder="1" applyAlignment="1">
      <alignment horizontal="center"/>
    </xf>
    <xf numFmtId="0" fontId="170" fillId="45" borderId="31" xfId="8736" applyFont="1" applyFill="1" applyBorder="1" applyAlignment="1">
      <alignment horizontal="center"/>
    </xf>
    <xf numFmtId="0" fontId="176" fillId="44" borderId="72" xfId="8736" applyFont="1" applyFill="1" applyBorder="1" applyAlignment="1" applyProtection="1">
      <alignment horizontal="right"/>
      <protection locked="0"/>
    </xf>
    <xf numFmtId="0" fontId="176" fillId="44" borderId="11" xfId="8736" applyFont="1" applyFill="1" applyBorder="1" applyAlignment="1" applyProtection="1">
      <alignment horizontal="right"/>
      <protection locked="0"/>
    </xf>
    <xf numFmtId="0" fontId="176" fillId="44" borderId="76" xfId="8736" applyFont="1" applyFill="1" applyBorder="1" applyAlignment="1" applyProtection="1">
      <alignment horizontal="right"/>
      <protection locked="0"/>
    </xf>
    <xf numFmtId="0" fontId="176" fillId="48" borderId="5" xfId="8736" applyFont="1" applyFill="1" applyBorder="1" applyAlignment="1" applyProtection="1">
      <alignment horizontal="left"/>
      <protection locked="0"/>
    </xf>
    <xf numFmtId="0" fontId="176" fillId="48" borderId="11" xfId="8736" applyFont="1" applyFill="1" applyBorder="1" applyAlignment="1" applyProtection="1">
      <alignment horizontal="left"/>
      <protection locked="0"/>
    </xf>
    <xf numFmtId="0" fontId="176" fillId="48" borderId="76" xfId="8736" applyFont="1" applyFill="1" applyBorder="1" applyAlignment="1" applyProtection="1">
      <alignment horizontal="left"/>
      <protection locked="0"/>
    </xf>
    <xf numFmtId="0" fontId="177" fillId="45" borderId="69" xfId="8736" applyFont="1" applyFill="1" applyBorder="1" applyAlignment="1">
      <alignment horizontal="center"/>
    </xf>
    <xf numFmtId="0" fontId="177" fillId="45" borderId="70" xfId="8736" applyFont="1" applyFill="1" applyBorder="1" applyAlignment="1">
      <alignment horizontal="center"/>
    </xf>
    <xf numFmtId="168" fontId="177" fillId="45" borderId="70" xfId="8737" applyNumberFormat="1" applyFont="1" applyFill="1" applyBorder="1" applyAlignment="1">
      <alignment horizontal="center"/>
    </xf>
    <xf numFmtId="1" fontId="177" fillId="45" borderId="70" xfId="8737" applyNumberFormat="1" applyFont="1" applyFill="1" applyBorder="1" applyAlignment="1">
      <alignment horizontal="center"/>
    </xf>
    <xf numFmtId="0" fontId="177" fillId="45" borderId="70" xfId="8737" applyNumberFormat="1" applyFont="1" applyFill="1" applyBorder="1" applyAlignment="1">
      <alignment horizontal="center"/>
    </xf>
    <xf numFmtId="0" fontId="177" fillId="45" borderId="77" xfId="8737" applyNumberFormat="1" applyFont="1" applyFill="1" applyBorder="1" applyAlignment="1">
      <alignment horizontal="center"/>
    </xf>
    <xf numFmtId="0" fontId="173" fillId="48" borderId="74" xfId="8736" applyFont="1" applyFill="1" applyBorder="1" applyAlignment="1" applyProtection="1">
      <alignment horizontal="left"/>
      <protection locked="0"/>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70" fillId="45" borderId="72" xfId="8736" applyFont="1" applyFill="1" applyBorder="1" applyAlignment="1">
      <alignment horizontal="center"/>
    </xf>
    <xf numFmtId="0" fontId="170" fillId="45" borderId="11" xfId="8736" applyFont="1" applyFill="1" applyBorder="1" applyAlignment="1">
      <alignment horizontal="center"/>
    </xf>
    <xf numFmtId="0" fontId="170" fillId="45" borderId="81" xfId="8736" applyFont="1" applyFill="1" applyBorder="1" applyAlignment="1">
      <alignment horizontal="center"/>
    </xf>
    <xf numFmtId="0" fontId="107" fillId="45" borderId="69" xfId="8736" applyFont="1" applyFill="1" applyBorder="1" applyAlignment="1">
      <alignment horizontal="center"/>
    </xf>
    <xf numFmtId="0" fontId="107" fillId="45" borderId="70" xfId="8736" applyFont="1" applyFill="1" applyBorder="1" applyAlignment="1">
      <alignment horizontal="center"/>
    </xf>
    <xf numFmtId="0" fontId="176" fillId="44" borderId="69" xfId="8736" applyFont="1" applyFill="1" applyBorder="1" applyAlignment="1" applyProtection="1">
      <alignment horizontal="right"/>
      <protection locked="0"/>
    </xf>
    <xf numFmtId="0" fontId="176" fillId="44" borderId="70" xfId="8736" applyFont="1" applyFill="1" applyBorder="1" applyAlignment="1" applyProtection="1">
      <alignment horizontal="right"/>
      <protection locked="0"/>
    </xf>
    <xf numFmtId="0" fontId="176" fillId="44" borderId="77" xfId="8736" applyFont="1" applyFill="1" applyBorder="1" applyAlignment="1" applyProtection="1">
      <alignment horizontal="right"/>
      <protection locked="0"/>
    </xf>
    <xf numFmtId="0" fontId="176" fillId="48" borderId="95" xfId="8736" applyFont="1" applyFill="1" applyBorder="1" applyAlignment="1" applyProtection="1">
      <alignment horizontal="left"/>
      <protection locked="0"/>
    </xf>
    <xf numFmtId="0" fontId="176" fillId="48" borderId="70" xfId="8736" applyFont="1" applyFill="1" applyBorder="1" applyAlignment="1" applyProtection="1">
      <alignment horizontal="left"/>
      <protection locked="0"/>
    </xf>
    <xf numFmtId="0" fontId="176" fillId="48" borderId="77" xfId="8736" applyFont="1" applyFill="1" applyBorder="1" applyAlignment="1" applyProtection="1">
      <alignment horizontal="left"/>
      <protection locked="0"/>
    </xf>
    <xf numFmtId="168" fontId="178" fillId="48" borderId="11" xfId="700" applyNumberFormat="1" applyFont="1" applyFill="1" applyBorder="1" applyAlignment="1" applyProtection="1">
      <alignment horizontal="left"/>
      <protection locked="0"/>
    </xf>
    <xf numFmtId="168" fontId="178" fillId="48" borderId="76" xfId="700" applyNumberFormat="1" applyFont="1" applyFill="1" applyBorder="1" applyAlignment="1" applyProtection="1">
      <alignment horizontal="left"/>
      <protection locked="0"/>
    </xf>
    <xf numFmtId="0" fontId="176" fillId="48" borderId="68" xfId="8736" applyFont="1" applyFill="1" applyBorder="1" applyAlignment="1" applyProtection="1">
      <alignment horizontal="left"/>
      <protection locked="0"/>
    </xf>
    <xf numFmtId="0" fontId="176" fillId="48" borderId="71" xfId="8736" applyFont="1" applyFill="1" applyBorder="1" applyAlignment="1" applyProtection="1">
      <alignment horizontal="left"/>
      <protection locked="0"/>
    </xf>
    <xf numFmtId="0" fontId="170" fillId="45" borderId="69" xfId="8736" applyFont="1" applyFill="1" applyBorder="1" applyAlignment="1">
      <alignment horizontal="center"/>
    </xf>
    <xf numFmtId="0" fontId="170" fillId="45" borderId="70" xfId="8736" applyFont="1" applyFill="1" applyBorder="1" applyAlignment="1">
      <alignment horizontal="center"/>
    </xf>
    <xf numFmtId="0" fontId="107" fillId="45" borderId="67" xfId="8736" applyFont="1" applyFill="1" applyBorder="1" applyAlignment="1">
      <alignment horizontal="center"/>
    </xf>
    <xf numFmtId="0" fontId="107" fillId="45" borderId="68" xfId="8736" applyFont="1" applyFill="1" applyBorder="1" applyAlignment="1">
      <alignment horizontal="center"/>
    </xf>
    <xf numFmtId="0" fontId="170" fillId="45" borderId="98" xfId="8736" applyFont="1" applyFill="1" applyBorder="1" applyAlignment="1">
      <alignment horizontal="center"/>
    </xf>
    <xf numFmtId="0" fontId="170" fillId="45" borderId="13" xfId="8736" applyFont="1" applyFill="1" applyBorder="1" applyAlignment="1">
      <alignment horizontal="center"/>
    </xf>
    <xf numFmtId="0" fontId="176" fillId="48" borderId="72" xfId="8736" applyFont="1" applyFill="1" applyBorder="1" applyAlignment="1" applyProtection="1">
      <alignment horizontal="left" vertical="top"/>
      <protection locked="0"/>
    </xf>
    <xf numFmtId="0" fontId="176" fillId="48" borderId="11" xfId="8736" applyFont="1" applyFill="1" applyBorder="1" applyAlignment="1" applyProtection="1">
      <alignment horizontal="left" vertical="top"/>
      <protection locked="0"/>
    </xf>
    <xf numFmtId="0" fontId="176" fillId="48" borderId="76" xfId="8736" applyFont="1" applyFill="1" applyBorder="1" applyAlignment="1" applyProtection="1">
      <alignment horizontal="left" vertical="top"/>
      <protection locked="0"/>
    </xf>
    <xf numFmtId="0" fontId="176" fillId="48" borderId="69" xfId="8736" applyFont="1" applyFill="1" applyBorder="1" applyAlignment="1" applyProtection="1">
      <alignment horizontal="left" vertical="top"/>
      <protection locked="0"/>
    </xf>
    <xf numFmtId="0" fontId="176" fillId="48" borderId="70" xfId="8736" applyFont="1" applyFill="1" applyBorder="1" applyAlignment="1" applyProtection="1">
      <alignment horizontal="left" vertical="top"/>
      <protection locked="0"/>
    </xf>
    <xf numFmtId="0" fontId="176" fillId="48" borderId="77" xfId="8736" applyFont="1" applyFill="1" applyBorder="1" applyAlignment="1" applyProtection="1">
      <alignment horizontal="left" vertical="top"/>
      <protection locked="0"/>
    </xf>
    <xf numFmtId="0" fontId="176" fillId="48" borderId="72" xfId="8736" applyFont="1" applyFill="1" applyBorder="1" applyAlignment="1" applyProtection="1">
      <alignment horizontal="center"/>
      <protection locked="0"/>
    </xf>
    <xf numFmtId="0" fontId="170" fillId="45" borderId="89" xfId="8736" applyFont="1" applyFill="1" applyBorder="1" applyAlignment="1">
      <alignment horizontal="right"/>
    </xf>
    <xf numFmtId="0" fontId="170" fillId="45" borderId="43" xfId="8736" applyFont="1" applyFill="1" applyBorder="1" applyAlignment="1">
      <alignment horizontal="right"/>
    </xf>
    <xf numFmtId="168" fontId="170" fillId="45" borderId="43" xfId="8736" applyNumberFormat="1" applyFont="1" applyFill="1" applyBorder="1" applyAlignment="1">
      <alignment horizontal="left"/>
    </xf>
    <xf numFmtId="168" fontId="170" fillId="45" borderId="88" xfId="8736" applyNumberFormat="1" applyFont="1" applyFill="1" applyBorder="1" applyAlignment="1">
      <alignment horizontal="left"/>
    </xf>
    <xf numFmtId="0" fontId="6" fillId="48" borderId="9" xfId="8736" applyFill="1" applyBorder="1" applyAlignment="1" applyProtection="1">
      <alignment horizontal="center"/>
      <protection locked="0"/>
    </xf>
    <xf numFmtId="0" fontId="6" fillId="48" borderId="6" xfId="8736" applyFill="1" applyBorder="1" applyAlignment="1" applyProtection="1">
      <alignment horizontal="center"/>
      <protection locked="0"/>
    </xf>
    <xf numFmtId="0" fontId="6" fillId="48" borderId="82" xfId="8736" applyFill="1" applyBorder="1" applyAlignment="1" applyProtection="1">
      <alignment horizontal="center"/>
      <protection locked="0"/>
    </xf>
    <xf numFmtId="0" fontId="107" fillId="45" borderId="67" xfId="8736" applyFont="1" applyFill="1" applyBorder="1" applyAlignment="1">
      <alignment horizontal="center" wrapText="1"/>
    </xf>
    <xf numFmtId="0" fontId="107" fillId="45" borderId="68" xfId="8736" applyFont="1" applyFill="1" applyBorder="1" applyAlignment="1">
      <alignment horizontal="center" wrapText="1"/>
    </xf>
    <xf numFmtId="0" fontId="107" fillId="45" borderId="71" xfId="8736" applyFont="1" applyFill="1" applyBorder="1" applyAlignment="1">
      <alignment horizontal="center" wrapText="1"/>
    </xf>
    <xf numFmtId="0" fontId="107" fillId="45" borderId="67" xfId="8736" applyFont="1" applyFill="1" applyBorder="1" applyAlignment="1">
      <alignment horizontal="left" wrapText="1"/>
    </xf>
    <xf numFmtId="0" fontId="107" fillId="45" borderId="68" xfId="8736" applyFont="1" applyFill="1" applyBorder="1" applyAlignment="1">
      <alignment horizontal="left" wrapText="1"/>
    </xf>
    <xf numFmtId="0" fontId="107" fillId="45" borderId="72" xfId="8736" applyFont="1" applyFill="1" applyBorder="1" applyAlignment="1">
      <alignment horizontal="left" wrapText="1"/>
    </xf>
    <xf numFmtId="0" fontId="107" fillId="45" borderId="11" xfId="8736" applyFont="1" applyFill="1" applyBorder="1" applyAlignment="1">
      <alignment horizontal="left" wrapText="1"/>
    </xf>
    <xf numFmtId="0" fontId="173" fillId="48" borderId="68" xfId="8736" applyFont="1" applyFill="1" applyBorder="1" applyAlignment="1" applyProtection="1">
      <alignment horizontal="left" wrapText="1"/>
      <protection locked="0"/>
    </xf>
    <xf numFmtId="0" fontId="173" fillId="48" borderId="71" xfId="8736" applyFont="1" applyFill="1" applyBorder="1" applyAlignment="1" applyProtection="1">
      <alignment horizontal="left" wrapText="1"/>
      <protection locked="0"/>
    </xf>
    <xf numFmtId="0" fontId="173" fillId="48" borderId="11" xfId="8736" applyFont="1" applyFill="1" applyBorder="1" applyAlignment="1" applyProtection="1">
      <alignment horizontal="left" wrapText="1"/>
      <protection locked="0"/>
    </xf>
    <xf numFmtId="0" fontId="173" fillId="48" borderId="76" xfId="8736" applyFont="1" applyFill="1" applyBorder="1" applyAlignment="1" applyProtection="1">
      <alignment horizontal="left" wrapText="1"/>
      <protection locked="0"/>
    </xf>
    <xf numFmtId="0" fontId="177" fillId="45" borderId="11" xfId="8736" applyFont="1" applyFill="1" applyBorder="1" applyAlignment="1">
      <alignment horizontal="center" wrapText="1"/>
    </xf>
    <xf numFmtId="0" fontId="169" fillId="45" borderId="11" xfId="8736" applyFont="1" applyFill="1" applyBorder="1" applyAlignment="1">
      <alignment horizontal="center"/>
    </xf>
    <xf numFmtId="0" fontId="169" fillId="45" borderId="76" xfId="8736" applyFont="1" applyFill="1" applyBorder="1" applyAlignment="1">
      <alignment horizontal="center"/>
    </xf>
    <xf numFmtId="0" fontId="6" fillId="48" borderId="70" xfId="8736" applyFill="1" applyBorder="1" applyAlignment="1" applyProtection="1">
      <alignment horizontal="center"/>
      <protection locked="0"/>
    </xf>
    <xf numFmtId="0" fontId="6" fillId="48" borderId="77" xfId="8736" applyFill="1" applyBorder="1" applyAlignment="1" applyProtection="1">
      <alignment horizontal="center"/>
      <protection locked="0"/>
    </xf>
    <xf numFmtId="0" fontId="6" fillId="48" borderId="11" xfId="8736" applyFill="1" applyBorder="1" applyAlignment="1" applyProtection="1">
      <alignment horizontal="center"/>
      <protection locked="0"/>
    </xf>
    <xf numFmtId="0" fontId="6" fillId="48" borderId="76" xfId="8736" applyFill="1" applyBorder="1" applyAlignment="1" applyProtection="1">
      <alignment horizontal="center"/>
      <protection locked="0"/>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81" xfId="8736" applyFont="1" applyFill="1" applyBorder="1" applyAlignment="1" applyProtection="1">
      <alignment horizontal="center"/>
      <protection locked="0"/>
    </xf>
    <xf numFmtId="0" fontId="107" fillId="45" borderId="71" xfId="8736" applyFont="1" applyFill="1" applyBorder="1" applyAlignment="1">
      <alignment horizontal="center"/>
    </xf>
    <xf numFmtId="0" fontId="107" fillId="45" borderId="67" xfId="8736" applyFont="1" applyFill="1" applyBorder="1" applyAlignment="1" applyProtection="1">
      <alignment horizontal="left" vertical="center" wrapText="1"/>
      <protection locked="0"/>
    </xf>
    <xf numFmtId="0" fontId="107" fillId="45" borderId="68" xfId="8736" applyFont="1" applyFill="1" applyBorder="1" applyAlignment="1" applyProtection="1">
      <alignment horizontal="left" vertical="center" wrapText="1"/>
      <protection locked="0"/>
    </xf>
    <xf numFmtId="0" fontId="107" fillId="45" borderId="72" xfId="8736" applyFont="1" applyFill="1" applyBorder="1" applyAlignment="1" applyProtection="1">
      <alignment horizontal="left" vertical="center" wrapText="1"/>
      <protection locked="0"/>
    </xf>
    <xf numFmtId="0" fontId="107" fillId="45" borderId="11" xfId="8736" applyFont="1" applyFill="1" applyBorder="1" applyAlignment="1" applyProtection="1">
      <alignment horizontal="left" vertical="center" wrapText="1"/>
      <protection locked="0"/>
    </xf>
    <xf numFmtId="0" fontId="173" fillId="48" borderId="68" xfId="8736" applyFont="1" applyFill="1" applyBorder="1" applyAlignment="1" applyProtection="1">
      <alignment horizontal="left" vertical="center" wrapText="1"/>
      <protection locked="0"/>
    </xf>
    <xf numFmtId="0" fontId="173" fillId="48" borderId="71" xfId="8736" applyFont="1" applyFill="1" applyBorder="1" applyAlignment="1" applyProtection="1">
      <alignment horizontal="left" vertical="center" wrapText="1"/>
      <protection locked="0"/>
    </xf>
    <xf numFmtId="0" fontId="173" fillId="48" borderId="11" xfId="8736" applyFont="1" applyFill="1" applyBorder="1" applyAlignment="1" applyProtection="1">
      <alignment horizontal="left" vertical="center" wrapText="1"/>
      <protection locked="0"/>
    </xf>
    <xf numFmtId="0" fontId="173" fillId="48" borderId="76" xfId="8736" applyFont="1" applyFill="1" applyBorder="1" applyAlignment="1" applyProtection="1">
      <alignment horizontal="left" vertical="center" wrapText="1"/>
      <protection locked="0"/>
    </xf>
    <xf numFmtId="0" fontId="176" fillId="48" borderId="72" xfId="8736" applyFont="1" applyFill="1" applyBorder="1" applyAlignment="1" applyProtection="1">
      <alignment horizontal="left" vertical="top" wrapText="1"/>
      <protection locked="0"/>
    </xf>
    <xf numFmtId="0" fontId="176" fillId="48" borderId="11" xfId="8736" applyFont="1" applyFill="1" applyBorder="1" applyAlignment="1" applyProtection="1">
      <alignment horizontal="left" vertical="top" wrapText="1"/>
      <protection locked="0"/>
    </xf>
    <xf numFmtId="0" fontId="176" fillId="48" borderId="69" xfId="8736" applyFont="1" applyFill="1" applyBorder="1" applyAlignment="1" applyProtection="1">
      <alignment horizontal="left" vertical="top" wrapText="1"/>
      <protection locked="0"/>
    </xf>
    <xf numFmtId="0" fontId="176" fillId="48" borderId="70"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center" vertical="center" wrapText="1"/>
      <protection locked="0"/>
    </xf>
    <xf numFmtId="0" fontId="173" fillId="48" borderId="76" xfId="8736" applyFont="1" applyFill="1" applyBorder="1" applyAlignment="1" applyProtection="1">
      <alignment horizontal="center" vertical="center" wrapText="1"/>
      <protection locked="0"/>
    </xf>
    <xf numFmtId="0" fontId="173" fillId="48" borderId="70" xfId="8736" applyFont="1" applyFill="1" applyBorder="1" applyAlignment="1" applyProtection="1">
      <alignment horizontal="center" vertical="center" wrapText="1"/>
      <protection locked="0"/>
    </xf>
    <xf numFmtId="0" fontId="173" fillId="48" borderId="77" xfId="8736" applyFont="1" applyFill="1" applyBorder="1" applyAlignment="1" applyProtection="1">
      <alignment horizontal="center" vertical="center" wrapText="1"/>
      <protection locked="0"/>
    </xf>
    <xf numFmtId="0" fontId="180" fillId="45" borderId="72" xfId="8736" applyFont="1" applyFill="1" applyBorder="1" applyAlignment="1">
      <alignment horizontal="left"/>
    </xf>
    <xf numFmtId="0" fontId="180" fillId="45" borderId="11" xfId="8736" applyFont="1" applyFill="1" applyBorder="1" applyAlignment="1">
      <alignment horizontal="left"/>
    </xf>
    <xf numFmtId="0" fontId="180" fillId="45" borderId="69" xfId="8736" applyFont="1" applyFill="1" applyBorder="1" applyAlignment="1">
      <alignment horizontal="left"/>
    </xf>
    <xf numFmtId="0" fontId="180" fillId="45" borderId="70" xfId="8736" applyFont="1" applyFill="1" applyBorder="1" applyAlignment="1">
      <alignment horizontal="left"/>
    </xf>
    <xf numFmtId="0" fontId="6" fillId="51" borderId="70" xfId="8736" applyFill="1" applyBorder="1" applyAlignment="1" applyProtection="1">
      <alignment horizontal="center"/>
      <protection locked="0"/>
    </xf>
    <xf numFmtId="0" fontId="6" fillId="51" borderId="77" xfId="8736" applyFill="1" applyBorder="1" applyAlignment="1" applyProtection="1">
      <alignment horizontal="center"/>
      <protection locked="0"/>
    </xf>
    <xf numFmtId="0" fontId="107" fillId="45" borderId="71" xfId="8736" applyFont="1" applyFill="1" applyBorder="1" applyAlignment="1">
      <alignment horizontal="left" wrapText="1"/>
    </xf>
    <xf numFmtId="0" fontId="107" fillId="45" borderId="76" xfId="8736" applyFont="1" applyFill="1" applyBorder="1" applyAlignment="1">
      <alignment horizontal="left" wrapText="1"/>
    </xf>
    <xf numFmtId="0" fontId="107" fillId="45" borderId="65" xfId="8736" applyFont="1" applyFill="1" applyBorder="1" applyAlignment="1">
      <alignment horizontal="center"/>
    </xf>
    <xf numFmtId="0" fontId="107" fillId="45" borderId="29" xfId="8736" applyFont="1" applyFill="1" applyBorder="1" applyAlignment="1">
      <alignment horizontal="center"/>
    </xf>
    <xf numFmtId="0" fontId="107" fillId="45" borderId="31" xfId="8736" applyFont="1" applyFill="1" applyBorder="1" applyAlignment="1">
      <alignment horizontal="center"/>
    </xf>
    <xf numFmtId="0" fontId="169" fillId="48" borderId="90" xfId="8736" applyFont="1" applyFill="1" applyBorder="1" applyAlignment="1">
      <alignment horizontal="left"/>
    </xf>
    <xf numFmtId="0" fontId="169" fillId="48" borderId="4" xfId="8736" applyFont="1" applyFill="1" applyBorder="1" applyAlignment="1">
      <alignment horizontal="left"/>
    </xf>
    <xf numFmtId="0" fontId="169" fillId="48" borderId="5" xfId="8736" applyFont="1" applyFill="1" applyBorder="1" applyAlignment="1">
      <alignment horizontal="left"/>
    </xf>
    <xf numFmtId="0" fontId="169" fillId="45" borderId="72" xfId="8736" applyFont="1" applyFill="1" applyBorder="1" applyAlignment="1">
      <alignment horizontal="left"/>
    </xf>
    <xf numFmtId="0" fontId="169" fillId="45" borderId="11" xfId="8736" applyFont="1" applyFill="1" applyBorder="1" applyAlignment="1">
      <alignment horizontal="left"/>
    </xf>
    <xf numFmtId="0" fontId="181" fillId="48" borderId="11" xfId="8736" applyFont="1" applyFill="1" applyBorder="1" applyAlignment="1" applyProtection="1">
      <alignment horizontal="left"/>
      <protection locked="0"/>
    </xf>
    <xf numFmtId="0" fontId="181" fillId="48" borderId="76" xfId="8736" applyFont="1" applyFill="1" applyBorder="1" applyAlignment="1" applyProtection="1">
      <alignment horizontal="left"/>
      <protection locked="0"/>
    </xf>
    <xf numFmtId="0" fontId="178" fillId="48" borderId="72" xfId="8736" applyFont="1" applyFill="1" applyBorder="1" applyAlignment="1" applyProtection="1">
      <alignment horizontal="left" vertical="top"/>
      <protection locked="0"/>
    </xf>
    <xf numFmtId="0" fontId="178" fillId="48" borderId="11" xfId="8736" applyFont="1" applyFill="1" applyBorder="1" applyAlignment="1" applyProtection="1">
      <alignment horizontal="left" vertical="top"/>
      <protection locked="0"/>
    </xf>
    <xf numFmtId="0" fontId="178" fillId="48" borderId="76" xfId="8736" applyFont="1" applyFill="1" applyBorder="1" applyAlignment="1" applyProtection="1">
      <alignment horizontal="left" vertical="top"/>
      <protection locked="0"/>
    </xf>
    <xf numFmtId="0" fontId="178" fillId="48" borderId="69" xfId="8736" applyFont="1" applyFill="1" applyBorder="1" applyAlignment="1" applyProtection="1">
      <alignment horizontal="left" vertical="top"/>
      <protection locked="0"/>
    </xf>
    <xf numFmtId="0" fontId="178" fillId="48" borderId="70" xfId="8736" applyFont="1" applyFill="1" applyBorder="1" applyAlignment="1" applyProtection="1">
      <alignment horizontal="left" vertical="top"/>
      <protection locked="0"/>
    </xf>
    <xf numFmtId="0" fontId="178" fillId="48" borderId="77" xfId="8736" applyFont="1" applyFill="1" applyBorder="1" applyAlignment="1" applyProtection="1">
      <alignment horizontal="left" vertical="top"/>
      <protection locked="0"/>
    </xf>
    <xf numFmtId="0" fontId="169" fillId="45" borderId="67" xfId="8736" applyFont="1" applyFill="1" applyBorder="1" applyAlignment="1">
      <alignment horizontal="left"/>
    </xf>
    <xf numFmtId="0" fontId="169" fillId="45" borderId="68" xfId="8736" applyFont="1" applyFill="1" applyBorder="1" applyAlignment="1">
      <alignment horizontal="left"/>
    </xf>
    <xf numFmtId="0" fontId="107" fillId="45" borderId="72" xfId="8736" applyFont="1" applyFill="1" applyBorder="1" applyAlignment="1">
      <alignment horizontal="center"/>
    </xf>
    <xf numFmtId="0" fontId="107" fillId="45" borderId="11" xfId="8736" applyFont="1" applyFill="1" applyBorder="1" applyAlignment="1">
      <alignment horizontal="center"/>
    </xf>
    <xf numFmtId="0" fontId="169" fillId="45" borderId="11" xfId="8736" applyFont="1" applyFill="1" applyBorder="1" applyAlignment="1">
      <alignment horizontal="center" wrapText="1"/>
    </xf>
    <xf numFmtId="0" fontId="169" fillId="45" borderId="76" xfId="8736" applyFont="1" applyFill="1" applyBorder="1" applyAlignment="1">
      <alignment horizontal="center" wrapText="1"/>
    </xf>
    <xf numFmtId="0" fontId="183" fillId="45" borderId="11" xfId="8736" applyFont="1" applyFill="1" applyBorder="1" applyAlignment="1">
      <alignment horizontal="left"/>
    </xf>
    <xf numFmtId="0" fontId="183" fillId="45" borderId="76" xfId="8736" applyFont="1" applyFill="1" applyBorder="1" applyAlignment="1">
      <alignment horizontal="left"/>
    </xf>
    <xf numFmtId="0" fontId="175" fillId="45" borderId="72" xfId="8736" applyFont="1" applyFill="1" applyBorder="1" applyAlignment="1">
      <alignment horizontal="center"/>
    </xf>
    <xf numFmtId="0" fontId="175" fillId="45" borderId="11" xfId="8736" applyFont="1" applyFill="1" applyBorder="1" applyAlignment="1">
      <alignment horizontal="center"/>
    </xf>
    <xf numFmtId="0" fontId="178" fillId="48" borderId="11" xfId="8736" applyFont="1" applyFill="1" applyBorder="1" applyAlignment="1" applyProtection="1">
      <alignment horizontal="center"/>
      <protection locked="0"/>
    </xf>
    <xf numFmtId="14" fontId="176" fillId="48" borderId="11" xfId="8736" applyNumberFormat="1" applyFont="1" applyFill="1" applyBorder="1" applyAlignment="1" applyProtection="1">
      <alignment horizontal="center"/>
      <protection locked="0"/>
    </xf>
    <xf numFmtId="14" fontId="178" fillId="48" borderId="11" xfId="8736" applyNumberFormat="1" applyFont="1" applyFill="1" applyBorder="1" applyAlignment="1" applyProtection="1">
      <alignment horizontal="center"/>
      <protection locked="0"/>
    </xf>
    <xf numFmtId="0" fontId="107" fillId="45" borderId="76" xfId="8736" applyFont="1" applyFill="1" applyBorder="1" applyAlignment="1">
      <alignment horizontal="center"/>
    </xf>
    <xf numFmtId="168" fontId="178" fillId="48" borderId="11" xfId="8737" applyNumberFormat="1" applyFont="1" applyFill="1" applyBorder="1" applyAlignment="1" applyProtection="1">
      <alignment horizontal="center"/>
      <protection locked="0"/>
    </xf>
    <xf numFmtId="168" fontId="178" fillId="48" borderId="76" xfId="8737" applyNumberFormat="1" applyFont="1" applyFill="1" applyBorder="1" applyAlignment="1" applyProtection="1">
      <alignment horizontal="center"/>
      <protection locked="0"/>
    </xf>
    <xf numFmtId="0" fontId="179" fillId="48" borderId="11" xfId="8736" applyFont="1" applyFill="1" applyBorder="1" applyAlignment="1" applyProtection="1">
      <alignment horizontal="left"/>
      <protection locked="0"/>
    </xf>
    <xf numFmtId="0" fontId="175" fillId="45" borderId="69" xfId="8736" applyFont="1" applyFill="1" applyBorder="1" applyAlignment="1">
      <alignment horizontal="center"/>
    </xf>
    <xf numFmtId="0" fontId="175" fillId="45" borderId="70" xfId="8736" applyFont="1" applyFill="1" applyBorder="1" applyAlignment="1">
      <alignment horizontal="center"/>
    </xf>
    <xf numFmtId="0" fontId="179" fillId="48" borderId="70" xfId="8736" applyFont="1" applyFill="1" applyBorder="1" applyAlignment="1" applyProtection="1">
      <alignment horizontal="left"/>
      <protection locked="0"/>
    </xf>
    <xf numFmtId="0" fontId="178" fillId="48" borderId="70" xfId="8736" applyFont="1" applyFill="1" applyBorder="1" applyAlignment="1" applyProtection="1">
      <alignment horizontal="center"/>
      <protection locked="0"/>
    </xf>
    <xf numFmtId="14" fontId="178" fillId="48" borderId="70" xfId="8736" applyNumberFormat="1" applyFont="1" applyFill="1" applyBorder="1" applyAlignment="1" applyProtection="1">
      <alignment horizontal="center"/>
      <protection locked="0"/>
    </xf>
    <xf numFmtId="168" fontId="178" fillId="48" borderId="70" xfId="8737" applyNumberFormat="1" applyFont="1" applyFill="1" applyBorder="1" applyAlignment="1" applyProtection="1">
      <alignment horizontal="center"/>
      <protection locked="0"/>
    </xf>
    <xf numFmtId="168" fontId="178" fillId="48" borderId="77" xfId="8737" applyNumberFormat="1" applyFont="1" applyFill="1" applyBorder="1" applyAlignment="1" applyProtection="1">
      <alignment horizontal="center"/>
      <protection locked="0"/>
    </xf>
    <xf numFmtId="0" fontId="170" fillId="45" borderId="67" xfId="8736" applyFont="1" applyFill="1" applyBorder="1" applyAlignment="1">
      <alignment horizontal="left"/>
    </xf>
    <xf numFmtId="0" fontId="170" fillId="45" borderId="68" xfId="8736" applyFont="1" applyFill="1" applyBorder="1" applyAlignment="1">
      <alignment horizontal="left"/>
    </xf>
    <xf numFmtId="0" fontId="170" fillId="45" borderId="71" xfId="8736" applyFont="1" applyFill="1" applyBorder="1" applyAlignment="1">
      <alignment horizontal="left"/>
    </xf>
    <xf numFmtId="14" fontId="176" fillId="48" borderId="76" xfId="8736" applyNumberFormat="1" applyFont="1" applyFill="1" applyBorder="1" applyAlignment="1" applyProtection="1">
      <alignment horizontal="center"/>
      <protection locked="0"/>
    </xf>
    <xf numFmtId="0" fontId="176" fillId="48" borderId="69" xfId="8736" applyFont="1" applyFill="1" applyBorder="1" applyAlignment="1" applyProtection="1">
      <alignment horizontal="center"/>
      <protection locked="0"/>
    </xf>
    <xf numFmtId="0" fontId="176" fillId="48" borderId="70" xfId="8736" applyFont="1" applyFill="1" applyBorder="1" applyAlignment="1" applyProtection="1">
      <alignment horizontal="center"/>
      <protection locked="0"/>
    </xf>
    <xf numFmtId="14" fontId="176" fillId="48" borderId="70" xfId="8736" applyNumberFormat="1" applyFont="1" applyFill="1" applyBorder="1" applyAlignment="1" applyProtection="1">
      <alignment horizontal="center"/>
      <protection locked="0"/>
    </xf>
    <xf numFmtId="14" fontId="176" fillId="48" borderId="77" xfId="8736" applyNumberFormat="1" applyFont="1" applyFill="1" applyBorder="1" applyAlignment="1" applyProtection="1">
      <alignment horizontal="center"/>
      <protection locked="0"/>
    </xf>
    <xf numFmtId="0" fontId="176" fillId="45" borderId="72" xfId="8736" applyFont="1" applyFill="1" applyBorder="1" applyAlignment="1">
      <alignment horizontal="right"/>
    </xf>
    <xf numFmtId="0" fontId="176" fillId="45" borderId="11" xfId="8736" applyFont="1" applyFill="1" applyBorder="1" applyAlignment="1">
      <alignment horizontal="right"/>
    </xf>
    <xf numFmtId="168" fontId="178" fillId="44" borderId="11" xfId="700" applyNumberFormat="1" applyFont="1" applyFill="1" applyBorder="1" applyAlignment="1">
      <alignment horizontal="left"/>
    </xf>
    <xf numFmtId="0" fontId="107" fillId="45" borderId="65" xfId="8736" applyFont="1" applyFill="1" applyBorder="1" applyAlignment="1">
      <alignment horizontal="left" wrapText="1"/>
    </xf>
    <xf numFmtId="0" fontId="107" fillId="45" borderId="29" xfId="8736" applyFont="1" applyFill="1" applyBorder="1" applyAlignment="1">
      <alignment horizontal="left" wrapText="1"/>
    </xf>
    <xf numFmtId="0" fontId="107" fillId="45" borderId="31" xfId="8736" applyFont="1" applyFill="1" applyBorder="1" applyAlignment="1">
      <alignment horizontal="left" wrapText="1"/>
    </xf>
    <xf numFmtId="0" fontId="107" fillId="45" borderId="73" xfId="8736" applyFont="1" applyFill="1" applyBorder="1" applyAlignment="1">
      <alignment horizontal="left" wrapText="1"/>
    </xf>
    <xf numFmtId="0" fontId="107" fillId="45" borderId="42" xfId="8736" applyFont="1" applyFill="1" applyBorder="1" applyAlignment="1">
      <alignment horizontal="left" wrapText="1"/>
    </xf>
    <xf numFmtId="0" fontId="107" fillId="45" borderId="44" xfId="8736" applyFont="1" applyFill="1" applyBorder="1" applyAlignment="1">
      <alignment horizontal="left" wrapText="1"/>
    </xf>
    <xf numFmtId="168" fontId="176" fillId="48" borderId="11" xfId="700" applyNumberFormat="1" applyFont="1" applyFill="1" applyBorder="1" applyAlignment="1" applyProtection="1">
      <alignment horizontal="left"/>
      <protection locked="0"/>
    </xf>
    <xf numFmtId="43" fontId="173" fillId="50" borderId="72" xfId="698" applyFont="1" applyFill="1" applyBorder="1" applyAlignment="1" applyProtection="1">
      <alignment horizontal="left"/>
      <protection hidden="1"/>
    </xf>
    <xf numFmtId="43" fontId="173" fillId="50" borderId="11" xfId="698" applyFont="1" applyFill="1" applyBorder="1" applyAlignment="1" applyProtection="1">
      <alignment horizontal="left"/>
      <protection hidden="1"/>
    </xf>
    <xf numFmtId="44" fontId="6" fillId="48" borderId="11" xfId="700" applyFont="1" applyFill="1" applyBorder="1" applyAlignment="1" applyProtection="1">
      <alignment horizontal="center"/>
      <protection locked="0"/>
    </xf>
    <xf numFmtId="0" fontId="107" fillId="47" borderId="0" xfId="8736" applyFont="1" applyFill="1" applyAlignment="1">
      <alignment horizontal="center"/>
    </xf>
    <xf numFmtId="0" fontId="177" fillId="51" borderId="11" xfId="8736" applyFont="1" applyFill="1" applyBorder="1" applyAlignment="1">
      <alignment horizontal="center"/>
    </xf>
    <xf numFmtId="0" fontId="177" fillId="51" borderId="76" xfId="8736" applyFont="1" applyFill="1" applyBorder="1" applyAlignment="1">
      <alignment horizontal="center"/>
    </xf>
    <xf numFmtId="0" fontId="178" fillId="45" borderId="72" xfId="8736" applyFont="1" applyFill="1" applyBorder="1" applyAlignment="1">
      <alignment horizontal="right"/>
    </xf>
    <xf numFmtId="0" fontId="178" fillId="45" borderId="11" xfId="8736" applyFont="1" applyFill="1" applyBorder="1" applyAlignment="1">
      <alignment horizontal="right"/>
    </xf>
    <xf numFmtId="168" fontId="176" fillId="44" borderId="11" xfId="700" applyNumberFormat="1" applyFont="1" applyFill="1" applyBorder="1" applyAlignment="1" applyProtection="1">
      <alignment horizontal="left"/>
      <protection locked="0"/>
    </xf>
    <xf numFmtId="0" fontId="6" fillId="48" borderId="3" xfId="8736" applyFill="1" applyBorder="1" applyAlignment="1">
      <alignment horizontal="center"/>
    </xf>
    <xf numFmtId="0" fontId="6" fillId="48" borderId="4" xfId="8736" applyFill="1" applyBorder="1" applyAlignment="1">
      <alignment horizontal="center"/>
    </xf>
    <xf numFmtId="0" fontId="6" fillId="48" borderId="81" xfId="8736" applyFill="1" applyBorder="1" applyAlignment="1">
      <alignment horizontal="center"/>
    </xf>
    <xf numFmtId="43" fontId="170" fillId="50" borderId="111" xfId="698" applyFont="1" applyFill="1" applyBorder="1" applyAlignment="1" applyProtection="1">
      <alignment horizontal="center"/>
      <protection hidden="1"/>
    </xf>
    <xf numFmtId="43" fontId="170" fillId="50" borderId="84" xfId="698" applyFont="1" applyFill="1" applyBorder="1" applyAlignment="1" applyProtection="1">
      <alignment horizontal="center"/>
      <protection hidden="1"/>
    </xf>
    <xf numFmtId="43" fontId="170" fillId="50" borderId="102" xfId="698" applyFont="1" applyFill="1" applyBorder="1" applyAlignment="1" applyProtection="1">
      <alignment horizontal="center"/>
      <protection hidden="1"/>
    </xf>
    <xf numFmtId="43" fontId="173" fillId="50" borderId="98" xfId="698" applyFont="1" applyFill="1" applyBorder="1" applyAlignment="1" applyProtection="1">
      <alignment horizontal="left"/>
      <protection hidden="1"/>
    </xf>
    <xf numFmtId="43" fontId="173" fillId="50" borderId="13" xfId="698" applyFont="1" applyFill="1" applyBorder="1" applyAlignment="1" applyProtection="1">
      <alignment horizontal="left"/>
      <protection hidden="1"/>
    </xf>
    <xf numFmtId="44" fontId="6" fillId="48" borderId="13" xfId="700" applyFont="1" applyFill="1" applyBorder="1" applyAlignment="1" applyProtection="1">
      <alignment horizontal="center"/>
      <protection locked="0"/>
    </xf>
    <xf numFmtId="0" fontId="176" fillId="48" borderId="9" xfId="8736" applyFont="1" applyFill="1" applyBorder="1" applyAlignment="1">
      <alignment horizontal="center"/>
    </xf>
    <xf numFmtId="0" fontId="176" fillId="48" borderId="6" xfId="8736" applyFont="1" applyFill="1" applyBorder="1" applyAlignment="1">
      <alignment horizontal="center"/>
    </xf>
    <xf numFmtId="0" fontId="176" fillId="48" borderId="82" xfId="8736" applyFont="1" applyFill="1" applyBorder="1" applyAlignment="1">
      <alignment horizontal="center"/>
    </xf>
    <xf numFmtId="0" fontId="178" fillId="48" borderId="11" xfId="8736" applyFont="1" applyFill="1" applyBorder="1" applyAlignment="1" applyProtection="1">
      <alignment horizontal="left"/>
      <protection locked="0"/>
    </xf>
    <xf numFmtId="0" fontId="6" fillId="48" borderId="1" xfId="8736" applyFill="1" applyBorder="1" applyAlignment="1">
      <alignment horizontal="center"/>
    </xf>
    <xf numFmtId="0" fontId="6" fillId="48" borderId="2" xfId="8736" applyFill="1" applyBorder="1" applyAlignment="1">
      <alignment horizontal="center"/>
    </xf>
    <xf numFmtId="0" fontId="6" fillId="48" borderId="112" xfId="8736" applyFill="1" applyBorder="1" applyAlignment="1">
      <alignment horizontal="center"/>
    </xf>
    <xf numFmtId="0" fontId="178" fillId="48" borderId="72" xfId="8736" applyFont="1" applyFill="1" applyBorder="1" applyAlignment="1" applyProtection="1">
      <alignment horizontal="center"/>
      <protection locked="0"/>
    </xf>
    <xf numFmtId="43" fontId="173" fillId="50" borderId="72" xfId="698" applyFont="1" applyFill="1" applyBorder="1" applyAlignment="1" applyProtection="1">
      <alignment horizontal="left" wrapText="1"/>
      <protection hidden="1"/>
    </xf>
    <xf numFmtId="43" fontId="173" fillId="50" borderId="11" xfId="698" applyFont="1" applyFill="1" applyBorder="1" applyAlignment="1" applyProtection="1">
      <alignment horizontal="left" wrapText="1"/>
      <protection hidden="1"/>
    </xf>
    <xf numFmtId="44" fontId="6" fillId="48" borderId="11" xfId="700" applyFont="1" applyFill="1" applyBorder="1" applyAlignment="1" applyProtection="1">
      <alignment horizontal="center"/>
      <protection hidden="1"/>
    </xf>
    <xf numFmtId="0" fontId="178" fillId="45" borderId="67" xfId="8736" applyFont="1" applyFill="1" applyBorder="1" applyAlignment="1">
      <alignment horizontal="right"/>
    </xf>
    <xf numFmtId="0" fontId="178" fillId="45" borderId="68" xfId="8736" applyFont="1" applyFill="1" applyBorder="1" applyAlignment="1">
      <alignment horizontal="right"/>
    </xf>
    <xf numFmtId="168" fontId="173" fillId="44" borderId="68" xfId="700" applyNumberFormat="1" applyFont="1" applyFill="1" applyBorder="1" applyAlignment="1">
      <alignment horizontal="left"/>
    </xf>
    <xf numFmtId="168" fontId="173" fillId="44" borderId="71" xfId="700" applyNumberFormat="1" applyFont="1" applyFill="1" applyBorder="1" applyAlignment="1">
      <alignment horizontal="left"/>
    </xf>
    <xf numFmtId="0" fontId="175" fillId="48" borderId="66" xfId="8736" applyFont="1" applyFill="1" applyBorder="1" applyAlignment="1">
      <alignment horizontal="left" wrapText="1"/>
    </xf>
    <xf numFmtId="0" fontId="175" fillId="48" borderId="0" xfId="8736" applyFont="1" applyFill="1" applyAlignment="1">
      <alignment horizontal="left" wrapText="1"/>
    </xf>
    <xf numFmtId="0" fontId="175" fillId="48" borderId="41" xfId="8736" applyFont="1" applyFill="1" applyBorder="1" applyAlignment="1">
      <alignment horizontal="left" wrapText="1"/>
    </xf>
    <xf numFmtId="0" fontId="175" fillId="48" borderId="73" xfId="8736" applyFont="1" applyFill="1" applyBorder="1" applyAlignment="1">
      <alignment horizontal="left" wrapText="1"/>
    </xf>
    <xf numFmtId="0" fontId="175" fillId="48" borderId="42" xfId="8736" applyFont="1" applyFill="1" applyBorder="1" applyAlignment="1">
      <alignment horizontal="left" wrapText="1"/>
    </xf>
    <xf numFmtId="0" fontId="175" fillId="48" borderId="44" xfId="8736" applyFont="1" applyFill="1" applyBorder="1" applyAlignment="1">
      <alignment horizontal="left" wrapText="1"/>
    </xf>
    <xf numFmtId="0" fontId="177" fillId="45" borderId="69" xfId="8736" applyFont="1" applyFill="1" applyBorder="1" applyAlignment="1">
      <alignment horizontal="right"/>
    </xf>
    <xf numFmtId="0" fontId="177" fillId="45" borderId="70" xfId="8736" applyFont="1" applyFill="1" applyBorder="1" applyAlignment="1">
      <alignment horizontal="right"/>
    </xf>
    <xf numFmtId="0" fontId="169" fillId="44" borderId="70" xfId="700" applyNumberFormat="1" applyFont="1" applyFill="1" applyBorder="1" applyAlignment="1">
      <alignment horizontal="left"/>
    </xf>
    <xf numFmtId="168" fontId="169" fillId="44" borderId="70" xfId="700" applyNumberFormat="1" applyFont="1" applyFill="1" applyBorder="1" applyAlignment="1">
      <alignment horizontal="left"/>
    </xf>
    <xf numFmtId="168" fontId="169" fillId="44" borderId="77" xfId="700" applyNumberFormat="1" applyFont="1" applyFill="1" applyBorder="1" applyAlignment="1">
      <alignment horizontal="left"/>
    </xf>
    <xf numFmtId="0" fontId="170" fillId="47" borderId="0" xfId="8736" applyFont="1" applyFill="1" applyAlignment="1">
      <alignment horizontal="right"/>
    </xf>
    <xf numFmtId="168" fontId="174" fillId="47" borderId="0" xfId="700" applyNumberFormat="1" applyFont="1" applyFill="1" applyBorder="1" applyAlignment="1" applyProtection="1">
      <alignment horizontal="left"/>
      <protection locked="0"/>
    </xf>
    <xf numFmtId="0" fontId="176" fillId="48" borderId="87" xfId="8736" applyFont="1" applyFill="1" applyBorder="1" applyAlignment="1" applyProtection="1">
      <alignment horizontal="center"/>
      <protection locked="0"/>
    </xf>
    <xf numFmtId="0" fontId="176" fillId="48" borderId="86" xfId="8736" applyFont="1" applyFill="1" applyBorder="1" applyAlignment="1" applyProtection="1">
      <alignment horizontal="center"/>
      <protection locked="0"/>
    </xf>
    <xf numFmtId="0" fontId="178" fillId="48" borderId="70" xfId="8736" applyFont="1" applyFill="1" applyBorder="1" applyAlignment="1" applyProtection="1">
      <alignment horizontal="left"/>
      <protection locked="0"/>
    </xf>
    <xf numFmtId="0" fontId="178" fillId="48" borderId="77" xfId="8736" applyFont="1" applyFill="1" applyBorder="1" applyAlignment="1" applyProtection="1">
      <alignment horizontal="left"/>
      <protection locked="0"/>
    </xf>
    <xf numFmtId="168" fontId="176" fillId="48" borderId="86" xfId="700" applyNumberFormat="1" applyFont="1" applyFill="1" applyBorder="1" applyAlignment="1" applyProtection="1">
      <alignment horizontal="left"/>
      <protection locked="0"/>
    </xf>
    <xf numFmtId="168" fontId="176" fillId="48" borderId="85" xfId="700" applyNumberFormat="1" applyFont="1" applyFill="1" applyBorder="1" applyAlignment="1" applyProtection="1">
      <alignment horizontal="left"/>
      <protection locked="0"/>
    </xf>
    <xf numFmtId="0" fontId="176" fillId="48" borderId="87" xfId="8736" applyFont="1" applyFill="1" applyBorder="1" applyAlignment="1" applyProtection="1">
      <alignment horizontal="left"/>
      <protection locked="0"/>
    </xf>
    <xf numFmtId="0" fontId="176" fillId="48" borderId="86" xfId="8736" applyFont="1" applyFill="1" applyBorder="1" applyAlignment="1" applyProtection="1">
      <alignment horizontal="left"/>
      <protection locked="0"/>
    </xf>
    <xf numFmtId="0" fontId="176" fillId="48" borderId="85" xfId="8736" applyFont="1" applyFill="1" applyBorder="1" applyAlignment="1" applyProtection="1">
      <alignment horizontal="left"/>
      <protection locked="0"/>
    </xf>
    <xf numFmtId="0" fontId="107" fillId="48" borderId="80" xfId="8736" applyFont="1" applyFill="1" applyBorder="1" applyAlignment="1">
      <alignment horizontal="left"/>
    </xf>
    <xf numFmtId="0" fontId="107" fillId="48" borderId="79" xfId="8736" applyFont="1" applyFill="1" applyBorder="1" applyAlignment="1">
      <alignment horizontal="left"/>
    </xf>
    <xf numFmtId="44" fontId="6" fillId="48" borderId="84" xfId="700" applyFont="1" applyFill="1" applyBorder="1" applyAlignment="1" applyProtection="1">
      <alignment horizontal="center"/>
      <protection locked="0"/>
    </xf>
    <xf numFmtId="0" fontId="176" fillId="45" borderId="11" xfId="8736" applyFont="1" applyFill="1" applyBorder="1" applyAlignment="1">
      <alignment horizontal="left"/>
    </xf>
    <xf numFmtId="182" fontId="6" fillId="48" borderId="11" xfId="700" applyNumberFormat="1" applyFont="1" applyFill="1" applyBorder="1" applyAlignment="1" applyProtection="1">
      <alignment horizontal="center"/>
      <protection locked="0"/>
    </xf>
    <xf numFmtId="10" fontId="176" fillId="48" borderId="11" xfId="1022" applyNumberFormat="1" applyFont="1" applyFill="1" applyBorder="1" applyAlignment="1" applyProtection="1">
      <alignment horizontal="center"/>
      <protection locked="0"/>
    </xf>
    <xf numFmtId="182" fontId="6" fillId="0" borderId="13" xfId="8736" applyNumberFormat="1" applyBorder="1" applyAlignment="1">
      <alignment horizontal="center"/>
    </xf>
    <xf numFmtId="0" fontId="6" fillId="0" borderId="13" xfId="8736" applyBorder="1" applyAlignment="1">
      <alignment horizontal="center"/>
    </xf>
    <xf numFmtId="0" fontId="169" fillId="45" borderId="80" xfId="569" applyFont="1" applyFill="1" applyBorder="1" applyAlignment="1" applyProtection="1">
      <alignment horizontal="center" wrapText="1"/>
      <protection hidden="1"/>
    </xf>
    <xf numFmtId="0" fontId="169" fillId="45" borderId="79" xfId="569" applyFont="1" applyFill="1" applyBorder="1" applyAlignment="1" applyProtection="1">
      <alignment horizontal="center" wrapText="1"/>
      <protection hidden="1"/>
    </xf>
    <xf numFmtId="0" fontId="169" fillId="45" borderId="78" xfId="569" applyFont="1" applyFill="1" applyBorder="1" applyAlignment="1" applyProtection="1">
      <alignment horizontal="center" wrapText="1"/>
      <protection hidden="1"/>
    </xf>
    <xf numFmtId="0" fontId="169" fillId="45" borderId="13" xfId="569" applyFont="1" applyFill="1" applyBorder="1" applyAlignment="1" applyProtection="1">
      <alignment horizontal="left" wrapText="1"/>
      <protection hidden="1"/>
    </xf>
    <xf numFmtId="0" fontId="169" fillId="45" borderId="13" xfId="569" applyFont="1" applyFill="1" applyBorder="1" applyAlignment="1" applyProtection="1">
      <alignment horizontal="center" wrapText="1"/>
      <protection hidden="1"/>
    </xf>
    <xf numFmtId="0" fontId="175" fillId="45" borderId="11" xfId="8736" applyFont="1" applyFill="1" applyBorder="1" applyAlignment="1">
      <alignment horizontal="left" wrapText="1"/>
    </xf>
    <xf numFmtId="43" fontId="170" fillId="45" borderId="80" xfId="698" applyFont="1" applyFill="1" applyBorder="1" applyAlignment="1" applyProtection="1">
      <alignment horizontal="center"/>
      <protection hidden="1"/>
    </xf>
    <xf numFmtId="43" fontId="170" fillId="45" borderId="79" xfId="698" applyFont="1" applyFill="1" applyBorder="1" applyAlignment="1" applyProtection="1">
      <alignment horizontal="center"/>
      <protection hidden="1"/>
    </xf>
    <xf numFmtId="43" fontId="170" fillId="45" borderId="78" xfId="698" applyFont="1" applyFill="1" applyBorder="1" applyAlignment="1" applyProtection="1">
      <alignment horizontal="center"/>
      <protection hidden="1"/>
    </xf>
    <xf numFmtId="43" fontId="174" fillId="49" borderId="66" xfId="698" applyFont="1" applyFill="1" applyBorder="1" applyAlignment="1" applyProtection="1">
      <alignment horizontal="center" wrapText="1"/>
      <protection hidden="1"/>
    </xf>
    <xf numFmtId="43" fontId="174" fillId="49" borderId="0" xfId="698" applyFont="1" applyFill="1" applyBorder="1" applyAlignment="1" applyProtection="1">
      <alignment horizontal="center" wrapText="1"/>
      <protection hidden="1"/>
    </xf>
    <xf numFmtId="43" fontId="174" fillId="49" borderId="12" xfId="698" applyFont="1" applyFill="1" applyBorder="1" applyAlignment="1" applyProtection="1">
      <alignment horizontal="center" wrapText="1"/>
      <protection hidden="1"/>
    </xf>
    <xf numFmtId="43" fontId="174" fillId="49" borderId="83" xfId="698" applyFont="1" applyFill="1" applyBorder="1" applyAlignment="1" applyProtection="1">
      <alignment horizontal="center" wrapText="1"/>
      <protection hidden="1"/>
    </xf>
    <xf numFmtId="43" fontId="174" fillId="49" borderId="6" xfId="698" applyFont="1" applyFill="1" applyBorder="1" applyAlignment="1" applyProtection="1">
      <alignment horizontal="center" wrapText="1"/>
      <protection hidden="1"/>
    </xf>
    <xf numFmtId="43" fontId="174" fillId="49" borderId="10" xfId="698" applyFont="1" applyFill="1" applyBorder="1" applyAlignment="1" applyProtection="1">
      <alignment horizontal="center" wrapText="1"/>
      <protection hidden="1"/>
    </xf>
    <xf numFmtId="43" fontId="174" fillId="49" borderId="8" xfId="698" applyFont="1" applyFill="1" applyBorder="1" applyAlignment="1" applyProtection="1">
      <alignment horizontal="center" wrapText="1"/>
      <protection hidden="1"/>
    </xf>
    <xf numFmtId="43" fontId="174" fillId="49" borderId="9" xfId="698" applyFont="1" applyFill="1" applyBorder="1" applyAlignment="1" applyProtection="1">
      <alignment horizontal="center" wrapText="1"/>
      <protection hidden="1"/>
    </xf>
    <xf numFmtId="14" fontId="174" fillId="0" borderId="8" xfId="700" applyNumberFormat="1" applyFont="1" applyFill="1" applyBorder="1" applyAlignment="1" applyProtection="1">
      <alignment horizontal="center" wrapText="1"/>
      <protection hidden="1"/>
    </xf>
    <xf numFmtId="14" fontId="174" fillId="0" borderId="0" xfId="700" applyNumberFormat="1" applyFont="1" applyFill="1" applyBorder="1" applyAlignment="1" applyProtection="1">
      <alignment horizontal="center" wrapText="1"/>
      <protection hidden="1"/>
    </xf>
    <xf numFmtId="14" fontId="174" fillId="0" borderId="12" xfId="700" applyNumberFormat="1" applyFont="1" applyFill="1" applyBorder="1" applyAlignment="1" applyProtection="1">
      <alignment horizontal="center" wrapText="1"/>
      <protection hidden="1"/>
    </xf>
    <xf numFmtId="14" fontId="174" fillId="0" borderId="9" xfId="700" applyNumberFormat="1" applyFont="1" applyFill="1" applyBorder="1" applyAlignment="1" applyProtection="1">
      <alignment horizontal="center" wrapText="1"/>
      <protection hidden="1"/>
    </xf>
    <xf numFmtId="14" fontId="174" fillId="0" borderId="6" xfId="700" applyNumberFormat="1" applyFont="1" applyFill="1" applyBorder="1" applyAlignment="1" applyProtection="1">
      <alignment horizontal="center" wrapText="1"/>
      <protection hidden="1"/>
    </xf>
    <xf numFmtId="14" fontId="174" fillId="0" borderId="10" xfId="700" applyNumberFormat="1" applyFont="1" applyFill="1" applyBorder="1" applyAlignment="1" applyProtection="1">
      <alignment horizontal="center" wrapText="1"/>
      <protection hidden="1"/>
    </xf>
    <xf numFmtId="44" fontId="174" fillId="0" borderId="8" xfId="700" applyFont="1" applyBorder="1" applyAlignment="1" applyProtection="1">
      <alignment horizontal="center" wrapText="1"/>
      <protection hidden="1"/>
    </xf>
    <xf numFmtId="44" fontId="174" fillId="0" borderId="0" xfId="700" applyFont="1" applyBorder="1" applyAlignment="1" applyProtection="1">
      <alignment horizontal="center" wrapText="1"/>
      <protection hidden="1"/>
    </xf>
    <xf numFmtId="44" fontId="174" fillId="0" borderId="12" xfId="700" applyFont="1" applyBorder="1" applyAlignment="1" applyProtection="1">
      <alignment horizontal="center" wrapText="1"/>
      <protection hidden="1"/>
    </xf>
    <xf numFmtId="44" fontId="174" fillId="0" borderId="9" xfId="700" applyFont="1" applyBorder="1" applyAlignment="1" applyProtection="1">
      <alignment horizontal="center" wrapText="1"/>
      <protection hidden="1"/>
    </xf>
    <xf numFmtId="44" fontId="174" fillId="0" borderId="6" xfId="700" applyFont="1" applyBorder="1" applyAlignment="1" applyProtection="1">
      <alignment horizontal="center" wrapText="1"/>
      <protection hidden="1"/>
    </xf>
    <xf numFmtId="44" fontId="174" fillId="0" borderId="10" xfId="700" applyFont="1" applyBorder="1" applyAlignment="1" applyProtection="1">
      <alignment horizontal="center" wrapText="1"/>
      <protection hidden="1"/>
    </xf>
    <xf numFmtId="43" fontId="174" fillId="49" borderId="41" xfId="698" applyFont="1" applyFill="1" applyBorder="1" applyAlignment="1" applyProtection="1">
      <alignment horizontal="center" wrapText="1"/>
      <protection hidden="1"/>
    </xf>
    <xf numFmtId="43" fontId="174" fillId="49" borderId="82" xfId="698" applyFont="1" applyFill="1" applyBorder="1" applyAlignment="1" applyProtection="1">
      <alignment horizontal="center" wrapText="1"/>
      <protection hidden="1"/>
    </xf>
    <xf numFmtId="0" fontId="172" fillId="50" borderId="3" xfId="698" applyNumberFormat="1" applyFont="1" applyFill="1" applyBorder="1" applyAlignment="1" applyProtection="1">
      <alignment horizontal="center"/>
      <protection locked="0"/>
    </xf>
    <xf numFmtId="0" fontId="172" fillId="50" borderId="4" xfId="698" applyNumberFormat="1" applyFont="1" applyFill="1" applyBorder="1" applyAlignment="1" applyProtection="1">
      <alignment horizontal="center"/>
      <protection locked="0"/>
    </xf>
    <xf numFmtId="0" fontId="172" fillId="50" borderId="81" xfId="698" applyNumberFormat="1" applyFont="1" applyFill="1" applyBorder="1" applyAlignment="1" applyProtection="1">
      <alignment horizontal="center"/>
      <protection locked="0"/>
    </xf>
    <xf numFmtId="0" fontId="173" fillId="49" borderId="72" xfId="698" applyNumberFormat="1" applyFont="1" applyFill="1" applyBorder="1" applyAlignment="1" applyProtection="1">
      <alignment horizontal="center"/>
      <protection hidden="1"/>
    </xf>
    <xf numFmtId="0" fontId="173" fillId="49" borderId="11" xfId="698" applyNumberFormat="1" applyFont="1" applyFill="1" applyBorder="1" applyAlignment="1" applyProtection="1">
      <alignment horizontal="center"/>
      <protection hidden="1"/>
    </xf>
    <xf numFmtId="0" fontId="173" fillId="48" borderId="11" xfId="569" applyFont="1" applyFill="1" applyBorder="1" applyAlignment="1" applyProtection="1">
      <alignment horizontal="center"/>
      <protection locked="0"/>
    </xf>
    <xf numFmtId="14" fontId="172" fillId="48" borderId="11" xfId="700" applyNumberFormat="1" applyFont="1" applyFill="1" applyBorder="1" applyAlignment="1" applyProtection="1">
      <alignment horizontal="center"/>
      <protection locked="0"/>
    </xf>
    <xf numFmtId="168" fontId="173" fillId="48" borderId="11" xfId="700" applyNumberFormat="1" applyFont="1" applyFill="1" applyBorder="1" applyAlignment="1" applyProtection="1">
      <alignment horizontal="center"/>
      <protection locked="0"/>
    </xf>
    <xf numFmtId="9" fontId="173" fillId="48" borderId="11" xfId="1022" applyFont="1" applyFill="1" applyBorder="1" applyAlignment="1" applyProtection="1">
      <alignment horizontal="center"/>
      <protection locked="0"/>
    </xf>
    <xf numFmtId="44" fontId="172" fillId="48" borderId="11" xfId="700" applyFont="1" applyFill="1" applyBorder="1" applyAlignment="1" applyProtection="1">
      <alignment horizontal="center"/>
      <protection locked="0"/>
    </xf>
    <xf numFmtId="0" fontId="171" fillId="47" borderId="65" xfId="8736" applyFont="1" applyFill="1" applyBorder="1" applyAlignment="1">
      <alignment horizontal="center"/>
    </xf>
    <xf numFmtId="0" fontId="171" fillId="47" borderId="29" xfId="8736" applyFont="1" applyFill="1" applyBorder="1" applyAlignment="1">
      <alignment horizontal="center"/>
    </xf>
    <xf numFmtId="0" fontId="171" fillId="47" borderId="31" xfId="8736" applyFont="1" applyFill="1" applyBorder="1" applyAlignment="1">
      <alignment horizontal="center"/>
    </xf>
    <xf numFmtId="0" fontId="6" fillId="47" borderId="66" xfId="8736" applyFill="1" applyBorder="1" applyAlignment="1">
      <alignment horizontal="center"/>
    </xf>
    <xf numFmtId="0" fontId="6" fillId="47" borderId="0" xfId="8736" applyFill="1" applyAlignment="1">
      <alignment horizontal="center"/>
    </xf>
    <xf numFmtId="0" fontId="6" fillId="47" borderId="41" xfId="8736" applyFill="1" applyBorder="1" applyAlignment="1">
      <alignment horizontal="center"/>
    </xf>
    <xf numFmtId="0" fontId="170" fillId="47" borderId="66" xfId="8736" applyFont="1" applyFill="1" applyBorder="1" applyAlignment="1">
      <alignment horizontal="center"/>
    </xf>
    <xf numFmtId="0" fontId="170" fillId="47" borderId="0" xfId="8736" applyFont="1" applyFill="1" applyAlignment="1">
      <alignment horizontal="center"/>
    </xf>
    <xf numFmtId="0" fontId="170" fillId="47" borderId="41" xfId="8736" applyFont="1" applyFill="1" applyBorder="1" applyAlignment="1">
      <alignment horizontal="center"/>
    </xf>
    <xf numFmtId="0" fontId="107" fillId="47" borderId="66" xfId="8736" applyFont="1" applyFill="1" applyBorder="1" applyAlignment="1">
      <alignment horizontal="center"/>
    </xf>
    <xf numFmtId="0" fontId="107" fillId="47" borderId="41" xfId="8736" applyFont="1" applyFill="1" applyBorder="1" applyAlignment="1">
      <alignment horizontal="center"/>
    </xf>
    <xf numFmtId="0" fontId="107" fillId="47" borderId="0" xfId="8736" applyFont="1" applyFill="1" applyAlignment="1">
      <alignment horizontal="left"/>
    </xf>
    <xf numFmtId="43" fontId="170" fillId="49" borderId="72" xfId="698" applyFont="1" applyFill="1" applyBorder="1" applyAlignment="1" applyProtection="1">
      <alignment horizontal="right"/>
      <protection hidden="1"/>
    </xf>
    <xf numFmtId="43" fontId="170" fillId="49" borderId="11" xfId="698" applyFont="1" applyFill="1" applyBorder="1" applyAlignment="1" applyProtection="1">
      <alignment horizontal="right"/>
      <protection hidden="1"/>
    </xf>
    <xf numFmtId="44" fontId="170" fillId="0" borderId="11" xfId="700" applyFont="1" applyBorder="1" applyAlignment="1" applyProtection="1">
      <alignment horizontal="center"/>
      <protection hidden="1"/>
    </xf>
    <xf numFmtId="168" fontId="170" fillId="0" borderId="11" xfId="700" applyNumberFormat="1" applyFont="1" applyBorder="1" applyAlignment="1" applyProtection="1">
      <alignment horizontal="center"/>
      <protection hidden="1"/>
    </xf>
    <xf numFmtId="9" fontId="170" fillId="0" borderId="11" xfId="1022" applyFont="1" applyBorder="1" applyAlignment="1" applyProtection="1">
      <alignment horizontal="center"/>
      <protection hidden="1"/>
    </xf>
    <xf numFmtId="43" fontId="170" fillId="49" borderId="3" xfId="698" applyFont="1" applyFill="1" applyBorder="1" applyAlignment="1" applyProtection="1">
      <alignment horizontal="center"/>
      <protection hidden="1"/>
    </xf>
    <xf numFmtId="43" fontId="170" fillId="49" borderId="4" xfId="698" applyFont="1" applyFill="1" applyBorder="1" applyAlignment="1" applyProtection="1">
      <alignment horizontal="center"/>
      <protection hidden="1"/>
    </xf>
    <xf numFmtId="43" fontId="170" fillId="49" borderId="81" xfId="698" applyFont="1" applyFill="1" applyBorder="1" applyAlignment="1" applyProtection="1">
      <alignment horizontal="center"/>
      <protection hidden="1"/>
    </xf>
    <xf numFmtId="0" fontId="107" fillId="44" borderId="0" xfId="8736" applyFont="1" applyFill="1" applyAlignment="1">
      <alignment horizontal="left"/>
    </xf>
    <xf numFmtId="0" fontId="6" fillId="48" borderId="80" xfId="8736" applyFill="1" applyBorder="1" applyAlignment="1" applyProtection="1">
      <alignment horizontal="left"/>
      <protection locked="0"/>
    </xf>
    <xf numFmtId="0" fontId="6" fillId="48" borderId="79" xfId="8736" applyFill="1" applyBorder="1" applyAlignment="1" applyProtection="1">
      <alignment horizontal="left"/>
      <protection locked="0"/>
    </xf>
    <xf numFmtId="0" fontId="6" fillId="48" borderId="78" xfId="8736" applyFill="1" applyBorder="1" applyAlignment="1" applyProtection="1">
      <alignment horizontal="left"/>
      <protection locked="0"/>
    </xf>
    <xf numFmtId="0" fontId="169" fillId="44" borderId="0" xfId="8736" applyFont="1" applyFill="1" applyAlignment="1">
      <alignment horizontal="left" vertical="top"/>
    </xf>
    <xf numFmtId="0" fontId="107" fillId="44" borderId="0" xfId="8730" applyFont="1" applyFill="1" applyBorder="1" applyAlignment="1">
      <alignment horizontal="left" vertical="top"/>
    </xf>
    <xf numFmtId="14" fontId="6" fillId="48" borderId="80" xfId="8736" applyNumberFormat="1" applyFill="1" applyBorder="1" applyAlignment="1" applyProtection="1">
      <alignment horizontal="center"/>
      <protection locked="0"/>
    </xf>
    <xf numFmtId="14" fontId="6" fillId="48" borderId="79" xfId="8736" applyNumberFormat="1" applyFill="1" applyBorder="1" applyAlignment="1" applyProtection="1">
      <alignment horizontal="center"/>
      <protection locked="0"/>
    </xf>
    <xf numFmtId="14" fontId="6" fillId="48" borderId="78" xfId="8736" applyNumberFormat="1" applyFill="1" applyBorder="1" applyAlignment="1" applyProtection="1">
      <alignment horizontal="center"/>
      <protection locked="0"/>
    </xf>
    <xf numFmtId="0" fontId="170" fillId="47" borderId="0" xfId="8736" applyFont="1" applyFill="1" applyAlignment="1">
      <alignment horizontal="left" vertical="top" wrapText="1"/>
    </xf>
    <xf numFmtId="0" fontId="107" fillId="47" borderId="42" xfId="8736" applyFont="1" applyFill="1" applyBorder="1" applyAlignment="1">
      <alignment horizontal="center"/>
    </xf>
    <xf numFmtId="0" fontId="6" fillId="48" borderId="80" xfId="8736" applyFill="1" applyBorder="1" applyAlignment="1" applyProtection="1">
      <alignment horizontal="center"/>
      <protection locked="0"/>
    </xf>
    <xf numFmtId="0" fontId="6" fillId="48" borderId="79" xfId="8736" applyFill="1" applyBorder="1" applyAlignment="1" applyProtection="1">
      <alignment horizontal="center"/>
      <protection locked="0"/>
    </xf>
    <xf numFmtId="0" fontId="6" fillId="48" borderId="78" xfId="8736" applyFill="1" applyBorder="1" applyAlignment="1" applyProtection="1">
      <alignment horizontal="center"/>
      <protection locked="0"/>
    </xf>
    <xf numFmtId="168" fontId="22" fillId="0" borderId="11" xfId="569" applyNumberFormat="1" applyBorder="1"/>
    <xf numFmtId="168" fontId="22" fillId="0" borderId="3" xfId="569" applyNumberFormat="1" applyBorder="1"/>
    <xf numFmtId="168" fontId="22" fillId="0" borderId="4" xfId="569" applyNumberFormat="1" applyBorder="1"/>
    <xf numFmtId="168" fontId="22" fillId="0" borderId="5" xfId="569" applyNumberFormat="1" applyBorder="1"/>
    <xf numFmtId="168" fontId="22" fillId="0" borderId="11" xfId="569" applyNumberFormat="1" applyBorder="1" applyAlignment="1">
      <alignment wrapText="1"/>
    </xf>
    <xf numFmtId="168" fontId="22" fillId="0" borderId="11" xfId="569" applyNumberFormat="1" applyBorder="1" applyAlignment="1">
      <alignment horizontal="right"/>
    </xf>
    <xf numFmtId="9" fontId="22" fillId="0" borderId="15" xfId="569" applyNumberFormat="1" applyBorder="1" applyAlignment="1">
      <alignment horizontal="center"/>
    </xf>
    <xf numFmtId="168" fontId="22" fillId="0" borderId="11" xfId="569" applyNumberFormat="1" applyBorder="1" applyAlignment="1">
      <alignment horizontal="center"/>
    </xf>
    <xf numFmtId="0" fontId="22" fillId="0" borderId="11" xfId="569" applyBorder="1" applyAlignment="1">
      <alignment horizontal="center"/>
    </xf>
    <xf numFmtId="176" fontId="22" fillId="5" borderId="3" xfId="569" applyNumberFormat="1" applyFill="1" applyBorder="1" applyAlignment="1" applyProtection="1">
      <alignment horizontal="right"/>
      <protection locked="0"/>
    </xf>
    <xf numFmtId="176" fontId="22" fillId="5" borderId="4" xfId="569" applyNumberFormat="1" applyFill="1" applyBorder="1" applyAlignment="1" applyProtection="1">
      <alignment horizontal="right"/>
      <protection locked="0"/>
    </xf>
    <xf numFmtId="176" fontId="22" fillId="5" borderId="5" xfId="569" applyNumberFormat="1" applyFill="1" applyBorder="1" applyAlignment="1" applyProtection="1">
      <alignment horizontal="right"/>
      <protection locked="0"/>
    </xf>
    <xf numFmtId="0" fontId="112" fillId="0" borderId="0" xfId="0" applyFont="1" applyAlignment="1">
      <alignment horizontal="left" vertical="top" wrapText="1"/>
    </xf>
    <xf numFmtId="0" fontId="29" fillId="0" borderId="3" xfId="569" applyFont="1" applyBorder="1" applyAlignment="1">
      <alignment horizontal="right"/>
    </xf>
    <xf numFmtId="0" fontId="29" fillId="0" borderId="4" xfId="569" applyFont="1" applyBorder="1" applyAlignment="1">
      <alignment horizontal="right"/>
    </xf>
    <xf numFmtId="0" fontId="29" fillId="0" borderId="5" xfId="569" applyFont="1" applyBorder="1" applyAlignment="1">
      <alignment horizontal="right"/>
    </xf>
    <xf numFmtId="0" fontId="29" fillId="0" borderId="6" xfId="569" applyFont="1" applyBorder="1" applyAlignment="1">
      <alignment horizontal="center"/>
    </xf>
    <xf numFmtId="168" fontId="22" fillId="0" borderId="3" xfId="569" applyNumberFormat="1" applyBorder="1" applyAlignment="1">
      <alignment horizontal="center"/>
    </xf>
    <xf numFmtId="0" fontId="22" fillId="0" borderId="4" xfId="569" applyBorder="1" applyAlignment="1">
      <alignment horizontal="center"/>
    </xf>
    <xf numFmtId="0" fontId="22" fillId="0" borderId="5" xfId="569" applyBorder="1" applyAlignment="1">
      <alignment horizontal="center"/>
    </xf>
    <xf numFmtId="0" fontId="112" fillId="0" borderId="0" xfId="569" applyFont="1" applyAlignment="1">
      <alignment horizontal="left" wrapText="1"/>
    </xf>
    <xf numFmtId="168" fontId="22" fillId="0" borderId="3" xfId="569" applyNumberFormat="1" applyBorder="1" applyAlignment="1">
      <alignment horizontal="right"/>
    </xf>
    <xf numFmtId="168" fontId="22" fillId="0" borderId="4" xfId="569" applyNumberFormat="1" applyBorder="1" applyAlignment="1">
      <alignment horizontal="right"/>
    </xf>
    <xf numFmtId="168" fontId="22" fillId="0" borderId="5" xfId="569" applyNumberFormat="1" applyBorder="1" applyAlignment="1">
      <alignment horizontal="right"/>
    </xf>
    <xf numFmtId="0" fontId="29" fillId="0" borderId="16" xfId="271" applyFont="1" applyBorder="1" applyAlignment="1">
      <alignment horizontal="center"/>
    </xf>
    <xf numFmtId="168" fontId="22" fillId="0" borderId="4" xfId="569" applyNumberFormat="1" applyBorder="1" applyAlignment="1">
      <alignment horizontal="center"/>
    </xf>
    <xf numFmtId="168" fontId="22" fillId="0" borderId="5" xfId="569" applyNumberFormat="1" applyBorder="1" applyAlignment="1">
      <alignment horizontal="center"/>
    </xf>
    <xf numFmtId="0" fontId="29" fillId="0" borderId="11" xfId="569" applyFont="1" applyBorder="1" applyAlignment="1">
      <alignment horizontal="center" wrapText="1"/>
    </xf>
    <xf numFmtId="0" fontId="29" fillId="0" borderId="11" xfId="569" applyFont="1" applyBorder="1" applyAlignment="1">
      <alignment horizontal="center"/>
    </xf>
    <xf numFmtId="165" fontId="22" fillId="0" borderId="11" xfId="569" applyNumberFormat="1" applyBorder="1" applyAlignment="1" applyProtection="1">
      <alignment horizontal="center"/>
      <protection locked="0"/>
    </xf>
    <xf numFmtId="0" fontId="58" fillId="0" borderId="0" xfId="569" applyFont="1" applyAlignment="1">
      <alignment horizontal="left"/>
    </xf>
    <xf numFmtId="5" fontId="22" fillId="0" borderId="5" xfId="569" applyNumberFormat="1" applyBorder="1" applyAlignment="1">
      <alignment horizontal="center"/>
    </xf>
    <xf numFmtId="5" fontId="22" fillId="0" borderId="11" xfId="569" applyNumberFormat="1" applyBorder="1" applyAlignment="1">
      <alignment horizontal="center"/>
    </xf>
    <xf numFmtId="5" fontId="22" fillId="0" borderId="3" xfId="569" applyNumberFormat="1" applyBorder="1" applyAlignment="1">
      <alignment horizontal="center"/>
    </xf>
    <xf numFmtId="5" fontId="22" fillId="0" borderId="4" xfId="569" applyNumberFormat="1" applyBorder="1" applyAlignment="1">
      <alignment horizontal="center"/>
    </xf>
    <xf numFmtId="168" fontId="22" fillId="5" borderId="5" xfId="569" applyNumberFormat="1" applyFill="1" applyBorder="1" applyAlignment="1" applyProtection="1">
      <alignment horizontal="center"/>
      <protection locked="0"/>
    </xf>
    <xf numFmtId="168" fontId="22" fillId="5" borderId="11" xfId="569" applyNumberFormat="1" applyFill="1" applyBorder="1" applyAlignment="1" applyProtection="1">
      <alignment horizontal="center"/>
      <protection locked="0"/>
    </xf>
    <xf numFmtId="9" fontId="22" fillId="0" borderId="5" xfId="569" applyNumberFormat="1" applyBorder="1" applyAlignment="1">
      <alignment horizontal="center"/>
    </xf>
    <xf numFmtId="9" fontId="22" fillId="0" borderId="11" xfId="569" applyNumberFormat="1" applyBorder="1" applyAlignment="1">
      <alignment horizontal="center"/>
    </xf>
    <xf numFmtId="9" fontId="22" fillId="0" borderId="9" xfId="569" applyNumberFormat="1" applyBorder="1" applyAlignment="1">
      <alignment horizontal="center" vertical="center"/>
    </xf>
    <xf numFmtId="9" fontId="22" fillId="0" borderId="6" xfId="569" applyNumberFormat="1" applyBorder="1" applyAlignment="1">
      <alignment horizontal="center" vertical="center"/>
    </xf>
    <xf numFmtId="9" fontId="22" fillId="0" borderId="10" xfId="569" applyNumberFormat="1" applyBorder="1" applyAlignment="1">
      <alignment horizontal="center" vertical="center"/>
    </xf>
    <xf numFmtId="168" fontId="22" fillId="2" borderId="3" xfId="569" applyNumberFormat="1" applyFill="1" applyBorder="1" applyAlignment="1">
      <alignment horizontal="center"/>
    </xf>
    <xf numFmtId="168" fontId="22" fillId="2" borderId="4" xfId="569" applyNumberFormat="1" applyFill="1" applyBorder="1" applyAlignment="1">
      <alignment horizontal="center"/>
    </xf>
    <xf numFmtId="168" fontId="22" fillId="2" borderId="5" xfId="569" applyNumberFormat="1" applyFill="1" applyBorder="1" applyAlignment="1">
      <alignment horizontal="center"/>
    </xf>
    <xf numFmtId="168" fontId="22" fillId="5" borderId="10" xfId="569" applyNumberFormat="1" applyFill="1" applyBorder="1" applyAlignment="1" applyProtection="1">
      <alignment horizontal="center"/>
      <protection locked="0"/>
    </xf>
    <xf numFmtId="168" fontId="22" fillId="5" borderId="13" xfId="569" applyNumberFormat="1" applyFill="1" applyBorder="1" applyAlignment="1" applyProtection="1">
      <alignment horizontal="center"/>
      <protection locked="0"/>
    </xf>
    <xf numFmtId="0" fontId="28" fillId="3" borderId="2" xfId="569" applyFont="1" applyFill="1" applyBorder="1" applyAlignment="1">
      <alignment horizontal="center" vertical="center"/>
    </xf>
    <xf numFmtId="0" fontId="28" fillId="3" borderId="16" xfId="569" applyFont="1" applyFill="1" applyBorder="1" applyAlignment="1">
      <alignment horizontal="center" vertical="center"/>
    </xf>
    <xf numFmtId="168" fontId="22" fillId="0" borderId="7" xfId="569" applyNumberFormat="1" applyBorder="1" applyAlignment="1">
      <alignment horizontal="center"/>
    </xf>
    <xf numFmtId="168" fontId="22" fillId="0" borderId="15" xfId="569" applyNumberFormat="1" applyBorder="1" applyAlignment="1">
      <alignment horizontal="center"/>
    </xf>
    <xf numFmtId="0" fontId="29" fillId="0" borderId="3" xfId="569" applyFont="1" applyBorder="1" applyAlignment="1">
      <alignment horizontal="left"/>
    </xf>
    <xf numFmtId="0" fontId="29" fillId="0" borderId="5" xfId="569" applyFont="1" applyBorder="1" applyAlignment="1">
      <alignment horizontal="left"/>
    </xf>
    <xf numFmtId="0" fontId="30" fillId="0" borderId="4" xfId="569" applyFont="1" applyBorder="1" applyAlignment="1">
      <alignment horizontal="left"/>
    </xf>
    <xf numFmtId="0" fontId="30" fillId="0" borderId="5" xfId="569" applyFont="1" applyBorder="1" applyAlignment="1">
      <alignment horizontal="left"/>
    </xf>
    <xf numFmtId="179" fontId="29" fillId="0" borderId="0" xfId="569" applyNumberFormat="1" applyFont="1" applyAlignment="1">
      <alignment horizontal="center" wrapText="1"/>
    </xf>
    <xf numFmtId="164" fontId="29" fillId="0" borderId="0" xfId="569" applyNumberFormat="1" applyFont="1" applyAlignment="1">
      <alignment horizontal="center" wrapText="1"/>
    </xf>
    <xf numFmtId="0" fontId="22" fillId="0" borderId="3" xfId="569" applyBorder="1" applyAlignment="1">
      <alignment horizontal="right"/>
    </xf>
    <xf numFmtId="0" fontId="22" fillId="0" borderId="4" xfId="569" applyBorder="1" applyAlignment="1">
      <alignment horizontal="right"/>
    </xf>
    <xf numFmtId="0" fontId="22" fillId="0" borderId="5" xfId="569" applyBorder="1" applyAlignment="1">
      <alignment horizontal="right"/>
    </xf>
    <xf numFmtId="0" fontId="30" fillId="0" borderId="3" xfId="569" applyFont="1" applyBorder="1" applyAlignment="1">
      <alignment horizontal="right"/>
    </xf>
    <xf numFmtId="0" fontId="30" fillId="0" borderId="4" xfId="569" applyFont="1" applyBorder="1" applyAlignment="1">
      <alignment horizontal="right"/>
    </xf>
    <xf numFmtId="0" fontId="30" fillId="0" borderId="5" xfId="569" applyFont="1" applyBorder="1" applyAlignment="1">
      <alignment horizontal="right"/>
    </xf>
    <xf numFmtId="0" fontId="30" fillId="0" borderId="0" xfId="4495" applyFont="1" applyAlignment="1">
      <alignment horizontal="left" vertical="top" wrapText="1"/>
    </xf>
    <xf numFmtId="0" fontId="127" fillId="5" borderId="6" xfId="4496" applyFont="1" applyFill="1" applyBorder="1" applyAlignment="1" applyProtection="1">
      <alignment horizontal="center"/>
      <protection locked="0"/>
    </xf>
    <xf numFmtId="0" fontId="22" fillId="0" borderId="50" xfId="4495" applyFont="1" applyBorder="1" applyAlignment="1">
      <alignment vertical="center" wrapText="1"/>
    </xf>
    <xf numFmtId="0" fontId="22" fillId="0" borderId="51" xfId="4495" applyFont="1" applyBorder="1" applyAlignment="1">
      <alignment vertical="center" wrapText="1"/>
    </xf>
    <xf numFmtId="0" fontId="22" fillId="0" borderId="52" xfId="4495" applyFont="1" applyBorder="1" applyAlignment="1">
      <alignment vertical="center" wrapText="1"/>
    </xf>
    <xf numFmtId="0" fontId="22" fillId="0" borderId="57" xfId="4495" applyFont="1" applyBorder="1" applyAlignment="1">
      <alignment vertical="center" wrapText="1"/>
    </xf>
    <xf numFmtId="0" fontId="22" fillId="0" borderId="58" xfId="4495" applyFont="1" applyBorder="1" applyAlignment="1">
      <alignment vertical="center" wrapText="1"/>
    </xf>
    <xf numFmtId="0" fontId="22" fillId="0" borderId="59" xfId="4495" applyFont="1" applyBorder="1" applyAlignment="1">
      <alignment vertical="center" wrapText="1"/>
    </xf>
    <xf numFmtId="0" fontId="22" fillId="0" borderId="47" xfId="4495" applyFont="1" applyBorder="1" applyAlignment="1">
      <alignment horizontal="left" vertical="center" wrapText="1"/>
    </xf>
    <xf numFmtId="0" fontId="22" fillId="0" borderId="48" xfId="4495" applyFont="1" applyBorder="1" applyAlignment="1">
      <alignment horizontal="left" vertical="center" wrapText="1"/>
    </xf>
    <xf numFmtId="0" fontId="22" fillId="0" borderId="49" xfId="4495" applyFont="1" applyBorder="1" applyAlignment="1">
      <alignment horizontal="left" vertical="center" wrapText="1"/>
    </xf>
    <xf numFmtId="0" fontId="127" fillId="0" borderId="50" xfId="4496" applyFont="1" applyBorder="1" applyAlignment="1">
      <alignment horizontal="left" vertical="top" wrapText="1"/>
    </xf>
    <xf numFmtId="0" fontId="127" fillId="0" borderId="51" xfId="4496" applyFont="1" applyBorder="1" applyAlignment="1">
      <alignment horizontal="left" vertical="top" wrapText="1"/>
    </xf>
    <xf numFmtId="0" fontId="127" fillId="0" borderId="52" xfId="4496" applyFont="1" applyBorder="1" applyAlignment="1">
      <alignment horizontal="left" vertical="top" wrapText="1"/>
    </xf>
    <xf numFmtId="0" fontId="127" fillId="0" borderId="57" xfId="4496" applyFont="1" applyBorder="1" applyAlignment="1">
      <alignment horizontal="left" vertical="top" wrapText="1"/>
    </xf>
    <xf numFmtId="0" fontId="127" fillId="0" borderId="58" xfId="4496" applyFont="1" applyBorder="1" applyAlignment="1">
      <alignment horizontal="left" vertical="top" wrapText="1"/>
    </xf>
    <xf numFmtId="0" fontId="127" fillId="0" borderId="59" xfId="4496" applyFont="1" applyBorder="1" applyAlignment="1">
      <alignment horizontal="left" vertical="top" wrapText="1"/>
    </xf>
    <xf numFmtId="0" fontId="22" fillId="0" borderId="50" xfId="4495" applyFont="1" applyBorder="1" applyAlignment="1">
      <alignment horizontal="left" vertical="center" wrapText="1"/>
    </xf>
    <xf numFmtId="0" fontId="22" fillId="0" borderId="51" xfId="4495" applyFont="1" applyBorder="1" applyAlignment="1">
      <alignment horizontal="left" vertical="center" wrapText="1"/>
    </xf>
    <xf numFmtId="0" fontId="22" fillId="0" borderId="52" xfId="4495" applyFont="1" applyBorder="1" applyAlignment="1">
      <alignment horizontal="left" vertical="center" wrapText="1"/>
    </xf>
    <xf numFmtId="0" fontId="22" fillId="0" borderId="57" xfId="4495" applyFont="1" applyBorder="1" applyAlignment="1">
      <alignment horizontal="left" vertical="center" wrapText="1"/>
    </xf>
    <xf numFmtId="0" fontId="22" fillId="0" borderId="58" xfId="4495" applyFont="1" applyBorder="1" applyAlignment="1">
      <alignment horizontal="left" vertical="center" wrapText="1"/>
    </xf>
    <xf numFmtId="0" fontId="22" fillId="0" borderId="59" xfId="4495" applyFont="1" applyBorder="1" applyAlignment="1">
      <alignment horizontal="left" vertical="center" wrapText="1"/>
    </xf>
    <xf numFmtId="165" fontId="127" fillId="0" borderId="55" xfId="4496" applyNumberFormat="1" applyFont="1" applyBorder="1" applyAlignment="1">
      <alignment horizontal="center" vertical="top" wrapText="1"/>
    </xf>
    <xf numFmtId="165" fontId="127" fillId="0" borderId="6" xfId="4496" applyNumberFormat="1" applyFont="1" applyBorder="1" applyAlignment="1">
      <alignment horizontal="center" vertical="top" wrapText="1"/>
    </xf>
    <xf numFmtId="165" fontId="127" fillId="0" borderId="60" xfId="4496" applyNumberFormat="1" applyFont="1" applyBorder="1" applyAlignment="1">
      <alignment horizontal="center" vertical="top" wrapText="1"/>
    </xf>
    <xf numFmtId="165" fontId="127" fillId="0" borderId="4" xfId="4496" applyNumberFormat="1" applyFont="1" applyBorder="1" applyAlignment="1">
      <alignment horizontal="center" vertical="top" wrapText="1"/>
    </xf>
    <xf numFmtId="0" fontId="127" fillId="5" borderId="60" xfId="4496" applyFont="1" applyFill="1" applyBorder="1" applyAlignment="1" applyProtection="1">
      <alignment horizontal="center"/>
      <protection locked="0"/>
    </xf>
    <xf numFmtId="0" fontId="127" fillId="5" borderId="4" xfId="4496" applyFont="1" applyFill="1" applyBorder="1" applyAlignment="1" applyProtection="1">
      <alignment horizontal="center"/>
      <protection locked="0"/>
    </xf>
    <xf numFmtId="0" fontId="29" fillId="0" borderId="0" xfId="4495" applyFont="1" applyAlignment="1">
      <alignment horizontal="right"/>
    </xf>
    <xf numFmtId="0" fontId="127" fillId="0" borderId="53" xfId="4496" applyFont="1" applyBorder="1" applyAlignment="1">
      <alignment horizontal="left" vertical="top" wrapText="1"/>
    </xf>
    <xf numFmtId="0" fontId="127" fillId="0" borderId="0" xfId="4496" applyFont="1" applyAlignment="1">
      <alignment horizontal="left" vertical="top" wrapText="1"/>
    </xf>
    <xf numFmtId="0" fontId="127" fillId="0" borderId="54" xfId="4496" applyFont="1" applyBorder="1" applyAlignment="1">
      <alignment horizontal="left" vertical="top" wrapText="1"/>
    </xf>
    <xf numFmtId="0" fontId="127" fillId="5" borderId="55" xfId="4496" applyFont="1" applyFill="1" applyBorder="1" applyAlignment="1" applyProtection="1">
      <alignment horizontal="center"/>
      <protection locked="0"/>
    </xf>
    <xf numFmtId="168" fontId="127" fillId="0" borderId="55" xfId="4496" applyNumberFormat="1" applyFont="1" applyBorder="1" applyAlignment="1">
      <alignment horizontal="center" vertical="top"/>
    </xf>
    <xf numFmtId="168" fontId="127" fillId="0" borderId="6" xfId="4496" applyNumberFormat="1" applyFont="1" applyBorder="1" applyAlignment="1">
      <alignment horizontal="center" vertical="top"/>
    </xf>
    <xf numFmtId="0" fontId="28" fillId="3" borderId="2" xfId="4495" applyFont="1" applyFill="1" applyBorder="1" applyAlignment="1">
      <alignment horizontal="center" vertical="center"/>
    </xf>
    <xf numFmtId="0" fontId="28" fillId="3" borderId="16" xfId="4495" applyFont="1" applyFill="1" applyBorder="1" applyAlignment="1">
      <alignment horizontal="center" vertical="center"/>
    </xf>
    <xf numFmtId="0" fontId="29" fillId="0" borderId="48" xfId="4495" applyFont="1" applyBorder="1" applyAlignment="1">
      <alignment horizontal="left" vertical="top"/>
    </xf>
    <xf numFmtId="0" fontId="29" fillId="0" borderId="49" xfId="4495" applyFont="1" applyBorder="1" applyAlignment="1">
      <alignment horizontal="left" vertical="top"/>
    </xf>
    <xf numFmtId="1" fontId="22" fillId="0" borderId="3" xfId="4495" applyNumberFormat="1" applyFont="1" applyBorder="1" applyAlignment="1">
      <alignment horizontal="center"/>
    </xf>
    <xf numFmtId="1" fontId="22" fillId="0" borderId="4" xfId="4495" applyNumberFormat="1" applyFont="1" applyBorder="1" applyAlignment="1">
      <alignment horizontal="center"/>
    </xf>
    <xf numFmtId="1" fontId="22" fillId="0" borderId="5" xfId="4495" applyNumberFormat="1" applyFont="1" applyBorder="1" applyAlignment="1">
      <alignment horizontal="center"/>
    </xf>
    <xf numFmtId="0" fontId="22" fillId="0" borderId="53" xfId="4495" applyFont="1" applyBorder="1" applyAlignment="1">
      <alignment vertical="center" wrapText="1"/>
    </xf>
    <xf numFmtId="0" fontId="22" fillId="0" borderId="0" xfId="4495" applyFont="1" applyAlignment="1">
      <alignment vertical="center" wrapText="1"/>
    </xf>
    <xf numFmtId="0" fontId="22" fillId="0" borderId="54" xfId="4495" applyFont="1" applyBorder="1" applyAlignment="1">
      <alignment vertical="center" wrapText="1"/>
    </xf>
    <xf numFmtId="0" fontId="22" fillId="0" borderId="53" xfId="4495" applyFont="1" applyBorder="1" applyAlignment="1">
      <alignment horizontal="left" vertical="center" wrapText="1"/>
    </xf>
    <xf numFmtId="0" fontId="22" fillId="0" borderId="0" xfId="4495" applyFont="1" applyAlignment="1">
      <alignment horizontal="left" vertical="center" wrapText="1"/>
    </xf>
    <xf numFmtId="0" fontId="22" fillId="0" borderId="54" xfId="4495" applyFont="1" applyBorder="1" applyAlignment="1">
      <alignment horizontal="left" vertical="center" wrapText="1"/>
    </xf>
    <xf numFmtId="10" fontId="127" fillId="0" borderId="3" xfId="4496" applyNumberFormat="1" applyFont="1" applyBorder="1" applyAlignment="1">
      <alignment horizontal="center" vertical="top" wrapText="1"/>
    </xf>
    <xf numFmtId="10" fontId="127" fillId="0" borderId="4" xfId="4496" applyNumberFormat="1" applyFont="1" applyBorder="1" applyAlignment="1">
      <alignment horizontal="center" vertical="top" wrapText="1"/>
    </xf>
    <xf numFmtId="10" fontId="127" fillId="0" borderId="5" xfId="4496" applyNumberFormat="1" applyFont="1" applyBorder="1" applyAlignment="1">
      <alignment horizontal="center" vertical="top" wrapText="1"/>
    </xf>
    <xf numFmtId="0" fontId="127" fillId="0" borderId="55" xfId="4496" applyFont="1" applyBorder="1" applyAlignment="1">
      <alignment horizontal="center" vertical="top" wrapText="1"/>
    </xf>
    <xf numFmtId="0" fontId="127" fillId="0" borderId="6" xfId="4496" applyFont="1" applyBorder="1" applyAlignment="1">
      <alignment horizontal="center" vertical="top" wrapText="1"/>
    </xf>
    <xf numFmtId="168" fontId="22" fillId="0" borderId="0" xfId="1192" applyNumberFormat="1" applyAlignment="1">
      <alignment horizontal="right"/>
    </xf>
    <xf numFmtId="1" fontId="22" fillId="5" borderId="2" xfId="1192" applyNumberFormat="1" applyFill="1" applyBorder="1" applyAlignment="1" applyProtection="1">
      <alignment horizontal="center"/>
      <protection locked="0"/>
    </xf>
    <xf numFmtId="1" fontId="22" fillId="5" borderId="4" xfId="1192" applyNumberFormat="1" applyFill="1" applyBorder="1" applyAlignment="1" applyProtection="1">
      <alignment horizontal="center"/>
      <protection locked="0"/>
    </xf>
    <xf numFmtId="0" fontId="146" fillId="0" borderId="6" xfId="1192" applyFont="1" applyBorder="1" applyAlignment="1">
      <alignment horizontal="center"/>
    </xf>
    <xf numFmtId="1" fontId="127" fillId="0" borderId="55" xfId="4496" applyNumberFormat="1" applyFont="1" applyBorder="1" applyAlignment="1">
      <alignment horizontal="center" vertical="top" wrapText="1"/>
    </xf>
    <xf numFmtId="1" fontId="127" fillId="0" borderId="6" xfId="4496" applyNumberFormat="1" applyFont="1" applyBorder="1" applyAlignment="1">
      <alignment horizontal="center" vertical="top" wrapText="1"/>
    </xf>
    <xf numFmtId="168" fontId="127" fillId="43" borderId="55" xfId="4496" applyNumberFormat="1" applyFont="1" applyFill="1" applyBorder="1" applyAlignment="1" applyProtection="1">
      <alignment horizontal="center" vertical="top" wrapText="1"/>
      <protection locked="0"/>
    </xf>
    <xf numFmtId="168" fontId="127" fillId="43" borderId="6" xfId="4496" applyNumberFormat="1" applyFont="1" applyFill="1" applyBorder="1" applyAlignment="1" applyProtection="1">
      <alignment horizontal="center" vertical="top" wrapText="1"/>
      <protection locked="0"/>
    </xf>
    <xf numFmtId="0" fontId="29" fillId="0" borderId="0" xfId="4495" applyFont="1" applyAlignment="1">
      <alignment horizontal="center" vertical="top"/>
    </xf>
    <xf numFmtId="0" fontId="22" fillId="0" borderId="0" xfId="1192" applyAlignment="1">
      <alignment horizontal="right"/>
    </xf>
    <xf numFmtId="0" fontId="22" fillId="5" borderId="6" xfId="1192" applyFill="1" applyBorder="1" applyAlignment="1" applyProtection="1">
      <alignment horizontal="left"/>
      <protection locked="0"/>
    </xf>
    <xf numFmtId="168" fontId="22" fillId="43" borderId="6" xfId="4495" applyNumberFormat="1" applyFont="1" applyFill="1" applyBorder="1" applyAlignment="1" applyProtection="1">
      <alignment horizontal="right"/>
      <protection locked="0"/>
    </xf>
    <xf numFmtId="9" fontId="22" fillId="0" borderId="6" xfId="1192" applyNumberFormat="1" applyBorder="1" applyAlignment="1">
      <alignment horizontal="center"/>
    </xf>
    <xf numFmtId="9" fontId="22" fillId="0" borderId="6" xfId="1192" quotePrefix="1" applyNumberFormat="1" applyBorder="1" applyAlignment="1">
      <alignment horizontal="center"/>
    </xf>
    <xf numFmtId="9" fontId="22" fillId="0" borderId="0" xfId="1192" quotePrefix="1" applyNumberFormat="1" applyAlignment="1">
      <alignment horizontal="center"/>
    </xf>
    <xf numFmtId="9" fontId="22" fillId="5" borderId="4" xfId="1192" applyNumberFormat="1" applyFill="1" applyBorder="1" applyAlignment="1" applyProtection="1">
      <alignment horizontal="left"/>
      <protection locked="0"/>
    </xf>
    <xf numFmtId="0" fontId="30" fillId="5" borderId="6" xfId="4495" applyFont="1" applyFill="1" applyBorder="1" applyAlignment="1" applyProtection="1">
      <alignment horizontal="left"/>
      <protection locked="0"/>
    </xf>
    <xf numFmtId="0" fontId="22" fillId="0" borderId="0" xfId="4495" applyFont="1" applyAlignment="1">
      <alignment horizontal="left"/>
    </xf>
    <xf numFmtId="0" fontId="22" fillId="5" borderId="6" xfId="4495" applyFont="1" applyFill="1" applyBorder="1" applyAlignment="1" applyProtection="1">
      <alignment horizontal="left"/>
      <protection locked="0"/>
    </xf>
    <xf numFmtId="0" fontId="58" fillId="5" borderId="6" xfId="4495" applyFont="1" applyFill="1" applyBorder="1" applyAlignment="1" applyProtection="1">
      <alignment horizontal="left"/>
      <protection locked="0"/>
    </xf>
    <xf numFmtId="0" fontId="22" fillId="5" borderId="6" xfId="4495" applyFont="1" applyFill="1" applyBorder="1" applyAlignment="1" applyProtection="1">
      <alignment horizontal="center"/>
      <protection locked="0"/>
    </xf>
    <xf numFmtId="0" fontId="22" fillId="44" borderId="6" xfId="4495" applyFont="1" applyFill="1" applyBorder="1" applyAlignment="1">
      <alignment horizontal="left"/>
    </xf>
    <xf numFmtId="1" fontId="22" fillId="0" borderId="11" xfId="4495" applyNumberFormat="1" applyFont="1" applyBorder="1" applyAlignment="1">
      <alignment horizontal="center"/>
    </xf>
    <xf numFmtId="0" fontId="22" fillId="0" borderId="11" xfId="4495" applyFont="1" applyBorder="1" applyAlignment="1">
      <alignment horizontal="center"/>
    </xf>
    <xf numFmtId="0" fontId="22" fillId="0" borderId="53" xfId="4495" applyFont="1" applyBorder="1" applyAlignment="1">
      <alignment horizontal="left" vertical="top" wrapText="1"/>
    </xf>
    <xf numFmtId="0" fontId="22" fillId="0" borderId="0" xfId="4495" applyFont="1" applyAlignment="1">
      <alignment horizontal="left" vertical="top" wrapText="1"/>
    </xf>
    <xf numFmtId="0" fontId="22" fillId="0" borderId="54" xfId="4495" applyFont="1" applyBorder="1" applyAlignment="1">
      <alignment horizontal="left" vertical="top" wrapText="1"/>
    </xf>
    <xf numFmtId="0" fontId="22" fillId="0" borderId="57" xfId="4495" applyFont="1" applyBorder="1" applyAlignment="1">
      <alignment horizontal="left" vertical="top" wrapText="1"/>
    </xf>
    <xf numFmtId="0" fontId="22" fillId="0" borderId="58" xfId="4495" applyFont="1" applyBorder="1" applyAlignment="1">
      <alignment horizontal="left" vertical="top" wrapText="1"/>
    </xf>
    <xf numFmtId="0" fontId="22" fillId="0" borderId="59" xfId="4495" applyFont="1" applyBorder="1" applyAlignment="1">
      <alignment horizontal="left" vertical="top" wrapText="1"/>
    </xf>
    <xf numFmtId="0" fontId="125" fillId="5" borderId="6" xfId="4495" applyFill="1" applyBorder="1" applyAlignment="1" applyProtection="1">
      <alignment horizontal="center"/>
      <protection locked="0"/>
    </xf>
    <xf numFmtId="0" fontId="29" fillId="0" borderId="0" xfId="4495" applyFont="1" applyAlignment="1">
      <alignment horizontal="left" vertical="top"/>
    </xf>
    <xf numFmtId="0" fontId="125" fillId="0" borderId="0" xfId="4495" applyAlignment="1" applyProtection="1">
      <alignment horizontal="center"/>
      <protection locked="0"/>
    </xf>
    <xf numFmtId="0" fontId="22" fillId="0" borderId="3" xfId="4495" applyFont="1" applyBorder="1" applyAlignment="1">
      <alignment horizontal="center"/>
    </xf>
    <xf numFmtId="0" fontId="22" fillId="0" borderId="4" xfId="4495" applyFont="1" applyBorder="1" applyAlignment="1">
      <alignment horizontal="center"/>
    </xf>
    <xf numFmtId="0" fontId="22" fillId="0" borderId="5" xfId="4495" applyFont="1" applyBorder="1" applyAlignment="1">
      <alignment horizontal="center"/>
    </xf>
    <xf numFmtId="168" fontId="22" fillId="0" borderId="6" xfId="4496" applyNumberFormat="1" applyFont="1" applyBorder="1" applyAlignment="1">
      <alignment horizontal="center"/>
    </xf>
    <xf numFmtId="9" fontId="22" fillId="0" borderId="4" xfId="543" applyNumberFormat="1" applyBorder="1" applyAlignment="1">
      <alignment horizontal="center"/>
    </xf>
    <xf numFmtId="0" fontId="22" fillId="0" borderId="4" xfId="4496" applyFont="1" applyBorder="1" applyAlignment="1">
      <alignment horizontal="center"/>
    </xf>
    <xf numFmtId="0" fontId="22" fillId="0" borderId="5" xfId="4496" applyFont="1" applyBorder="1" applyAlignment="1">
      <alignment horizontal="center"/>
    </xf>
    <xf numFmtId="168" fontId="22" fillId="0" borderId="6" xfId="4495" applyNumberFormat="1" applyFont="1" applyBorder="1" applyAlignment="1">
      <alignment horizontal="right"/>
    </xf>
    <xf numFmtId="168" fontId="123" fillId="0" borderId="6" xfId="4495" applyNumberFormat="1" applyFont="1" applyBorder="1" applyAlignment="1">
      <alignment horizontal="right"/>
    </xf>
    <xf numFmtId="6" fontId="22" fillId="0" borderId="3" xfId="1192" applyNumberFormat="1" applyBorder="1" applyAlignment="1">
      <alignment horizontal="right"/>
    </xf>
    <xf numFmtId="6" fontId="22" fillId="0" borderId="4" xfId="1192" applyNumberFormat="1" applyBorder="1" applyAlignment="1">
      <alignment horizontal="right"/>
    </xf>
    <xf numFmtId="6" fontId="22" fillId="0" borderId="5" xfId="1192" applyNumberFormat="1" applyBorder="1" applyAlignment="1">
      <alignment horizontal="right"/>
    </xf>
    <xf numFmtId="168" fontId="22" fillId="0" borderId="4" xfId="4495" applyNumberFormat="1" applyFont="1" applyBorder="1" applyAlignment="1">
      <alignment horizontal="right"/>
    </xf>
    <xf numFmtId="165" fontId="22" fillId="43" borderId="3" xfId="4495" applyNumberFormat="1" applyFont="1" applyFill="1" applyBorder="1" applyAlignment="1" applyProtection="1">
      <alignment horizontal="center"/>
      <protection locked="0"/>
    </xf>
    <xf numFmtId="165" fontId="22" fillId="43" borderId="4" xfId="4495" applyNumberFormat="1" applyFont="1" applyFill="1" applyBorder="1" applyAlignment="1" applyProtection="1">
      <alignment horizontal="center"/>
      <protection locked="0"/>
    </xf>
    <xf numFmtId="165" fontId="22" fillId="43" borderId="5" xfId="4495" applyNumberFormat="1" applyFont="1" applyFill="1" applyBorder="1" applyAlignment="1" applyProtection="1">
      <alignment horizontal="center"/>
      <protection locked="0"/>
    </xf>
    <xf numFmtId="165" fontId="22" fillId="0" borderId="6" xfId="1192" applyNumberFormat="1" applyBorder="1" applyAlignment="1">
      <alignment horizontal="right"/>
    </xf>
    <xf numFmtId="168" fontId="22" fillId="0" borderId="2" xfId="1192" applyNumberFormat="1" applyBorder="1" applyAlignment="1">
      <alignment horizontal="right"/>
    </xf>
    <xf numFmtId="165" fontId="22" fillId="0" borderId="0" xfId="1192" applyNumberFormat="1" applyAlignment="1">
      <alignment horizontal="right"/>
    </xf>
    <xf numFmtId="0" fontId="22" fillId="0" borderId="50" xfId="4495" applyFont="1" applyBorder="1" applyAlignment="1">
      <alignment horizontal="left" vertical="top" wrapText="1"/>
    </xf>
    <xf numFmtId="0" fontId="22" fillId="0" borderId="51" xfId="4495" applyFont="1" applyBorder="1" applyAlignment="1">
      <alignment horizontal="left" vertical="top" wrapText="1"/>
    </xf>
    <xf numFmtId="0" fontId="22" fillId="0" borderId="52" xfId="4495" applyFont="1" applyBorder="1" applyAlignment="1">
      <alignment horizontal="left" vertical="top" wrapText="1"/>
    </xf>
    <xf numFmtId="0" fontId="29" fillId="0" borderId="0" xfId="4495" applyFont="1"/>
    <xf numFmtId="168" fontId="22" fillId="5" borderId="4" xfId="1192" applyNumberFormat="1" applyFill="1" applyBorder="1" applyAlignment="1" applyProtection="1">
      <alignment horizontal="center"/>
      <protection locked="0"/>
    </xf>
    <xf numFmtId="0" fontId="22" fillId="0" borderId="6" xfId="1192" applyBorder="1" applyAlignment="1">
      <alignment horizontal="left"/>
    </xf>
    <xf numFmtId="2" fontId="22" fillId="0" borderId="0" xfId="1192" applyNumberFormat="1" applyAlignment="1">
      <alignment horizontal="right"/>
    </xf>
    <xf numFmtId="0" fontId="22" fillId="43" borderId="53" xfId="4495" applyFont="1" applyFill="1" applyBorder="1" applyAlignment="1" applyProtection="1">
      <alignment vertical="top" wrapText="1"/>
      <protection locked="0"/>
    </xf>
    <xf numFmtId="0" fontId="22" fillId="43" borderId="0" xfId="4495" applyFont="1" applyFill="1" applyAlignment="1" applyProtection="1">
      <alignment vertical="top" wrapText="1"/>
      <protection locked="0"/>
    </xf>
    <xf numFmtId="0" fontId="22" fillId="43" borderId="54" xfId="4495" applyFont="1" applyFill="1" applyBorder="1" applyAlignment="1" applyProtection="1">
      <alignment vertical="top" wrapText="1"/>
      <protection locked="0"/>
    </xf>
    <xf numFmtId="0" fontId="22" fillId="43" borderId="55" xfId="4495" applyFont="1" applyFill="1" applyBorder="1" applyAlignment="1" applyProtection="1">
      <alignment vertical="top" wrapText="1"/>
      <protection locked="0"/>
    </xf>
    <xf numFmtId="0" fontId="22" fillId="43" borderId="6" xfId="4495" applyFont="1" applyFill="1" applyBorder="1" applyAlignment="1" applyProtection="1">
      <alignment vertical="top" wrapText="1"/>
      <protection locked="0"/>
    </xf>
    <xf numFmtId="0" fontId="22" fillId="43" borderId="56" xfId="4495" applyFont="1" applyFill="1" applyBorder="1" applyAlignment="1" applyProtection="1">
      <alignment vertical="top" wrapText="1"/>
      <protection locked="0"/>
    </xf>
    <xf numFmtId="0" fontId="22" fillId="43" borderId="0" xfId="4495" applyFont="1" applyFill="1" applyAlignment="1" applyProtection="1">
      <alignment horizontal="left" vertical="center" wrapText="1"/>
      <protection locked="0"/>
    </xf>
    <xf numFmtId="0" fontId="22" fillId="43" borderId="54" xfId="4495" applyFont="1" applyFill="1" applyBorder="1" applyAlignment="1" applyProtection="1">
      <alignment horizontal="left" vertical="center" wrapText="1"/>
      <protection locked="0"/>
    </xf>
    <xf numFmtId="0" fontId="22" fillId="43" borderId="6" xfId="4495" applyFont="1" applyFill="1" applyBorder="1" applyAlignment="1" applyProtection="1">
      <alignment horizontal="left" vertical="center" wrapText="1"/>
      <protection locked="0"/>
    </xf>
    <xf numFmtId="0" fontId="22" fillId="43" borderId="56" xfId="4495" applyFont="1" applyFill="1" applyBorder="1" applyAlignment="1" applyProtection="1">
      <alignment horizontal="left" vertical="center" wrapText="1"/>
      <protection locked="0"/>
    </xf>
    <xf numFmtId="0" fontId="134" fillId="0" borderId="0" xfId="4495" applyFont="1" applyAlignment="1">
      <alignment horizontal="left" vertical="top" wrapText="1"/>
    </xf>
    <xf numFmtId="0" fontId="125" fillId="5" borderId="55" xfId="4495" applyFill="1" applyBorder="1" applyAlignment="1" applyProtection="1">
      <alignment horizontal="center"/>
      <protection locked="0"/>
    </xf>
    <xf numFmtId="0" fontId="29" fillId="0" borderId="0" xfId="4495" applyFont="1" applyAlignment="1">
      <alignment horizontal="center"/>
    </xf>
    <xf numFmtId="0" fontId="29" fillId="0" borderId="54" xfId="4495" applyFont="1" applyBorder="1" applyAlignment="1">
      <alignment horizontal="center"/>
    </xf>
    <xf numFmtId="0" fontId="30" fillId="0" borderId="51" xfId="4495" applyFont="1" applyBorder="1" applyAlignment="1">
      <alignment horizontal="left" vertical="top" wrapText="1"/>
    </xf>
    <xf numFmtId="0" fontId="29" fillId="0" borderId="54" xfId="4495" applyFont="1" applyBorder="1" applyAlignment="1">
      <alignment horizontal="center" vertical="top"/>
    </xf>
    <xf numFmtId="0" fontId="125" fillId="5" borderId="62" xfId="4495" applyFill="1" applyBorder="1" applyAlignment="1" applyProtection="1">
      <alignment horizontal="center"/>
      <protection locked="0"/>
    </xf>
    <xf numFmtId="0" fontId="125" fillId="5" borderId="63" xfId="4495" applyFill="1" applyBorder="1" applyAlignment="1" applyProtection="1">
      <alignment horizontal="center"/>
      <protection locked="0"/>
    </xf>
    <xf numFmtId="0" fontId="125" fillId="5" borderId="50" xfId="4495" applyFill="1" applyBorder="1" applyAlignment="1">
      <alignment horizontal="center"/>
    </xf>
    <xf numFmtId="0" fontId="125" fillId="5" borderId="51" xfId="4495" applyFill="1" applyBorder="1" applyAlignment="1">
      <alignment horizontal="center"/>
    </xf>
    <xf numFmtId="0" fontId="58" fillId="0" borderId="51" xfId="4495" applyFont="1" applyBorder="1" applyAlignment="1">
      <alignment horizontal="left" wrapText="1"/>
    </xf>
    <xf numFmtId="0" fontId="58" fillId="0" borderId="0" xfId="4495" applyFont="1" applyAlignment="1">
      <alignment horizontal="left" wrapText="1"/>
    </xf>
    <xf numFmtId="0" fontId="127" fillId="0" borderId="50" xfId="4496" applyFont="1" applyBorder="1" applyAlignment="1">
      <alignment horizontal="left" wrapText="1"/>
    </xf>
    <xf numFmtId="0" fontId="127" fillId="0" borderId="51" xfId="4496" applyFont="1" applyBorder="1" applyAlignment="1">
      <alignment horizontal="left" wrapText="1"/>
    </xf>
    <xf numFmtId="0" fontId="127" fillId="0" borderId="52" xfId="4496" applyFont="1" applyBorder="1" applyAlignment="1">
      <alignment horizontal="left" wrapText="1"/>
    </xf>
    <xf numFmtId="0" fontId="127" fillId="0" borderId="57" xfId="4496" applyFont="1" applyBorder="1" applyAlignment="1">
      <alignment horizontal="left" wrapText="1"/>
    </xf>
    <xf numFmtId="0" fontId="127" fillId="0" borderId="58" xfId="4496" applyFont="1" applyBorder="1" applyAlignment="1">
      <alignment horizontal="left" wrapText="1"/>
    </xf>
    <xf numFmtId="0" fontId="127" fillId="0" borderId="59" xfId="4496" applyFont="1" applyBorder="1" applyAlignment="1">
      <alignment horizontal="left" wrapText="1"/>
    </xf>
    <xf numFmtId="0" fontId="22" fillId="0" borderId="0" xfId="4495" applyFont="1" applyAlignment="1">
      <alignment horizontal="left" vertical="center" wrapText="1" shrinkToFit="1"/>
    </xf>
    <xf numFmtId="0" fontId="22" fillId="5" borderId="6" xfId="4495" applyFont="1" applyFill="1" applyBorder="1" applyAlignment="1" applyProtection="1">
      <alignment horizontal="center" vertical="center" wrapText="1" shrinkToFit="1"/>
      <protection locked="0"/>
    </xf>
    <xf numFmtId="0" fontId="22" fillId="5" borderId="6" xfId="4495" applyFont="1" applyFill="1" applyBorder="1" applyAlignment="1" applyProtection="1">
      <alignment horizontal="left" wrapText="1" shrinkToFit="1"/>
      <protection locked="0"/>
    </xf>
    <xf numFmtId="0" fontId="22" fillId="43" borderId="6" xfId="1192" applyFill="1" applyBorder="1" applyAlignment="1" applyProtection="1">
      <alignment horizontal="left" vertical="top"/>
      <protection locked="0"/>
    </xf>
    <xf numFmtId="0" fontId="161" fillId="0" borderId="0" xfId="0" applyFont="1" applyAlignment="1" applyProtection="1">
      <alignment horizontal="left"/>
      <protection locked="0"/>
    </xf>
    <xf numFmtId="168" fontId="160" fillId="0" borderId="0" xfId="0" applyNumberFormat="1" applyFont="1" applyAlignment="1">
      <alignment horizontal="center" vertical="top" wrapText="1"/>
    </xf>
    <xf numFmtId="168" fontId="160" fillId="0" borderId="12" xfId="0" applyNumberFormat="1" applyFont="1" applyBorder="1" applyAlignment="1">
      <alignment horizontal="center" vertical="top" wrapText="1"/>
    </xf>
    <xf numFmtId="0" fontId="30" fillId="0" borderId="0" xfId="4495" applyFont="1" applyAlignment="1">
      <alignment horizontal="center"/>
    </xf>
    <xf numFmtId="0" fontId="22" fillId="0" borderId="0" xfId="4495" applyFont="1" applyAlignment="1">
      <alignment wrapText="1"/>
    </xf>
    <xf numFmtId="0" fontId="22" fillId="0" borderId="0" xfId="4495" applyFont="1" applyAlignment="1">
      <alignment horizontal="left" vertical="top" wrapText="1" shrinkToFit="1"/>
    </xf>
    <xf numFmtId="44" fontId="22" fillId="0" borderId="0" xfId="707" applyFont="1" applyFill="1" applyBorder="1" applyAlignment="1" applyProtection="1">
      <alignment horizontal="left" vertical="top" wrapText="1"/>
    </xf>
    <xf numFmtId="0" fontId="29" fillId="0" borderId="0" xfId="4495" applyFont="1" applyAlignment="1">
      <alignment horizontal="left" vertical="top" wrapText="1"/>
    </xf>
    <xf numFmtId="0" fontId="22" fillId="45" borderId="11" xfId="4495" applyFont="1" applyFill="1" applyBorder="1" applyAlignment="1">
      <alignment horizontal="center"/>
    </xf>
    <xf numFmtId="0" fontId="134" fillId="0" borderId="0" xfId="4495" applyFont="1" applyAlignment="1">
      <alignment horizontal="left" vertical="center" wrapText="1"/>
    </xf>
    <xf numFmtId="0" fontId="29" fillId="0" borderId="11" xfId="4495" applyFont="1" applyBorder="1" applyAlignment="1">
      <alignment horizontal="center"/>
    </xf>
    <xf numFmtId="0" fontId="30" fillId="0" borderId="58" xfId="4495" applyFont="1" applyBorder="1" applyAlignment="1">
      <alignment horizontal="left" vertical="top" wrapText="1"/>
    </xf>
    <xf numFmtId="0" fontId="29" fillId="0" borderId="4" xfId="4495" applyFont="1" applyBorder="1" applyAlignment="1">
      <alignment horizontal="left"/>
    </xf>
    <xf numFmtId="0" fontId="29" fillId="0" borderId="5" xfId="4495" applyFont="1" applyBorder="1" applyAlignment="1">
      <alignment horizontal="left"/>
    </xf>
    <xf numFmtId="1" fontId="29" fillId="0" borderId="4" xfId="4495" applyNumberFormat="1" applyFont="1" applyBorder="1" applyAlignment="1">
      <alignment horizontal="center" wrapText="1"/>
    </xf>
    <xf numFmtId="0" fontId="29" fillId="0" borderId="4" xfId="4495" applyFont="1" applyBorder="1" applyAlignment="1">
      <alignment horizontal="center" wrapText="1"/>
    </xf>
    <xf numFmtId="0" fontId="29" fillId="0" borderId="5" xfId="4495" applyFont="1" applyBorder="1" applyAlignment="1">
      <alignment horizontal="center" wrapText="1"/>
    </xf>
    <xf numFmtId="0" fontId="29" fillId="0" borderId="3" xfId="4495" applyFont="1" applyBorder="1" applyAlignment="1">
      <alignment horizontal="center" wrapText="1"/>
    </xf>
    <xf numFmtId="0" fontId="22" fillId="0" borderId="50" xfId="4496" applyFont="1" applyBorder="1" applyAlignment="1">
      <alignment horizontal="left" wrapText="1"/>
    </xf>
    <xf numFmtId="0" fontId="22" fillId="0" borderId="51" xfId="4496" applyFont="1" applyBorder="1" applyAlignment="1">
      <alignment horizontal="left" wrapText="1"/>
    </xf>
    <xf numFmtId="0" fontId="22" fillId="0" borderId="52" xfId="4496" applyFont="1" applyBorder="1" applyAlignment="1">
      <alignment horizontal="left" wrapText="1"/>
    </xf>
    <xf numFmtId="0" fontId="22" fillId="0" borderId="53" xfId="4496" applyFont="1" applyBorder="1" applyAlignment="1">
      <alignment horizontal="left" wrapText="1"/>
    </xf>
    <xf numFmtId="0" fontId="22" fillId="0" borderId="0" xfId="4496" applyFont="1" applyAlignment="1">
      <alignment horizontal="left" wrapText="1"/>
    </xf>
    <xf numFmtId="0" fontId="22" fillId="0" borderId="54" xfId="4496" applyFont="1" applyBorder="1" applyAlignment="1">
      <alignment horizontal="left" wrapText="1"/>
    </xf>
    <xf numFmtId="0" fontId="22" fillId="0" borderId="57" xfId="4496" applyFont="1" applyBorder="1" applyAlignment="1">
      <alignment horizontal="left" wrapText="1"/>
    </xf>
    <xf numFmtId="0" fontId="22" fillId="0" borderId="58" xfId="4496" applyFont="1" applyBorder="1" applyAlignment="1">
      <alignment horizontal="left" wrapText="1"/>
    </xf>
    <xf numFmtId="0" fontId="22" fillId="0" borderId="59" xfId="4496" applyFont="1" applyBorder="1" applyAlignment="1">
      <alignment horizontal="left" wrapText="1"/>
    </xf>
    <xf numFmtId="1" fontId="22" fillId="0" borderId="4" xfId="4496" applyNumberFormat="1" applyFont="1" applyBorder="1" applyAlignment="1">
      <alignment horizontal="center"/>
    </xf>
    <xf numFmtId="1" fontId="22" fillId="0" borderId="5" xfId="4496" applyNumberFormat="1" applyFont="1" applyBorder="1" applyAlignment="1">
      <alignment horizontal="center"/>
    </xf>
    <xf numFmtId="49" fontId="28" fillId="3" borderId="2" xfId="4495" applyNumberFormat="1" applyFont="1" applyFill="1" applyBorder="1" applyAlignment="1">
      <alignment horizontal="center" vertical="center" wrapText="1"/>
    </xf>
    <xf numFmtId="49" fontId="28" fillId="3" borderId="2" xfId="4495" applyNumberFormat="1" applyFont="1" applyFill="1" applyBorder="1" applyAlignment="1">
      <alignment horizontal="center" vertical="center"/>
    </xf>
    <xf numFmtId="49" fontId="28" fillId="3" borderId="0" xfId="4495" applyNumberFormat="1" applyFont="1" applyFill="1" applyAlignment="1">
      <alignment horizontal="center" vertical="center"/>
    </xf>
    <xf numFmtId="0" fontId="29" fillId="0" borderId="1" xfId="4495" applyFont="1" applyBorder="1" applyAlignment="1">
      <alignment horizontal="center" wrapText="1"/>
    </xf>
    <xf numFmtId="0" fontId="29" fillId="0" borderId="2" xfId="4495" applyFont="1" applyBorder="1" applyAlignment="1">
      <alignment horizontal="center" wrapText="1"/>
    </xf>
    <xf numFmtId="0" fontId="29" fillId="0" borderId="7" xfId="4495" applyFont="1" applyBorder="1" applyAlignment="1">
      <alignment horizontal="center" wrapText="1"/>
    </xf>
    <xf numFmtId="0" fontId="29" fillId="0" borderId="9" xfId="4495" applyFont="1" applyBorder="1" applyAlignment="1">
      <alignment horizontal="center" wrapText="1"/>
    </xf>
    <xf numFmtId="0" fontId="29" fillId="0" borderId="6" xfId="4495" applyFont="1" applyBorder="1" applyAlignment="1">
      <alignment horizontal="center" wrapText="1"/>
    </xf>
    <xf numFmtId="0" fontId="29" fillId="0" borderId="10" xfId="4495" applyFont="1" applyBorder="1" applyAlignment="1">
      <alignment horizontal="center" wrapText="1"/>
    </xf>
    <xf numFmtId="1" fontId="29" fillId="0" borderId="11" xfId="4495" applyNumberFormat="1" applyFont="1" applyBorder="1" applyAlignment="1">
      <alignment horizontal="center"/>
    </xf>
    <xf numFmtId="0" fontId="22" fillId="0" borderId="4" xfId="4495" applyFont="1" applyBorder="1" applyAlignment="1">
      <alignment horizontal="left"/>
    </xf>
    <xf numFmtId="0" fontId="22" fillId="0" borderId="5" xfId="4495" applyFont="1" applyBorder="1" applyAlignment="1">
      <alignment horizontal="left"/>
    </xf>
    <xf numFmtId="1" fontId="22" fillId="46" borderId="11" xfId="4495" applyNumberFormat="1" applyFont="1" applyFill="1" applyBorder="1" applyAlignment="1">
      <alignment horizontal="center"/>
    </xf>
    <xf numFmtId="0" fontId="22" fillId="5" borderId="11" xfId="4495" applyFont="1" applyFill="1" applyBorder="1" applyAlignment="1" applyProtection="1">
      <alignment horizontal="center"/>
      <protection locked="0"/>
    </xf>
    <xf numFmtId="0" fontId="29" fillId="0" borderId="3" xfId="4495" applyFont="1" applyBorder="1" applyAlignment="1">
      <alignment horizontal="center"/>
    </xf>
    <xf numFmtId="0" fontId="29" fillId="0" borderId="4" xfId="4495" applyFont="1" applyBorder="1" applyAlignment="1">
      <alignment horizontal="center"/>
    </xf>
    <xf numFmtId="0" fontId="29" fillId="0" borderId="5" xfId="4495" applyFont="1" applyBorder="1" applyAlignment="1">
      <alignment horizontal="center"/>
    </xf>
    <xf numFmtId="164" fontId="69" fillId="0" borderId="1" xfId="4495" applyNumberFormat="1" applyFont="1" applyBorder="1" applyAlignment="1">
      <alignment horizontal="right" vertical="center"/>
    </xf>
    <xf numFmtId="164" fontId="69" fillId="0" borderId="2" xfId="4495" applyNumberFormat="1" applyFont="1" applyBorder="1" applyAlignment="1">
      <alignment horizontal="right" vertical="center"/>
    </xf>
    <xf numFmtId="164" fontId="69" fillId="0" borderId="7" xfId="4495" applyNumberFormat="1" applyFont="1" applyBorder="1" applyAlignment="1">
      <alignment horizontal="right" vertical="center"/>
    </xf>
    <xf numFmtId="164" fontId="69" fillId="0" borderId="9" xfId="4495" applyNumberFormat="1" applyFont="1" applyBorder="1" applyAlignment="1">
      <alignment horizontal="right" vertical="center"/>
    </xf>
    <xf numFmtId="164" fontId="69" fillId="0" borderId="6" xfId="4495" applyNumberFormat="1" applyFont="1" applyBorder="1" applyAlignment="1">
      <alignment horizontal="right" vertical="center"/>
    </xf>
    <xf numFmtId="164" fontId="69" fillId="0" borderId="10" xfId="4495" applyNumberFormat="1" applyFont="1" applyBorder="1" applyAlignment="1">
      <alignment horizontal="right" vertical="center"/>
    </xf>
    <xf numFmtId="180" fontId="69" fillId="0" borderId="1" xfId="4495" applyNumberFormat="1" applyFont="1" applyBorder="1" applyAlignment="1">
      <alignment horizontal="center" vertical="center"/>
    </xf>
    <xf numFmtId="180" fontId="69" fillId="0" borderId="2" xfId="4495" applyNumberFormat="1" applyFont="1" applyBorder="1" applyAlignment="1">
      <alignment horizontal="center" vertical="center"/>
    </xf>
    <xf numFmtId="180" fontId="69" fillId="0" borderId="7" xfId="4495" applyNumberFormat="1" applyFont="1" applyBorder="1" applyAlignment="1">
      <alignment horizontal="center" vertical="center"/>
    </xf>
    <xf numFmtId="180" fontId="69" fillId="0" borderId="9" xfId="4495" applyNumberFormat="1" applyFont="1" applyBorder="1" applyAlignment="1">
      <alignment horizontal="center" vertical="center"/>
    </xf>
    <xf numFmtId="180" fontId="69" fillId="0" borderId="6" xfId="4495" applyNumberFormat="1" applyFont="1" applyBorder="1" applyAlignment="1">
      <alignment horizontal="center" vertical="center"/>
    </xf>
    <xf numFmtId="180" fontId="69" fillId="0" borderId="10" xfId="4495" applyNumberFormat="1" applyFont="1" applyBorder="1" applyAlignment="1">
      <alignment horizontal="center" vertical="center"/>
    </xf>
    <xf numFmtId="0" fontId="125" fillId="0" borderId="53" xfId="4495" applyBorder="1" applyAlignment="1">
      <alignment horizontal="center"/>
    </xf>
    <xf numFmtId="0" fontId="125" fillId="0" borderId="0" xfId="4495" applyAlignment="1">
      <alignment horizontal="center"/>
    </xf>
    <xf numFmtId="0" fontId="30" fillId="5" borderId="0" xfId="4495" applyFont="1" applyFill="1" applyAlignment="1">
      <alignment horizontal="left" vertical="top"/>
    </xf>
    <xf numFmtId="0" fontId="125" fillId="5" borderId="53" xfId="4495" applyFill="1" applyBorder="1" applyAlignment="1">
      <alignment horizontal="center"/>
    </xf>
    <xf numFmtId="0" fontId="125" fillId="5" borderId="0" xfId="4495" applyFill="1" applyAlignment="1">
      <alignment horizontal="center"/>
    </xf>
    <xf numFmtId="0" fontId="125" fillId="5" borderId="55" xfId="4495" applyFill="1" applyBorder="1" applyAlignment="1">
      <alignment horizontal="center"/>
    </xf>
    <xf numFmtId="0" fontId="125" fillId="5" borderId="6" xfId="4495" applyFill="1" applyBorder="1" applyAlignment="1">
      <alignment horizontal="center"/>
    </xf>
    <xf numFmtId="0" fontId="30" fillId="5" borderId="0" xfId="4495" applyFont="1" applyFill="1" applyAlignment="1">
      <alignment horizontal="left" vertical="top" wrapText="1"/>
    </xf>
    <xf numFmtId="0" fontId="30" fillId="5" borderId="58" xfId="4495" applyFont="1" applyFill="1" applyBorder="1" applyAlignment="1">
      <alignment horizontal="left" vertical="top" wrapText="1"/>
    </xf>
    <xf numFmtId="0" fontId="29" fillId="0" borderId="51" xfId="4495" applyFont="1" applyBorder="1" applyAlignment="1">
      <alignment horizontal="center" vertical="top"/>
    </xf>
    <xf numFmtId="0" fontId="29" fillId="0" borderId="52" xfId="4495" applyFont="1" applyBorder="1" applyAlignment="1">
      <alignment horizontal="center" vertical="top"/>
    </xf>
    <xf numFmtId="168" fontId="22" fillId="43" borderId="6" xfId="543" applyNumberFormat="1" applyFill="1" applyBorder="1" applyAlignment="1" applyProtection="1">
      <alignment horizontal="center"/>
      <protection locked="0"/>
    </xf>
    <xf numFmtId="0" fontId="22" fillId="0" borderId="6" xfId="1192" applyBorder="1" applyAlignment="1">
      <alignment horizontal="right"/>
    </xf>
    <xf numFmtId="10" fontId="30" fillId="0" borderId="2" xfId="4495" applyNumberFormat="1" applyFont="1" applyBorder="1" applyAlignment="1">
      <alignment horizontal="center"/>
    </xf>
    <xf numFmtId="4" fontId="30" fillId="0" borderId="0" xfId="4495" applyNumberFormat="1" applyFont="1" applyAlignment="1">
      <alignment horizontal="center"/>
    </xf>
    <xf numFmtId="9" fontId="30" fillId="5" borderId="6" xfId="4495" applyNumberFormat="1" applyFont="1" applyFill="1" applyBorder="1" applyAlignment="1">
      <alignment horizontal="left"/>
    </xf>
    <xf numFmtId="0" fontId="38" fillId="42" borderId="2" xfId="4495" applyFont="1" applyFill="1" applyBorder="1" applyAlignment="1">
      <alignment horizontal="center"/>
    </xf>
    <xf numFmtId="0" fontId="38" fillId="42" borderId="6" xfId="4495" applyFont="1" applyFill="1" applyBorder="1" applyAlignment="1">
      <alignment horizontal="center"/>
    </xf>
    <xf numFmtId="168" fontId="22" fillId="0" borderId="4" xfId="4496" applyNumberFormat="1" applyFont="1" applyBorder="1" applyAlignment="1">
      <alignment horizontal="center"/>
    </xf>
    <xf numFmtId="9" fontId="22" fillId="0" borderId="4" xfId="4496" applyNumberFormat="1" applyFont="1" applyBorder="1" applyAlignment="1">
      <alignment horizontal="center"/>
    </xf>
    <xf numFmtId="168" fontId="22" fillId="0" borderId="6" xfId="1192" applyNumberFormat="1" applyBorder="1" applyAlignment="1">
      <alignment horizontal="right"/>
    </xf>
    <xf numFmtId="168" fontId="22" fillId="43" borderId="6" xfId="1192" applyNumberFormat="1" applyFill="1" applyBorder="1" applyAlignment="1" applyProtection="1">
      <alignment horizontal="right"/>
      <protection locked="0"/>
    </xf>
    <xf numFmtId="0" fontId="30" fillId="5" borderId="58" xfId="4495" applyFont="1" applyFill="1" applyBorder="1" applyAlignment="1">
      <alignment horizontal="left"/>
    </xf>
    <xf numFmtId="0" fontId="58" fillId="0" borderId="51" xfId="4495" applyFont="1" applyBorder="1" applyAlignment="1">
      <alignment horizontal="left" vertical="top" wrapText="1"/>
    </xf>
    <xf numFmtId="0" fontId="58" fillId="0" borderId="0" xfId="4495" applyFont="1" applyAlignment="1">
      <alignment horizontal="left" vertical="top" wrapText="1"/>
    </xf>
    <xf numFmtId="9" fontId="30" fillId="5" borderId="58" xfId="4495" applyNumberFormat="1" applyFont="1" applyFill="1" applyBorder="1" applyAlignment="1">
      <alignment horizontal="left"/>
    </xf>
    <xf numFmtId="0" fontId="30" fillId="5" borderId="6" xfId="4495" applyFont="1" applyFill="1" applyBorder="1" applyAlignment="1">
      <alignment horizontal="left"/>
    </xf>
    <xf numFmtId="4" fontId="30" fillId="0" borderId="3" xfId="4495" applyNumberFormat="1" applyFont="1" applyBorder="1" applyAlignment="1">
      <alignment horizontal="center"/>
    </xf>
    <xf numFmtId="4" fontId="30" fillId="0" borderId="4" xfId="4495" applyNumberFormat="1" applyFont="1" applyBorder="1" applyAlignment="1">
      <alignment horizontal="center"/>
    </xf>
    <xf numFmtId="4" fontId="30" fillId="0" borderId="5" xfId="4495" applyNumberFormat="1" applyFont="1" applyBorder="1" applyAlignment="1">
      <alignment horizontal="center"/>
    </xf>
    <xf numFmtId="165" fontId="127" fillId="0" borderId="3" xfId="4496" applyNumberFormat="1" applyFont="1" applyBorder="1" applyAlignment="1">
      <alignment horizontal="center" vertical="top" wrapText="1"/>
    </xf>
    <xf numFmtId="165" fontId="127" fillId="0" borderId="5" xfId="4496" applyNumberFormat="1" applyFont="1" applyBorder="1" applyAlignment="1">
      <alignment horizontal="center" vertical="top" wrapText="1"/>
    </xf>
    <xf numFmtId="3" fontId="22" fillId="43" borderId="6" xfId="1192" applyNumberFormat="1" applyFill="1" applyBorder="1" applyAlignment="1" applyProtection="1">
      <alignment horizontal="right"/>
      <protection locked="0"/>
    </xf>
    <xf numFmtId="0" fontId="146" fillId="0" borderId="0" xfId="1192" applyFont="1" applyAlignment="1">
      <alignment horizontal="center"/>
    </xf>
    <xf numFmtId="4" fontId="30" fillId="0" borderId="6" xfId="4495" applyNumberFormat="1" applyFont="1" applyBorder="1" applyAlignment="1">
      <alignment horizontal="center"/>
    </xf>
    <xf numFmtId="0" fontId="29" fillId="0" borderId="0" xfId="4495" applyFont="1" applyAlignment="1">
      <alignment horizontal="left" wrapText="1"/>
    </xf>
    <xf numFmtId="164" fontId="22" fillId="0" borderId="50" xfId="4495" applyNumberFormat="1" applyFont="1" applyBorder="1" applyAlignment="1">
      <alignment horizontal="left" vertical="top" wrapText="1"/>
    </xf>
    <xf numFmtId="164" fontId="22" fillId="0" borderId="51" xfId="4495" applyNumberFormat="1" applyFont="1" applyBorder="1" applyAlignment="1">
      <alignment horizontal="left" vertical="top" wrapText="1"/>
    </xf>
    <xf numFmtId="164" fontId="22" fillId="0" borderId="52" xfId="4495" applyNumberFormat="1" applyFont="1" applyBorder="1" applyAlignment="1">
      <alignment horizontal="left" vertical="top" wrapText="1"/>
    </xf>
    <xf numFmtId="164" fontId="22" fillId="0" borderId="53" xfId="4495" applyNumberFormat="1" applyFont="1" applyBorder="1" applyAlignment="1">
      <alignment horizontal="left" vertical="top" wrapText="1"/>
    </xf>
    <xf numFmtId="164" fontId="22" fillId="0" borderId="0" xfId="4495" applyNumberFormat="1" applyFont="1" applyAlignment="1">
      <alignment horizontal="left" vertical="top" wrapText="1"/>
    </xf>
    <xf numFmtId="164" fontId="22" fillId="0" borderId="54" xfId="4495" applyNumberFormat="1" applyFont="1" applyBorder="1" applyAlignment="1">
      <alignment horizontal="left" vertical="top" wrapText="1"/>
    </xf>
    <xf numFmtId="164" fontId="22" fillId="0" borderId="57" xfId="4495" applyNumberFormat="1" applyFont="1" applyBorder="1" applyAlignment="1">
      <alignment horizontal="left" vertical="top" wrapText="1"/>
    </xf>
    <xf numFmtId="164" fontId="22" fillId="0" borderId="58" xfId="4495" applyNumberFormat="1" applyFont="1" applyBorder="1" applyAlignment="1">
      <alignment horizontal="left" vertical="top" wrapText="1"/>
    </xf>
    <xf numFmtId="164" fontId="22" fillId="0" borderId="59" xfId="4495" applyNumberFormat="1" applyFont="1" applyBorder="1" applyAlignment="1">
      <alignment horizontal="left" vertical="top" wrapText="1"/>
    </xf>
    <xf numFmtId="168" fontId="22" fillId="0" borderId="4" xfId="1192" applyNumberFormat="1" applyBorder="1" applyAlignment="1">
      <alignment horizontal="right"/>
    </xf>
    <xf numFmtId="0" fontId="123" fillId="0" borderId="4" xfId="1192" applyFont="1" applyBorder="1" applyAlignment="1">
      <alignment horizontal="left"/>
    </xf>
    <xf numFmtId="0" fontId="125" fillId="5" borderId="62" xfId="4495" applyFill="1" applyBorder="1" applyAlignment="1">
      <alignment horizontal="center"/>
    </xf>
    <xf numFmtId="0" fontId="125" fillId="5" borderId="63" xfId="4495" applyFill="1" applyBorder="1" applyAlignment="1">
      <alignment horizontal="center"/>
    </xf>
    <xf numFmtId="0" fontId="103" fillId="0" borderId="3" xfId="4496" applyFont="1" applyBorder="1"/>
    <xf numFmtId="0" fontId="103" fillId="0" borderId="81" xfId="4496" applyFont="1" applyBorder="1"/>
    <xf numFmtId="0" fontId="103" fillId="0" borderId="94" xfId="4496" applyFont="1" applyBorder="1"/>
    <xf numFmtId="0" fontId="103" fillId="0" borderId="85" xfId="4496" applyFont="1" applyBorder="1"/>
    <xf numFmtId="49" fontId="103" fillId="45" borderId="15" xfId="4496" applyNumberFormat="1" applyFont="1" applyFill="1" applyBorder="1" applyAlignment="1">
      <alignment horizontal="center" vertical="center" wrapText="1"/>
    </xf>
    <xf numFmtId="49" fontId="103" fillId="45" borderId="13" xfId="4496" applyNumberFormat="1" applyFont="1" applyFill="1" applyBorder="1" applyAlignment="1">
      <alignment horizontal="center" vertical="center" wrapText="1"/>
    </xf>
    <xf numFmtId="0" fontId="103" fillId="0" borderId="93" xfId="4496" applyFont="1" applyBorder="1" applyAlignment="1">
      <alignment horizontal="right"/>
    </xf>
    <xf numFmtId="0" fontId="103" fillId="0" borderId="74" xfId="4496" applyFont="1" applyBorder="1" applyAlignment="1">
      <alignment horizontal="right"/>
    </xf>
    <xf numFmtId="0" fontId="103" fillId="0" borderId="75" xfId="4496" applyFont="1" applyBorder="1"/>
    <xf numFmtId="0" fontId="103" fillId="0" borderId="91" xfId="4496" applyFont="1" applyBorder="1"/>
    <xf numFmtId="0" fontId="103" fillId="0" borderId="90" xfId="4496" applyFont="1" applyBorder="1" applyAlignment="1">
      <alignment horizontal="right"/>
    </xf>
    <xf numFmtId="0" fontId="103" fillId="0" borderId="5" xfId="4496" applyFont="1" applyBorder="1" applyAlignment="1">
      <alignment horizontal="right"/>
    </xf>
    <xf numFmtId="0" fontId="103" fillId="0" borderId="69" xfId="4496" applyFont="1" applyBorder="1" applyAlignment="1">
      <alignment horizontal="right"/>
    </xf>
    <xf numFmtId="0" fontId="103" fillId="0" borderId="70" xfId="4496" applyFont="1" applyBorder="1" applyAlignment="1">
      <alignment horizontal="right"/>
    </xf>
    <xf numFmtId="168" fontId="103" fillId="0" borderId="11" xfId="4499" applyNumberFormat="1" applyFont="1" applyFill="1" applyBorder="1" applyAlignment="1" applyProtection="1">
      <alignment horizontal="left" vertical="center" indent="1"/>
    </xf>
    <xf numFmtId="0" fontId="141" fillId="0" borderId="68" xfId="4496" applyFont="1" applyBorder="1" applyAlignment="1">
      <alignment horizontal="left" indent="1"/>
    </xf>
    <xf numFmtId="168" fontId="103" fillId="0" borderId="70" xfId="4499" applyNumberFormat="1" applyFont="1" applyFill="1" applyBorder="1" applyAlignment="1" applyProtection="1">
      <alignment horizontal="left" vertical="center" indent="1"/>
    </xf>
    <xf numFmtId="49" fontId="140" fillId="3" borderId="0" xfId="1192" applyNumberFormat="1" applyFont="1" applyFill="1" applyAlignment="1">
      <alignment horizontal="center" vertical="center"/>
    </xf>
    <xf numFmtId="0" fontId="103" fillId="0" borderId="11" xfId="4496" applyFont="1" applyBorder="1" applyAlignment="1">
      <alignment horizontal="left" indent="1"/>
    </xf>
    <xf numFmtId="0" fontId="103" fillId="0" borderId="11" xfId="4496" applyFont="1" applyBorder="1" applyAlignment="1">
      <alignment horizontal="left" indent="2"/>
    </xf>
    <xf numFmtId="0" fontId="141" fillId="45" borderId="3" xfId="4496" applyFont="1" applyFill="1" applyBorder="1" applyAlignment="1">
      <alignment horizontal="center" vertical="center"/>
    </xf>
    <xf numFmtId="0" fontId="141" fillId="45" borderId="4" xfId="4496" applyFont="1" applyFill="1" applyBorder="1" applyAlignment="1">
      <alignment horizontal="center" vertical="center"/>
    </xf>
    <xf numFmtId="0" fontId="141" fillId="45" borderId="5" xfId="4496" applyFont="1" applyFill="1" applyBorder="1" applyAlignment="1">
      <alignment horizontal="center" vertical="center"/>
    </xf>
    <xf numFmtId="9" fontId="141" fillId="45" borderId="3" xfId="4499" applyFont="1" applyFill="1" applyBorder="1" applyAlignment="1" applyProtection="1">
      <alignment horizontal="center" vertical="center"/>
    </xf>
    <xf numFmtId="9" fontId="141" fillId="45" borderId="4" xfId="4499" applyFont="1" applyFill="1" applyBorder="1" applyAlignment="1" applyProtection="1">
      <alignment horizontal="center" vertical="center"/>
    </xf>
    <xf numFmtId="9" fontId="141" fillId="45" borderId="5" xfId="4499" applyFont="1" applyFill="1" applyBorder="1" applyAlignment="1" applyProtection="1">
      <alignment horizontal="center" vertical="center"/>
    </xf>
    <xf numFmtId="168" fontId="103" fillId="0" borderId="13" xfId="4499" applyNumberFormat="1" applyFont="1" applyFill="1" applyBorder="1" applyAlignment="1" applyProtection="1">
      <alignment horizontal="left" vertical="center" indent="1"/>
    </xf>
    <xf numFmtId="0" fontId="103" fillId="0" borderId="3" xfId="4496" applyFont="1" applyBorder="1" applyAlignment="1">
      <alignment horizontal="left" indent="1"/>
    </xf>
    <xf numFmtId="0" fontId="103" fillId="0" borderId="4" xfId="4496" applyFont="1" applyBorder="1" applyAlignment="1">
      <alignment horizontal="left" indent="1"/>
    </xf>
    <xf numFmtId="0" fontId="103" fillId="0" borderId="5" xfId="4496" applyFont="1" applyBorder="1" applyAlignment="1">
      <alignment horizontal="left" indent="1"/>
    </xf>
    <xf numFmtId="0" fontId="103" fillId="0" borderId="3" xfId="4496" applyFont="1" applyBorder="1" applyAlignment="1">
      <alignment horizontal="left" indent="2"/>
    </xf>
    <xf numFmtId="0" fontId="103" fillId="0" borderId="4" xfId="4496" applyFont="1" applyBorder="1" applyAlignment="1">
      <alignment horizontal="left" indent="2"/>
    </xf>
    <xf numFmtId="0" fontId="103" fillId="0" borderId="5" xfId="4496" applyFont="1" applyBorder="1" applyAlignment="1">
      <alignment horizontal="left" indent="2"/>
    </xf>
    <xf numFmtId="0" fontId="103" fillId="0" borderId="0" xfId="4496" applyFont="1" applyAlignment="1">
      <alignment wrapText="1"/>
    </xf>
    <xf numFmtId="0" fontId="141" fillId="0" borderId="75" xfId="4496" applyFont="1" applyBorder="1" applyAlignment="1">
      <alignment horizontal="center" vertical="top" wrapText="1"/>
    </xf>
    <xf numFmtId="0" fontId="141" fillId="0" borderId="74" xfId="4496" applyFont="1" applyBorder="1" applyAlignment="1">
      <alignment horizontal="center" vertical="top" wrapText="1"/>
    </xf>
    <xf numFmtId="0" fontId="103" fillId="0" borderId="0" xfId="4496" applyFont="1" applyAlignment="1">
      <alignment horizontal="left" wrapText="1"/>
    </xf>
    <xf numFmtId="0" fontId="103" fillId="0" borderId="0" xfId="4496" applyFont="1" applyAlignment="1">
      <alignment horizontal="center" vertical="center" wrapText="1"/>
    </xf>
    <xf numFmtId="0" fontId="103" fillId="43" borderId="0" xfId="4496" applyFont="1" applyFill="1" applyAlignment="1" applyProtection="1">
      <alignment horizontal="left" vertical="top" wrapText="1"/>
      <protection locked="0"/>
    </xf>
    <xf numFmtId="0" fontId="103" fillId="43" borderId="6" xfId="4496" applyFont="1" applyFill="1" applyBorder="1" applyAlignment="1" applyProtection="1">
      <alignment horizontal="left" vertical="top" wrapText="1"/>
      <protection locked="0"/>
    </xf>
    <xf numFmtId="0" fontId="103" fillId="0" borderId="0" xfId="4496" applyFont="1" applyAlignment="1">
      <alignment horizontal="left" wrapText="1" indent="1"/>
    </xf>
    <xf numFmtId="0" fontId="27" fillId="0" borderId="6" xfId="271" applyFont="1" applyBorder="1" applyAlignment="1">
      <alignment horizontal="center"/>
    </xf>
    <xf numFmtId="0" fontId="27" fillId="0" borderId="0" xfId="0" applyFont="1" applyAlignment="1" applyProtection="1">
      <alignment wrapText="1"/>
      <protection locked="0"/>
    </xf>
    <xf numFmtId="3" fontId="22" fillId="0" borderId="0" xfId="0" applyNumberFormat="1" applyFont="1" applyAlignment="1">
      <alignment horizontal="left" vertical="top" wrapText="1"/>
    </xf>
    <xf numFmtId="3" fontId="31" fillId="0" borderId="0" xfId="0" applyNumberFormat="1" applyFont="1" applyAlignment="1">
      <alignment horizontal="left" vertical="top" wrapText="1"/>
    </xf>
    <xf numFmtId="0" fontId="22" fillId="43" borderId="0" xfId="0" applyFont="1" applyFill="1" applyAlignment="1">
      <alignment horizontal="left"/>
    </xf>
  </cellXfs>
  <cellStyles count="34934">
    <cellStyle name="20% - Accent1" xfId="1" builtinId="30" customBuiltin="1"/>
    <cellStyle name="20% - Accent1 10" xfId="4504" xr:uid="{00000000-0005-0000-0000-000001000000}"/>
    <cellStyle name="20% - Accent1 10 2" xfId="13830" xr:uid="{3B3D6CDC-24D9-4798-BB31-1375D7C9157E}"/>
    <cellStyle name="20% - Accent1 10 3" xfId="22271" xr:uid="{B964288A-5319-4634-A343-D1E3B3F8B107}"/>
    <cellStyle name="20% - Accent1 10 4" xfId="30711" xr:uid="{0DE710C8-9A7E-4B23-8C3E-0582B338A51C}"/>
    <cellStyle name="20% - Accent1 11" xfId="8758" xr:uid="{2F735C8D-70CB-4E84-A95A-4445894745BC}"/>
    <cellStyle name="20% - Accent1 12" xfId="9613" xr:uid="{D11FDA89-7E9C-4613-91C4-18647A67C7C3}"/>
    <cellStyle name="20% - Accent1 13" xfId="18054" xr:uid="{48DA5722-4C54-4365-A540-F5315D4A5FA0}"/>
    <cellStyle name="20% - Accent1 14" xfId="26494" xr:uid="{F18BD8A0-5632-414E-919D-CE382611866F}"/>
    <cellStyle name="20% - Accent1 2" xfId="2" xr:uid="{00000000-0005-0000-0000-000002000000}"/>
    <cellStyle name="20% - Accent1 2 10" xfId="8797" xr:uid="{7F4BEAE6-CC35-4B07-89BD-8FC5D6B3D35B}"/>
    <cellStyle name="20% - Accent1 2 11" xfId="9614" xr:uid="{09C0F9E3-74B4-4411-8565-6912AF4A680B}"/>
    <cellStyle name="20% - Accent1 2 12" xfId="18055" xr:uid="{9A380228-E6BD-4F4D-B1BE-F75630A43ED0}"/>
    <cellStyle name="20% - Accent1 2 13" xfId="26495" xr:uid="{667D1941-4C0F-40E5-BBB5-55C7C9C3C680}"/>
    <cellStyle name="20% - Accent1 2 2" xfId="3" xr:uid="{00000000-0005-0000-0000-000003000000}"/>
    <cellStyle name="20% - Accent1 2 2 10" xfId="9615" xr:uid="{D98C4BDF-80F3-48E2-A503-003719A09B50}"/>
    <cellStyle name="20% - Accent1 2 2 11" xfId="18056" xr:uid="{AF4FE884-E401-4A40-9517-7FC75487B2E3}"/>
    <cellStyle name="20% - Accent1 2 2 12" xfId="26496" xr:uid="{43DEC127-0AE5-4FB3-93FA-5AD83A95BEC0}"/>
    <cellStyle name="20% - Accent1 2 2 2" xfId="4" xr:uid="{00000000-0005-0000-0000-000004000000}"/>
    <cellStyle name="20% - Accent1 2 2 2 10" xfId="18057" xr:uid="{50C00E05-68B6-47D4-9B7F-8FC69D5EB5E7}"/>
    <cellStyle name="20% - Accent1 2 2 2 11" xfId="26497" xr:uid="{9254452A-4F6E-416A-A310-E3A663A2F0A6}"/>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988F0495-3BE9-43C8-B93B-D3ED06B886F1}"/>
    <cellStyle name="20% - Accent1 2 2 2 2 2 2 3" xfId="24833" xr:uid="{84BC6374-191B-4103-AF7A-9592BD11AB73}"/>
    <cellStyle name="20% - Accent1 2 2 2 2 2 2 4" xfId="33273" xr:uid="{EF57DB43-DA37-4472-B57C-8476071F4E4B}"/>
    <cellStyle name="20% - Accent1 2 2 2 2 2 3" xfId="12175" xr:uid="{C42150A1-4906-4DCE-96A3-622E52CA63C3}"/>
    <cellStyle name="20% - Accent1 2 2 2 2 2 4" xfId="20616" xr:uid="{C87153F5-0FB0-47CE-85CF-A8CFD13ED3A7}"/>
    <cellStyle name="20% - Accent1 2 2 2 2 2 5" xfId="29056" xr:uid="{E3FA3BF3-40D7-4E87-B99C-ACC877C5EE17}"/>
    <cellStyle name="20% - Accent1 2 2 2 2 3" xfId="4921" xr:uid="{00000000-0005-0000-0000-000008000000}"/>
    <cellStyle name="20% - Accent1 2 2 2 2 3 2" xfId="14247" xr:uid="{DF6D9ED9-402D-4F83-8385-2090ADC6D701}"/>
    <cellStyle name="20% - Accent1 2 2 2 2 3 3" xfId="22688" xr:uid="{2DF4D6BB-DA1C-43E2-B12C-21F511E05908}"/>
    <cellStyle name="20% - Accent1 2 2 2 2 3 4" xfId="31128" xr:uid="{5B82FAC9-E753-47CA-97E2-8DF029AF2758}"/>
    <cellStyle name="20% - Accent1 2 2 2 2 4" xfId="9532" xr:uid="{D5FAB462-C5A9-4306-AA37-C118C84F9393}"/>
    <cellStyle name="20% - Accent1 2 2 2 2 5" xfId="10030" xr:uid="{7F0ED463-A88F-4B83-AC36-FA53ABEFCD31}"/>
    <cellStyle name="20% - Accent1 2 2 2 2 6" xfId="18471" xr:uid="{7CE86952-CF8D-4350-89BD-DA64827D36BB}"/>
    <cellStyle name="20% - Accent1 2 2 2 2 7" xfId="26911" xr:uid="{FE4336F6-CCDE-484F-B124-6FF0C3A34F19}"/>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FAB1B393-FC16-4309-ABDD-31353D9CBE6F}"/>
    <cellStyle name="20% - Accent1 2 2 2 3 2 2 3" xfId="25246" xr:uid="{3FDA3988-7EE8-4CA7-A825-5EEF60A60455}"/>
    <cellStyle name="20% - Accent1 2 2 2 3 2 2 4" xfId="33686" xr:uid="{41528DBC-A8BD-41A4-8543-E1E919C02C69}"/>
    <cellStyle name="20% - Accent1 2 2 2 3 2 3" xfId="12588" xr:uid="{6DACE723-3600-4A18-A759-FD08C20528EF}"/>
    <cellStyle name="20% - Accent1 2 2 2 3 2 4" xfId="21029" xr:uid="{A765F680-5CAA-40A6-8312-21D7C5F19C52}"/>
    <cellStyle name="20% - Accent1 2 2 2 3 2 5" xfId="29469" xr:uid="{9BF69791-51AB-41AE-BFCB-064227F7AA53}"/>
    <cellStyle name="20% - Accent1 2 2 2 3 3" xfId="5334" xr:uid="{00000000-0005-0000-0000-00000C000000}"/>
    <cellStyle name="20% - Accent1 2 2 2 3 3 2" xfId="14660" xr:uid="{A43F5186-CAF5-4B80-96FF-2CD1CAB4DD7A}"/>
    <cellStyle name="20% - Accent1 2 2 2 3 3 3" xfId="23101" xr:uid="{2E8A2BC6-184C-4568-AABA-B09FE19E672F}"/>
    <cellStyle name="20% - Accent1 2 2 2 3 3 4" xfId="31541" xr:uid="{A8C02543-AD96-4391-8EB2-4526CB908FED}"/>
    <cellStyle name="20% - Accent1 2 2 2 3 4" xfId="10443" xr:uid="{9C54C6D3-2F5B-4984-854B-B954CD2A3688}"/>
    <cellStyle name="20% - Accent1 2 2 2 3 5" xfId="18884" xr:uid="{B2FEF0BF-3359-4CFB-A8F2-D4B94E74D6E5}"/>
    <cellStyle name="20% - Accent1 2 2 2 3 6" xfId="27324" xr:uid="{BC09CFFB-A670-4030-AAD6-F75EB2C3103C}"/>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C6278C16-AAB7-4FDA-AB52-D316FFC7E55B}"/>
    <cellStyle name="20% - Accent1 2 2 2 4 2 2 3" xfId="25659" xr:uid="{B439DEDE-DEBC-459D-8D71-BB833867E89B}"/>
    <cellStyle name="20% - Accent1 2 2 2 4 2 2 4" xfId="34099" xr:uid="{91DE8BE8-4162-4D97-90C6-922D9419D460}"/>
    <cellStyle name="20% - Accent1 2 2 2 4 2 3" xfId="13001" xr:uid="{07ED0926-0AF8-4513-8468-91C47B39FAFE}"/>
    <cellStyle name="20% - Accent1 2 2 2 4 2 4" xfId="21442" xr:uid="{31C938FD-561E-4D22-86FC-D96B515048F3}"/>
    <cellStyle name="20% - Accent1 2 2 2 4 2 5" xfId="29882" xr:uid="{71750E0A-1B78-4E05-B4FD-DF1A1F0FC594}"/>
    <cellStyle name="20% - Accent1 2 2 2 4 3" xfId="5747" xr:uid="{00000000-0005-0000-0000-000010000000}"/>
    <cellStyle name="20% - Accent1 2 2 2 4 3 2" xfId="15073" xr:uid="{C999788D-9C4E-4B6D-8F1C-AE4D3595AC08}"/>
    <cellStyle name="20% - Accent1 2 2 2 4 3 3" xfId="23514" xr:uid="{8FC7116F-EC5E-41AF-95C5-C31C0439368A}"/>
    <cellStyle name="20% - Accent1 2 2 2 4 3 4" xfId="31954" xr:uid="{B594A476-62F5-46C4-808D-8FBB37FACEF6}"/>
    <cellStyle name="20% - Accent1 2 2 2 4 4" xfId="10856" xr:uid="{17A214E2-1CE3-4701-A217-5B2F8119A4E1}"/>
    <cellStyle name="20% - Accent1 2 2 2 4 5" xfId="19297" xr:uid="{673E903D-DD85-41CD-A2B0-C696F711EC0F}"/>
    <cellStyle name="20% - Accent1 2 2 2 4 6" xfId="27737" xr:uid="{46DB1EFD-5B35-40F3-BE56-A7D811583F27}"/>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AA64EB0B-E58C-45CD-B794-97A3E3C3FA9B}"/>
    <cellStyle name="20% - Accent1 2 2 2 5 2 2 3" xfId="26072" xr:uid="{602918E7-0F4D-4FED-8DAF-8502BDB97269}"/>
    <cellStyle name="20% - Accent1 2 2 2 5 2 2 4" xfId="34512" xr:uid="{59097D36-788C-47A1-97C6-5A24D0DD8D54}"/>
    <cellStyle name="20% - Accent1 2 2 2 5 2 3" xfId="13414" xr:uid="{E879976A-4A0B-4618-9E21-60EB304B662B}"/>
    <cellStyle name="20% - Accent1 2 2 2 5 2 4" xfId="21855" xr:uid="{0E1FEEDD-35C7-44FC-907A-7F205E68939D}"/>
    <cellStyle name="20% - Accent1 2 2 2 5 2 5" xfId="30295" xr:uid="{AC6F754D-A309-431E-B398-CA1732B25BAC}"/>
    <cellStyle name="20% - Accent1 2 2 2 5 3" xfId="6160" xr:uid="{00000000-0005-0000-0000-000014000000}"/>
    <cellStyle name="20% - Accent1 2 2 2 5 3 2" xfId="15486" xr:uid="{98EAB784-B47E-4077-9A1D-E0F5A163D8AF}"/>
    <cellStyle name="20% - Accent1 2 2 2 5 3 3" xfId="23927" xr:uid="{8BB39874-3E88-4B1F-BA57-585F157DA04F}"/>
    <cellStyle name="20% - Accent1 2 2 2 5 3 4" xfId="32367" xr:uid="{7B76D95E-4EA0-4B4E-9B44-EF5A471016E9}"/>
    <cellStyle name="20% - Accent1 2 2 2 5 4" xfId="11269" xr:uid="{06191BE5-91EF-43F3-8FE3-2E0D6433EE23}"/>
    <cellStyle name="20% - Accent1 2 2 2 5 5" xfId="19710" xr:uid="{D0EE62EE-5F52-4D4F-A396-6648C10442DB}"/>
    <cellStyle name="20% - Accent1 2 2 2 5 6" xfId="28150" xr:uid="{F6AC768D-5847-4391-A725-23B5A42E0389}"/>
    <cellStyle name="20% - Accent1 2 2 2 6" xfId="2267" xr:uid="{00000000-0005-0000-0000-000015000000}"/>
    <cellStyle name="20% - Accent1 2 2 2 6 2" xfId="6573" xr:uid="{00000000-0005-0000-0000-000016000000}"/>
    <cellStyle name="20% - Accent1 2 2 2 6 2 2" xfId="15899" xr:uid="{C1A1CD12-A874-4522-93EE-50C1C7F78EBC}"/>
    <cellStyle name="20% - Accent1 2 2 2 6 2 3" xfId="24340" xr:uid="{0038D981-F2DA-460D-BC3F-C0819CE7E2C4}"/>
    <cellStyle name="20% - Accent1 2 2 2 6 2 4" xfId="32780" xr:uid="{758A67C1-7367-4C49-A6F9-CAA3F599CB60}"/>
    <cellStyle name="20% - Accent1 2 2 2 6 3" xfId="11682" xr:uid="{1E16C0F1-B0A2-4C25-AA74-1A1AC813E304}"/>
    <cellStyle name="20% - Accent1 2 2 2 6 4" xfId="20123" xr:uid="{5D9848C6-0677-4C78-BD28-EDE8AA0BAFEB}"/>
    <cellStyle name="20% - Accent1 2 2 2 6 5" xfId="28563" xr:uid="{BB902DD8-8EB0-43FD-98A0-A845EA6F2ABD}"/>
    <cellStyle name="20% - Accent1 2 2 2 7" xfId="4507" xr:uid="{00000000-0005-0000-0000-000017000000}"/>
    <cellStyle name="20% - Accent1 2 2 2 7 2" xfId="13833" xr:uid="{1303BC9C-9A66-47AA-9E20-1F6C35CE9F93}"/>
    <cellStyle name="20% - Accent1 2 2 2 7 3" xfId="22274" xr:uid="{BBC49A47-C1D6-489E-AB2E-CF60FEF008F5}"/>
    <cellStyle name="20% - Accent1 2 2 2 7 4" xfId="30714" xr:uid="{FC0CE364-AE71-407A-9108-FD9872C1082A}"/>
    <cellStyle name="20% - Accent1 2 2 2 8" xfId="9107" xr:uid="{4168D01E-823F-4E8F-9A1D-70697AC1F241}"/>
    <cellStyle name="20% - Accent1 2 2 2 9" xfId="9616" xr:uid="{2E201211-041A-4127-80FA-AC23ED9EF2DF}"/>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61593586-3EB8-4B11-AF28-6C8CB98E008E}"/>
    <cellStyle name="20% - Accent1 2 2 3 2 2 3" xfId="24832" xr:uid="{0DD56B93-7244-400F-8524-3126F83BAC98}"/>
    <cellStyle name="20% - Accent1 2 2 3 2 2 4" xfId="33272" xr:uid="{BC7B1E9F-3A44-4953-9D8A-C54BF492CB05}"/>
    <cellStyle name="20% - Accent1 2 2 3 2 3" xfId="12174" xr:uid="{E8BBE655-DF22-4766-9BCF-70534BB30C73}"/>
    <cellStyle name="20% - Accent1 2 2 3 2 4" xfId="20615" xr:uid="{8B95A536-D6CC-4F10-AFFB-F86EB677512B}"/>
    <cellStyle name="20% - Accent1 2 2 3 2 5" xfId="29055" xr:uid="{7BABF239-49F4-45B3-916E-BA5D6ADC92FA}"/>
    <cellStyle name="20% - Accent1 2 2 3 3" xfId="4920" xr:uid="{00000000-0005-0000-0000-00001B000000}"/>
    <cellStyle name="20% - Accent1 2 2 3 3 2" xfId="14246" xr:uid="{E935116A-458A-445A-BA49-4D72FAC035E9}"/>
    <cellStyle name="20% - Accent1 2 2 3 3 3" xfId="22687" xr:uid="{75734866-A235-4C8E-90DE-2D16E4DCF759}"/>
    <cellStyle name="20% - Accent1 2 2 3 3 4" xfId="31127" xr:uid="{D9C19FB4-925D-4730-8C16-98CD78515249}"/>
    <cellStyle name="20% - Accent1 2 2 3 4" xfId="9325" xr:uid="{DE19910B-698B-4F31-B25F-3533B35DDA95}"/>
    <cellStyle name="20% - Accent1 2 2 3 5" xfId="10029" xr:uid="{1871933B-9A0F-4F8B-88B3-B6C49A1401DC}"/>
    <cellStyle name="20% - Accent1 2 2 3 6" xfId="18470" xr:uid="{368E5ECA-1582-49EE-9D56-D9AD7B2C68BB}"/>
    <cellStyle name="20% - Accent1 2 2 3 7" xfId="26910" xr:uid="{C934D54F-1038-42C2-9ABD-3DD5925791E2}"/>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B5413201-3ED4-47EB-B56F-F0CF23435D93}"/>
    <cellStyle name="20% - Accent1 2 2 4 2 2 3" xfId="25245" xr:uid="{A190454B-AA93-4FEB-AE77-E3AD34521CAA}"/>
    <cellStyle name="20% - Accent1 2 2 4 2 2 4" xfId="33685" xr:uid="{8C0658FC-1136-4A13-90C9-5FD95B1E0C59}"/>
    <cellStyle name="20% - Accent1 2 2 4 2 3" xfId="12587" xr:uid="{C5C0E05E-5292-447C-A823-FF44337DF2AD}"/>
    <cellStyle name="20% - Accent1 2 2 4 2 4" xfId="21028" xr:uid="{5BA0F49B-B41E-464C-AB40-3839BFCF7045}"/>
    <cellStyle name="20% - Accent1 2 2 4 2 5" xfId="29468" xr:uid="{852D86B7-CFC7-4560-BB7C-8A297565D50F}"/>
    <cellStyle name="20% - Accent1 2 2 4 3" xfId="5333" xr:uid="{00000000-0005-0000-0000-00001F000000}"/>
    <cellStyle name="20% - Accent1 2 2 4 3 2" xfId="14659" xr:uid="{8A5FBED8-EAC8-4810-B937-8B3EB9145DA5}"/>
    <cellStyle name="20% - Accent1 2 2 4 3 3" xfId="23100" xr:uid="{A6A5515A-B2D6-4ADA-96B5-CD9CE1B7FBEB}"/>
    <cellStyle name="20% - Accent1 2 2 4 3 4" xfId="31540" xr:uid="{9CB0E6F9-6FF6-48C3-A7EF-217393E5993B}"/>
    <cellStyle name="20% - Accent1 2 2 4 4" xfId="10442" xr:uid="{AC466D7B-449F-4776-B6DD-C6611E56DF87}"/>
    <cellStyle name="20% - Accent1 2 2 4 5" xfId="18883" xr:uid="{B165FC44-2859-4DF6-B42F-D7AA7095573F}"/>
    <cellStyle name="20% - Accent1 2 2 4 6" xfId="27323" xr:uid="{65CCD659-B663-4991-855D-6F04889AEC8B}"/>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4DEE002E-5979-415D-848E-393873465D80}"/>
    <cellStyle name="20% - Accent1 2 2 5 2 2 3" xfId="25658" xr:uid="{FE07263A-93B9-4C4D-BAC7-611817A3A3D5}"/>
    <cellStyle name="20% - Accent1 2 2 5 2 2 4" xfId="34098" xr:uid="{A46AEFB4-895B-4C39-97AF-71CEB88AB0AE}"/>
    <cellStyle name="20% - Accent1 2 2 5 2 3" xfId="13000" xr:uid="{992D3574-F5E4-42B7-8944-A3193417FD55}"/>
    <cellStyle name="20% - Accent1 2 2 5 2 4" xfId="21441" xr:uid="{B011818C-4B55-45FB-AD87-8D3B9038E24F}"/>
    <cellStyle name="20% - Accent1 2 2 5 2 5" xfId="29881" xr:uid="{A12A98EB-010F-4495-AD26-90BC466E765F}"/>
    <cellStyle name="20% - Accent1 2 2 5 3" xfId="5746" xr:uid="{00000000-0005-0000-0000-000023000000}"/>
    <cellStyle name="20% - Accent1 2 2 5 3 2" xfId="15072" xr:uid="{39B21604-B0D0-462A-8B8D-0B4A30C31E1F}"/>
    <cellStyle name="20% - Accent1 2 2 5 3 3" xfId="23513" xr:uid="{AAFACEE1-0E61-4204-9C08-A51FCBC00296}"/>
    <cellStyle name="20% - Accent1 2 2 5 3 4" xfId="31953" xr:uid="{CD76CBFE-F925-4EC2-B680-4F2AEF29DF7A}"/>
    <cellStyle name="20% - Accent1 2 2 5 4" xfId="10855" xr:uid="{33661CF1-F504-4C43-80D6-79D676DC401A}"/>
    <cellStyle name="20% - Accent1 2 2 5 5" xfId="19296" xr:uid="{7380A4FD-9A27-4ED3-9E4A-50C470F844BB}"/>
    <cellStyle name="20% - Accent1 2 2 5 6" xfId="27736" xr:uid="{6223058F-6F1C-46A0-9538-D64E2FECF850}"/>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E4ACA60B-D931-4784-BF8E-85967F0FA7B5}"/>
    <cellStyle name="20% - Accent1 2 2 6 2 2 3" xfId="26071" xr:uid="{BCF230FE-6632-4570-BA3E-E3B364185FCC}"/>
    <cellStyle name="20% - Accent1 2 2 6 2 2 4" xfId="34511" xr:uid="{C99EF812-FE8C-4A0C-BF6A-DDB883F3175E}"/>
    <cellStyle name="20% - Accent1 2 2 6 2 3" xfId="13413" xr:uid="{D5DD6632-AC04-404E-A853-C6B5FD3EE78A}"/>
    <cellStyle name="20% - Accent1 2 2 6 2 4" xfId="21854" xr:uid="{8EDF9F38-20DE-46B1-ADF0-203EA9188C8C}"/>
    <cellStyle name="20% - Accent1 2 2 6 2 5" xfId="30294" xr:uid="{B1393D92-58E3-456D-951D-F898DF925EC4}"/>
    <cellStyle name="20% - Accent1 2 2 6 3" xfId="6159" xr:uid="{00000000-0005-0000-0000-000027000000}"/>
    <cellStyle name="20% - Accent1 2 2 6 3 2" xfId="15485" xr:uid="{20A6329C-54C8-4101-A7F0-D0904177A8D4}"/>
    <cellStyle name="20% - Accent1 2 2 6 3 3" xfId="23926" xr:uid="{6807EC21-0EE6-40B2-8B06-1B77185A8E3E}"/>
    <cellStyle name="20% - Accent1 2 2 6 3 4" xfId="32366" xr:uid="{9B9391F4-DFB9-4BCE-9730-88C1234A76BF}"/>
    <cellStyle name="20% - Accent1 2 2 6 4" xfId="11268" xr:uid="{E0D775EE-C697-482D-9141-F94A1DD37809}"/>
    <cellStyle name="20% - Accent1 2 2 6 5" xfId="19709" xr:uid="{DBE3D6C5-6ACE-402A-8500-B9389960E39B}"/>
    <cellStyle name="20% - Accent1 2 2 6 6" xfId="28149" xr:uid="{3E0F2006-76FA-49C9-85B5-EC73BFC92C1B}"/>
    <cellStyle name="20% - Accent1 2 2 7" xfId="2266" xr:uid="{00000000-0005-0000-0000-000028000000}"/>
    <cellStyle name="20% - Accent1 2 2 7 2" xfId="6572" xr:uid="{00000000-0005-0000-0000-000029000000}"/>
    <cellStyle name="20% - Accent1 2 2 7 2 2" xfId="15898" xr:uid="{61FF2FCE-E648-4AAD-AAA7-D047A8FA18DE}"/>
    <cellStyle name="20% - Accent1 2 2 7 2 3" xfId="24339" xr:uid="{702D7105-E6C3-4123-A412-0A6EC38540F3}"/>
    <cellStyle name="20% - Accent1 2 2 7 2 4" xfId="32779" xr:uid="{D7B47EB3-8116-4A41-A8AD-F18C243F990E}"/>
    <cellStyle name="20% - Accent1 2 2 7 3" xfId="11681" xr:uid="{BBDBBF0A-A6C1-4139-A4E1-25361FEB6B41}"/>
    <cellStyle name="20% - Accent1 2 2 7 4" xfId="20122" xr:uid="{8F4DA903-FE11-44D6-9D89-3A6ED0817730}"/>
    <cellStyle name="20% - Accent1 2 2 7 5" xfId="28562" xr:uid="{5172525A-9EEE-4F2E-9F41-60EEFA8C8C17}"/>
    <cellStyle name="20% - Accent1 2 2 8" xfId="4506" xr:uid="{00000000-0005-0000-0000-00002A000000}"/>
    <cellStyle name="20% - Accent1 2 2 8 2" xfId="13832" xr:uid="{620B4E3D-3BAB-425E-8A98-9DAF4716DD88}"/>
    <cellStyle name="20% - Accent1 2 2 8 3" xfId="22273" xr:uid="{80CE0584-8EBF-4B3B-B946-BA4F8764008E}"/>
    <cellStyle name="20% - Accent1 2 2 8 4" xfId="30713" xr:uid="{2ADCF769-EB9D-49F8-93F9-41E2DEA4D756}"/>
    <cellStyle name="20% - Accent1 2 2 9" xfId="8900" xr:uid="{7D7E3EAF-DF6A-403F-8C20-66BB9757790F}"/>
    <cellStyle name="20% - Accent1 2 3" xfId="5" xr:uid="{00000000-0005-0000-0000-00002B000000}"/>
    <cellStyle name="20% - Accent1 2 3 10" xfId="18058" xr:uid="{F35CCA88-0E0B-4B49-9607-57B3E9829678}"/>
    <cellStyle name="20% - Accent1 2 3 11" xfId="26498" xr:uid="{40E6C596-6D16-4F10-8BEA-3CD1E4D81B49}"/>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B861C267-5610-443A-832E-2DFC853F232E}"/>
    <cellStyle name="20% - Accent1 2 3 2 2 2 3" xfId="24834" xr:uid="{00D5C827-1C06-4430-913B-0EEB8E61E4F4}"/>
    <cellStyle name="20% - Accent1 2 3 2 2 2 4" xfId="33274" xr:uid="{C8379B3E-9AA9-4223-8EE3-3038A77D40F2}"/>
    <cellStyle name="20% - Accent1 2 3 2 2 3" xfId="12176" xr:uid="{2FB32C10-F0C1-44E8-B99A-B2FA93D386C9}"/>
    <cellStyle name="20% - Accent1 2 3 2 2 4" xfId="20617" xr:uid="{A2223E0F-A94A-47FF-9E56-EF9B317A3499}"/>
    <cellStyle name="20% - Accent1 2 3 2 2 5" xfId="29057" xr:uid="{28147E44-8796-46BB-BB63-2ECBCA5DCF01}"/>
    <cellStyle name="20% - Accent1 2 3 2 3" xfId="4922" xr:uid="{00000000-0005-0000-0000-00002F000000}"/>
    <cellStyle name="20% - Accent1 2 3 2 3 2" xfId="14248" xr:uid="{77A90B8D-7586-4447-B93B-0E315D3CDF86}"/>
    <cellStyle name="20% - Accent1 2 3 2 3 3" xfId="22689" xr:uid="{97D5F7CB-CCB9-4FC0-AE85-ADD1C4B69351}"/>
    <cellStyle name="20% - Accent1 2 3 2 3 4" xfId="31129" xr:uid="{0063E3A7-B6CF-4FB4-B84B-8705F827064D}"/>
    <cellStyle name="20% - Accent1 2 3 2 4" xfId="9429" xr:uid="{CCD4BD61-3143-497B-A316-8024A8762A6C}"/>
    <cellStyle name="20% - Accent1 2 3 2 5" xfId="10031" xr:uid="{DF706E45-E9A5-45DE-A4B3-605436BE5752}"/>
    <cellStyle name="20% - Accent1 2 3 2 6" xfId="18472" xr:uid="{36749D92-715A-4887-B86F-9106C814CFBE}"/>
    <cellStyle name="20% - Accent1 2 3 2 7" xfId="26912" xr:uid="{8CF10FA4-364D-4E21-9837-BDE6389AEAB7}"/>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F1602C43-3C08-4448-A16B-624CF4448FDC}"/>
    <cellStyle name="20% - Accent1 2 3 3 2 2 3" xfId="25247" xr:uid="{4693E093-6ED6-4641-8ADE-07A5A9DA67DA}"/>
    <cellStyle name="20% - Accent1 2 3 3 2 2 4" xfId="33687" xr:uid="{97734F07-2DFF-4FF8-94E1-099E84BA0ECA}"/>
    <cellStyle name="20% - Accent1 2 3 3 2 3" xfId="12589" xr:uid="{304B9B42-4C4E-48FD-81EC-8AEC4826A69B}"/>
    <cellStyle name="20% - Accent1 2 3 3 2 4" xfId="21030" xr:uid="{FFC8A964-47DD-4E1E-A2CD-913483939DFF}"/>
    <cellStyle name="20% - Accent1 2 3 3 2 5" xfId="29470" xr:uid="{DF1AE238-5481-4BC2-B82C-060D12B6281C}"/>
    <cellStyle name="20% - Accent1 2 3 3 3" xfId="5335" xr:uid="{00000000-0005-0000-0000-000033000000}"/>
    <cellStyle name="20% - Accent1 2 3 3 3 2" xfId="14661" xr:uid="{D649526A-8E94-4CD1-9CBC-57A4D5A1E3CB}"/>
    <cellStyle name="20% - Accent1 2 3 3 3 3" xfId="23102" xr:uid="{543D4BE1-130C-45CC-92C0-03F3EDC4EE4B}"/>
    <cellStyle name="20% - Accent1 2 3 3 3 4" xfId="31542" xr:uid="{CD7036A4-A151-4264-82F2-8302EE4B2E09}"/>
    <cellStyle name="20% - Accent1 2 3 3 4" xfId="10444" xr:uid="{2CF73BA3-9251-4E92-BE31-D66D68310A86}"/>
    <cellStyle name="20% - Accent1 2 3 3 5" xfId="18885" xr:uid="{8BE44B5E-8633-42C9-9F80-50B32A983A16}"/>
    <cellStyle name="20% - Accent1 2 3 3 6" xfId="27325" xr:uid="{AD964624-873E-4626-9CD1-D4D5CF812243}"/>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68D5026C-E619-4463-9A20-82432631DFAD}"/>
    <cellStyle name="20% - Accent1 2 3 4 2 2 3" xfId="25660" xr:uid="{F1D4229F-0BAE-45A2-8922-7CA220A9B5CA}"/>
    <cellStyle name="20% - Accent1 2 3 4 2 2 4" xfId="34100" xr:uid="{DFD802D4-824C-4DBD-A40E-E52DA53735F6}"/>
    <cellStyle name="20% - Accent1 2 3 4 2 3" xfId="13002" xr:uid="{B380BAE7-DF26-4EC7-AFD3-3F5A4C6FE11C}"/>
    <cellStyle name="20% - Accent1 2 3 4 2 4" xfId="21443" xr:uid="{AD396EFA-62DD-4843-9061-D7CD39019532}"/>
    <cellStyle name="20% - Accent1 2 3 4 2 5" xfId="29883" xr:uid="{CCDC8332-4853-41E4-9D76-77DDD8AFFE6B}"/>
    <cellStyle name="20% - Accent1 2 3 4 3" xfId="5748" xr:uid="{00000000-0005-0000-0000-000037000000}"/>
    <cellStyle name="20% - Accent1 2 3 4 3 2" xfId="15074" xr:uid="{4DBC7430-A82B-4E6B-9C01-39384B28F613}"/>
    <cellStyle name="20% - Accent1 2 3 4 3 3" xfId="23515" xr:uid="{C810DEF0-E792-4513-88C4-9155A42049D8}"/>
    <cellStyle name="20% - Accent1 2 3 4 3 4" xfId="31955" xr:uid="{00F6D9DD-B9EF-4603-B324-06FFA96554FB}"/>
    <cellStyle name="20% - Accent1 2 3 4 4" xfId="10857" xr:uid="{FB87DDA1-176A-4728-9F3C-BDE4D5B3179F}"/>
    <cellStyle name="20% - Accent1 2 3 4 5" xfId="19298" xr:uid="{B6C408C4-2B25-4DE0-BE0C-344757D0D5AB}"/>
    <cellStyle name="20% - Accent1 2 3 4 6" xfId="27738" xr:uid="{D16956C9-6929-4D2F-AB36-00B660C62802}"/>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176E28D6-64CE-4ABC-8D22-A5479F3B639B}"/>
    <cellStyle name="20% - Accent1 2 3 5 2 2 3" xfId="26073" xr:uid="{44F3D629-D0FF-46D4-B0B6-E66EFF1C51B6}"/>
    <cellStyle name="20% - Accent1 2 3 5 2 2 4" xfId="34513" xr:uid="{1BD4581D-CDB3-421C-8F53-D8DE8373416F}"/>
    <cellStyle name="20% - Accent1 2 3 5 2 3" xfId="13415" xr:uid="{AF87F9E8-425A-48C7-B6CC-EC9193668503}"/>
    <cellStyle name="20% - Accent1 2 3 5 2 4" xfId="21856" xr:uid="{A5B8D8B7-6790-4620-9407-13FF2A5CA95C}"/>
    <cellStyle name="20% - Accent1 2 3 5 2 5" xfId="30296" xr:uid="{34848E09-6D04-400F-9155-4BCD07439F68}"/>
    <cellStyle name="20% - Accent1 2 3 5 3" xfId="6161" xr:uid="{00000000-0005-0000-0000-00003B000000}"/>
    <cellStyle name="20% - Accent1 2 3 5 3 2" xfId="15487" xr:uid="{37C8231C-9F38-41AE-84CF-72F5D991CDAC}"/>
    <cellStyle name="20% - Accent1 2 3 5 3 3" xfId="23928" xr:uid="{EFD28DB3-2008-4304-9170-CB070C7B338E}"/>
    <cellStyle name="20% - Accent1 2 3 5 3 4" xfId="32368" xr:uid="{DD189514-3E07-4A52-9BC7-943FBD5A3071}"/>
    <cellStyle name="20% - Accent1 2 3 5 4" xfId="11270" xr:uid="{5B604387-A8C0-4A12-B76E-AC00D63A6028}"/>
    <cellStyle name="20% - Accent1 2 3 5 5" xfId="19711" xr:uid="{55A50768-C684-4D3F-9F51-1D6EF49C7B9A}"/>
    <cellStyle name="20% - Accent1 2 3 5 6" xfId="28151" xr:uid="{37125BE5-6A38-4C5A-A909-5698ED3C9B68}"/>
    <cellStyle name="20% - Accent1 2 3 6" xfId="2268" xr:uid="{00000000-0005-0000-0000-00003C000000}"/>
    <cellStyle name="20% - Accent1 2 3 6 2" xfId="6574" xr:uid="{00000000-0005-0000-0000-00003D000000}"/>
    <cellStyle name="20% - Accent1 2 3 6 2 2" xfId="15900" xr:uid="{23F25930-CF63-4E86-AD46-377FE70C5EB7}"/>
    <cellStyle name="20% - Accent1 2 3 6 2 3" xfId="24341" xr:uid="{741DB81F-DA7C-4A89-A3D9-C8BB1D68A91F}"/>
    <cellStyle name="20% - Accent1 2 3 6 2 4" xfId="32781" xr:uid="{3E7F2C9E-78FE-4A2D-80CC-89607A51150B}"/>
    <cellStyle name="20% - Accent1 2 3 6 3" xfId="11683" xr:uid="{272A958E-2264-4440-8149-7D7FF29F1CC2}"/>
    <cellStyle name="20% - Accent1 2 3 6 4" xfId="20124" xr:uid="{1B3C46BB-3B85-4C65-B593-6C557108EF23}"/>
    <cellStyle name="20% - Accent1 2 3 6 5" xfId="28564" xr:uid="{0EBA0DC9-860E-4BDC-89DB-1936EAF807B7}"/>
    <cellStyle name="20% - Accent1 2 3 7" xfId="4508" xr:uid="{00000000-0005-0000-0000-00003E000000}"/>
    <cellStyle name="20% - Accent1 2 3 7 2" xfId="13834" xr:uid="{CD021070-CBBA-49D9-80C4-A2421A41FFB4}"/>
    <cellStyle name="20% - Accent1 2 3 7 3" xfId="22275" xr:uid="{61786E44-9044-4360-9E6F-28D2B1A66E3D}"/>
    <cellStyle name="20% - Accent1 2 3 7 4" xfId="30715" xr:uid="{1E9D9A40-A139-4C0B-97BB-6FC24FF0910D}"/>
    <cellStyle name="20% - Accent1 2 3 8" xfId="9004" xr:uid="{14A9C135-BB7B-44DD-97E1-B6B10773DEE2}"/>
    <cellStyle name="20% - Accent1 2 3 9" xfId="9617" xr:uid="{227B80DD-C7E6-4B3E-9C31-89C336F6B261}"/>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591146B3-C120-4F36-8BE3-B75F9FAB69D5}"/>
    <cellStyle name="20% - Accent1 2 4 2 2 3" xfId="24831" xr:uid="{E1EC8D9E-9F49-41A7-8E73-5CA0ED0D8119}"/>
    <cellStyle name="20% - Accent1 2 4 2 2 4" xfId="33271" xr:uid="{05A54F2F-535B-4C04-A4BE-EC39B4A267BD}"/>
    <cellStyle name="20% - Accent1 2 4 2 3" xfId="12173" xr:uid="{4FCA062A-0AC1-4B8E-878F-C1BD4EC5E8B9}"/>
    <cellStyle name="20% - Accent1 2 4 2 4" xfId="20614" xr:uid="{1B449811-F35E-4EA1-B346-857434E32154}"/>
    <cellStyle name="20% - Accent1 2 4 2 5" xfId="29054" xr:uid="{FB077D17-6523-428E-92DC-2803A9C8811C}"/>
    <cellStyle name="20% - Accent1 2 4 3" xfId="4919" xr:uid="{00000000-0005-0000-0000-000042000000}"/>
    <cellStyle name="20% - Accent1 2 4 3 2" xfId="14245" xr:uid="{1BE991C1-97AC-4BE9-8FE3-440D03FAD02A}"/>
    <cellStyle name="20% - Accent1 2 4 3 3" xfId="22686" xr:uid="{691559DC-569A-4C35-97D1-383D1FC02413}"/>
    <cellStyle name="20% - Accent1 2 4 3 4" xfId="31126" xr:uid="{5F8DB2D0-17E1-47C4-AA1E-144C6F584519}"/>
    <cellStyle name="20% - Accent1 2 4 4" xfId="9221" xr:uid="{11532E3F-E59C-4FF7-9F45-291A17A69435}"/>
    <cellStyle name="20% - Accent1 2 4 5" xfId="10028" xr:uid="{63550183-E96B-46B0-98F1-966A51B4F87E}"/>
    <cellStyle name="20% - Accent1 2 4 6" xfId="18469" xr:uid="{2D0C8332-879E-4E52-9182-095C17A09E9D}"/>
    <cellStyle name="20% - Accent1 2 4 7" xfId="26909" xr:uid="{4810A8BD-444A-4EA9-8BF4-C477F378ADC2}"/>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3196F5B7-89FC-4FA4-A32F-C39294EC5C1E}"/>
    <cellStyle name="20% - Accent1 2 5 2 2 3" xfId="25244" xr:uid="{DE7C4440-7E7D-43B2-AE5E-BBAC8D3EC083}"/>
    <cellStyle name="20% - Accent1 2 5 2 2 4" xfId="33684" xr:uid="{6457396B-E90B-4F1B-9283-ED27237D74AC}"/>
    <cellStyle name="20% - Accent1 2 5 2 3" xfId="12586" xr:uid="{D579FE0A-0439-4256-86FC-CC456F4C9964}"/>
    <cellStyle name="20% - Accent1 2 5 2 4" xfId="21027" xr:uid="{B9763E47-2FED-41CC-B198-A0D65A91F51E}"/>
    <cellStyle name="20% - Accent1 2 5 2 5" xfId="29467" xr:uid="{C7D3E53E-ADC5-4D3F-B7AC-BBDC0EBBF57A}"/>
    <cellStyle name="20% - Accent1 2 5 3" xfId="5332" xr:uid="{00000000-0005-0000-0000-000046000000}"/>
    <cellStyle name="20% - Accent1 2 5 3 2" xfId="14658" xr:uid="{AFE5A479-195B-4034-B0F5-4370068F5655}"/>
    <cellStyle name="20% - Accent1 2 5 3 3" xfId="23099" xr:uid="{922E6558-146F-4AB2-B209-7BAEA44878B6}"/>
    <cellStyle name="20% - Accent1 2 5 3 4" xfId="31539" xr:uid="{5ABAF747-569E-44A8-B43C-57ACC6767E32}"/>
    <cellStyle name="20% - Accent1 2 5 4" xfId="10441" xr:uid="{1AAC0C39-1EE4-4E7A-B31C-8F40080A6F4D}"/>
    <cellStyle name="20% - Accent1 2 5 5" xfId="18882" xr:uid="{94884559-8432-4391-8C20-F9699DBBBC30}"/>
    <cellStyle name="20% - Accent1 2 5 6" xfId="27322" xr:uid="{EAD121AC-CA4C-47ED-8ED2-7B2ED85EBFD6}"/>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DCA64CDE-438A-49AB-B064-93567340D18C}"/>
    <cellStyle name="20% - Accent1 2 6 2 2 3" xfId="25657" xr:uid="{25906BAA-66C9-4C4C-A227-8FE5A180B642}"/>
    <cellStyle name="20% - Accent1 2 6 2 2 4" xfId="34097" xr:uid="{913FD097-EA79-4774-9EBA-F20A8E410D43}"/>
    <cellStyle name="20% - Accent1 2 6 2 3" xfId="12999" xr:uid="{7A9B9605-9486-4519-98EC-38A90840EA06}"/>
    <cellStyle name="20% - Accent1 2 6 2 4" xfId="21440" xr:uid="{FADF1843-129D-4D7A-A1B2-97091295CF01}"/>
    <cellStyle name="20% - Accent1 2 6 2 5" xfId="29880" xr:uid="{01DFE35F-8538-4C24-8E5F-D3CDF1889397}"/>
    <cellStyle name="20% - Accent1 2 6 3" xfId="5745" xr:uid="{00000000-0005-0000-0000-00004A000000}"/>
    <cellStyle name="20% - Accent1 2 6 3 2" xfId="15071" xr:uid="{78BFCAAF-7B1F-4C5E-BA18-BB038CC40846}"/>
    <cellStyle name="20% - Accent1 2 6 3 3" xfId="23512" xr:uid="{268DB638-0A8D-48ED-B61B-22307FEAA061}"/>
    <cellStyle name="20% - Accent1 2 6 3 4" xfId="31952" xr:uid="{F1EA8B81-8B89-48D5-B095-E719675FBA71}"/>
    <cellStyle name="20% - Accent1 2 6 4" xfId="10854" xr:uid="{33089168-0691-425E-9A5E-2603DF024E48}"/>
    <cellStyle name="20% - Accent1 2 6 5" xfId="19295" xr:uid="{2E96AD41-708C-4E38-8800-619CF4534B1B}"/>
    <cellStyle name="20% - Accent1 2 6 6" xfId="27735" xr:uid="{DF46C13A-F8E6-40D8-9262-B2F482AEEACD}"/>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76316263-923B-4C30-9D58-C1E7539D6263}"/>
    <cellStyle name="20% - Accent1 2 7 2 2 3" xfId="26070" xr:uid="{D65F0C37-DFB7-44F2-AE53-5E8907A4C68F}"/>
    <cellStyle name="20% - Accent1 2 7 2 2 4" xfId="34510" xr:uid="{248BED5A-B67F-4626-8EF9-414023D4B552}"/>
    <cellStyle name="20% - Accent1 2 7 2 3" xfId="13412" xr:uid="{9B2ED5CC-9184-4337-888B-F943E08055ED}"/>
    <cellStyle name="20% - Accent1 2 7 2 4" xfId="21853" xr:uid="{0EDE7FD7-637C-4A71-9088-4A9758D7DE52}"/>
    <cellStyle name="20% - Accent1 2 7 2 5" xfId="30293" xr:uid="{06863316-3651-40F7-995A-C01CC7467935}"/>
    <cellStyle name="20% - Accent1 2 7 3" xfId="6158" xr:uid="{00000000-0005-0000-0000-00004E000000}"/>
    <cellStyle name="20% - Accent1 2 7 3 2" xfId="15484" xr:uid="{7565F9DF-9A63-40C4-8000-EC16F2C5D9DF}"/>
    <cellStyle name="20% - Accent1 2 7 3 3" xfId="23925" xr:uid="{DCF9C123-2F86-4025-85D2-2847FEE2BD82}"/>
    <cellStyle name="20% - Accent1 2 7 3 4" xfId="32365" xr:uid="{3CAA0529-BF69-4AD8-9F0C-2C8AA04D87E5}"/>
    <cellStyle name="20% - Accent1 2 7 4" xfId="11267" xr:uid="{7AF8D5AA-A1F4-491B-A5B6-7C2866F987A3}"/>
    <cellStyle name="20% - Accent1 2 7 5" xfId="19708" xr:uid="{293AEB89-69C5-4C67-8FA7-3027D62EAFC6}"/>
    <cellStyle name="20% - Accent1 2 7 6" xfId="28148" xr:uid="{404B0F27-CDA8-403B-BB32-BB999B373F7D}"/>
    <cellStyle name="20% - Accent1 2 8" xfId="2265" xr:uid="{00000000-0005-0000-0000-00004F000000}"/>
    <cellStyle name="20% - Accent1 2 8 2" xfId="6571" xr:uid="{00000000-0005-0000-0000-000050000000}"/>
    <cellStyle name="20% - Accent1 2 8 2 2" xfId="15897" xr:uid="{944DF067-0DCF-4492-98E5-95472E0FCE66}"/>
    <cellStyle name="20% - Accent1 2 8 2 3" xfId="24338" xr:uid="{D3A36B90-5D04-4E3B-8ADB-926AACBC03CD}"/>
    <cellStyle name="20% - Accent1 2 8 2 4" xfId="32778" xr:uid="{31087034-1F4E-49E2-A37F-5A65C7AB26E3}"/>
    <cellStyle name="20% - Accent1 2 8 3" xfId="11680" xr:uid="{31E28669-C7B7-410C-9823-B0B75192A593}"/>
    <cellStyle name="20% - Accent1 2 8 4" xfId="20121" xr:uid="{0F464ABF-C308-437B-A0A4-4914ACBC7093}"/>
    <cellStyle name="20% - Accent1 2 8 5" xfId="28561" xr:uid="{13FE4689-F2F3-4A4D-A353-389AA3BE5144}"/>
    <cellStyle name="20% - Accent1 2 9" xfId="4505" xr:uid="{00000000-0005-0000-0000-000051000000}"/>
    <cellStyle name="20% - Accent1 2 9 2" xfId="13831" xr:uid="{4CBFCF3E-4DB1-4C5D-8C51-10C55B88E1C5}"/>
    <cellStyle name="20% - Accent1 2 9 3" xfId="22272" xr:uid="{43D9A090-C825-4764-869B-0A1868659AE1}"/>
    <cellStyle name="20% - Accent1 2 9 4" xfId="30712" xr:uid="{3088D2F9-0E84-4C62-9FA8-05DB0C2463DE}"/>
    <cellStyle name="20% - Accent1 3" xfId="6" xr:uid="{00000000-0005-0000-0000-000052000000}"/>
    <cellStyle name="20% - Accent1 3 10" xfId="9618" xr:uid="{BEE18A81-1C72-44C9-90E0-C4A0EC2B62C6}"/>
    <cellStyle name="20% - Accent1 3 11" xfId="18059" xr:uid="{4466C3D9-CD02-4D7A-9064-FB608880EE90}"/>
    <cellStyle name="20% - Accent1 3 12" xfId="26499" xr:uid="{3D3260EA-9478-438E-9907-097BC926B7B8}"/>
    <cellStyle name="20% - Accent1 3 2" xfId="7" xr:uid="{00000000-0005-0000-0000-000053000000}"/>
    <cellStyle name="20% - Accent1 3 2 10" xfId="18060" xr:uid="{43117D93-2EC8-4687-AE02-0D9D3CBC7231}"/>
    <cellStyle name="20% - Accent1 3 2 11" xfId="26500" xr:uid="{79CFA2E7-E7BF-422D-8594-0339D722FF0B}"/>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E7F1DEDC-1C2B-4F7A-A52B-CBBE280540E3}"/>
    <cellStyle name="20% - Accent1 3 2 2 2 2 3" xfId="24836" xr:uid="{24374425-32C7-44CB-B412-CDCA7424E651}"/>
    <cellStyle name="20% - Accent1 3 2 2 2 2 4" xfId="33276" xr:uid="{58D2CCA9-BF19-40CB-AAEE-0C6179C6ECBB}"/>
    <cellStyle name="20% - Accent1 3 2 2 2 3" xfId="12178" xr:uid="{B1CF7A9A-AB37-4545-A91A-FFA4A77F0696}"/>
    <cellStyle name="20% - Accent1 3 2 2 2 4" xfId="20619" xr:uid="{5FD8EB3D-1BF8-494F-81C1-A248295C3DC5}"/>
    <cellStyle name="20% - Accent1 3 2 2 2 5" xfId="29059" xr:uid="{A81B1383-2FD7-431D-BE02-C5712064F2B6}"/>
    <cellStyle name="20% - Accent1 3 2 2 3" xfId="4924" xr:uid="{00000000-0005-0000-0000-000057000000}"/>
    <cellStyle name="20% - Accent1 3 2 2 3 2" xfId="14250" xr:uid="{79653C9A-DAEF-4230-8A73-BBDD7232FD42}"/>
    <cellStyle name="20% - Accent1 3 2 2 3 3" xfId="22691" xr:uid="{FE05836A-131C-4D34-AE20-BE86E3983419}"/>
    <cellStyle name="20% - Accent1 3 2 2 3 4" xfId="31131" xr:uid="{23D2FF96-19FD-471C-9486-8459847823F5}"/>
    <cellStyle name="20% - Accent1 3 2 2 4" xfId="9493" xr:uid="{FCEFE71D-2A04-4899-B62A-B225DBF7F0BF}"/>
    <cellStyle name="20% - Accent1 3 2 2 5" xfId="10033" xr:uid="{FEE84313-B0E9-4039-BFD9-FE76114F5655}"/>
    <cellStyle name="20% - Accent1 3 2 2 6" xfId="18474" xr:uid="{90F0ED7A-6C34-4A57-A763-97D5EB568D01}"/>
    <cellStyle name="20% - Accent1 3 2 2 7" xfId="26914" xr:uid="{43970D22-5648-4367-A59E-4CA6E50AE2D4}"/>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BFFC8076-ACA7-43DE-8168-56ED34F7E513}"/>
    <cellStyle name="20% - Accent1 3 2 3 2 2 3" xfId="25249" xr:uid="{EE6F3BF0-1CE4-44BE-9022-B3FAB8DD8F9C}"/>
    <cellStyle name="20% - Accent1 3 2 3 2 2 4" xfId="33689" xr:uid="{043C9F6F-0DD8-46B5-A055-E25B86967779}"/>
    <cellStyle name="20% - Accent1 3 2 3 2 3" xfId="12591" xr:uid="{DA850E63-4565-404B-B890-1BC0A66F844E}"/>
    <cellStyle name="20% - Accent1 3 2 3 2 4" xfId="21032" xr:uid="{A3BCB508-F365-47FA-A19D-0B20006FE2CA}"/>
    <cellStyle name="20% - Accent1 3 2 3 2 5" xfId="29472" xr:uid="{9A2FD03B-5198-4143-95B5-D5C7D9A8700F}"/>
    <cellStyle name="20% - Accent1 3 2 3 3" xfId="5337" xr:uid="{00000000-0005-0000-0000-00005B000000}"/>
    <cellStyle name="20% - Accent1 3 2 3 3 2" xfId="14663" xr:uid="{8CE4408F-8951-4765-B727-AA6BC0DDDB2A}"/>
    <cellStyle name="20% - Accent1 3 2 3 3 3" xfId="23104" xr:uid="{B20DE455-ABC9-4F73-869B-FC55EA552A1D}"/>
    <cellStyle name="20% - Accent1 3 2 3 3 4" xfId="31544" xr:uid="{FCF20B8F-B50C-4F26-8DEA-EF6670F846C4}"/>
    <cellStyle name="20% - Accent1 3 2 3 4" xfId="10446" xr:uid="{C8F0EE72-8F1E-4971-AE75-48080D61EC7B}"/>
    <cellStyle name="20% - Accent1 3 2 3 5" xfId="18887" xr:uid="{07575C33-2597-4D15-894C-628F36FF1A0D}"/>
    <cellStyle name="20% - Accent1 3 2 3 6" xfId="27327" xr:uid="{67E1717C-E403-49B2-86CC-712FEB294F50}"/>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4A57965A-CFB8-4944-B317-54834E265B8A}"/>
    <cellStyle name="20% - Accent1 3 2 4 2 2 3" xfId="25662" xr:uid="{F009FF38-65E6-4A6A-B59C-6F7A79E9240C}"/>
    <cellStyle name="20% - Accent1 3 2 4 2 2 4" xfId="34102" xr:uid="{CF557C52-58CA-4080-A251-5B368D06AF61}"/>
    <cellStyle name="20% - Accent1 3 2 4 2 3" xfId="13004" xr:uid="{354ACFBE-14B4-4FC7-A42C-F7C9EDA9F849}"/>
    <cellStyle name="20% - Accent1 3 2 4 2 4" xfId="21445" xr:uid="{7DCBF334-ABC1-416B-B860-C4441E82BD48}"/>
    <cellStyle name="20% - Accent1 3 2 4 2 5" xfId="29885" xr:uid="{15E4E5CC-261F-4CB0-95F0-2FCD064FC13B}"/>
    <cellStyle name="20% - Accent1 3 2 4 3" xfId="5750" xr:uid="{00000000-0005-0000-0000-00005F000000}"/>
    <cellStyle name="20% - Accent1 3 2 4 3 2" xfId="15076" xr:uid="{EF3E03D3-14B9-44B8-9320-153C92490CB0}"/>
    <cellStyle name="20% - Accent1 3 2 4 3 3" xfId="23517" xr:uid="{F764FB7D-E122-4318-8846-EF913CE99EED}"/>
    <cellStyle name="20% - Accent1 3 2 4 3 4" xfId="31957" xr:uid="{52A01C20-EEBE-4FBA-ACD4-39C5D5F5A2E6}"/>
    <cellStyle name="20% - Accent1 3 2 4 4" xfId="10859" xr:uid="{FFBA0F85-9F6F-47A4-92B7-7F93F5A50636}"/>
    <cellStyle name="20% - Accent1 3 2 4 5" xfId="19300" xr:uid="{0F04AF80-82BB-4A0D-A435-308F0346FC27}"/>
    <cellStyle name="20% - Accent1 3 2 4 6" xfId="27740" xr:uid="{5CE3FA4F-020F-4C13-9AFD-8D873099BF5E}"/>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1645E660-D93E-4E23-815E-468A59EEAA6E}"/>
    <cellStyle name="20% - Accent1 3 2 5 2 2 3" xfId="26075" xr:uid="{090BE321-2309-46AA-9231-63CF8028A0BC}"/>
    <cellStyle name="20% - Accent1 3 2 5 2 2 4" xfId="34515" xr:uid="{47DCEBAD-F4CB-4235-960D-006DBEE06952}"/>
    <cellStyle name="20% - Accent1 3 2 5 2 3" xfId="13417" xr:uid="{AEF27624-D161-4CB0-BBF6-28B03BA18BAF}"/>
    <cellStyle name="20% - Accent1 3 2 5 2 4" xfId="21858" xr:uid="{04F2436D-8358-4B69-B9D4-B301BBB25BB1}"/>
    <cellStyle name="20% - Accent1 3 2 5 2 5" xfId="30298" xr:uid="{32BA9F0C-5BE5-442A-9A6B-EBE1EE486CE3}"/>
    <cellStyle name="20% - Accent1 3 2 5 3" xfId="6163" xr:uid="{00000000-0005-0000-0000-000063000000}"/>
    <cellStyle name="20% - Accent1 3 2 5 3 2" xfId="15489" xr:uid="{50781586-F2F6-4BC8-B6D5-57A706C1CBCA}"/>
    <cellStyle name="20% - Accent1 3 2 5 3 3" xfId="23930" xr:uid="{0E45B8D4-764D-4AE1-8322-B6D008206199}"/>
    <cellStyle name="20% - Accent1 3 2 5 3 4" xfId="32370" xr:uid="{4B40A0AF-288B-42A6-BF60-26A6254C9EBD}"/>
    <cellStyle name="20% - Accent1 3 2 5 4" xfId="11272" xr:uid="{5AD6BE24-0A76-48D2-B514-373C1AB723C4}"/>
    <cellStyle name="20% - Accent1 3 2 5 5" xfId="19713" xr:uid="{003EB3B7-AF5B-4679-858A-FAA0290B2837}"/>
    <cellStyle name="20% - Accent1 3 2 5 6" xfId="28153" xr:uid="{F17386BE-D038-4817-B2DD-09713E394E39}"/>
    <cellStyle name="20% - Accent1 3 2 6" xfId="2270" xr:uid="{00000000-0005-0000-0000-000064000000}"/>
    <cellStyle name="20% - Accent1 3 2 6 2" xfId="6576" xr:uid="{00000000-0005-0000-0000-000065000000}"/>
    <cellStyle name="20% - Accent1 3 2 6 2 2" xfId="15902" xr:uid="{954A473C-4130-460F-947F-B4FE636739BA}"/>
    <cellStyle name="20% - Accent1 3 2 6 2 3" xfId="24343" xr:uid="{8E9C4D14-1A19-4078-ABF5-9A687C956739}"/>
    <cellStyle name="20% - Accent1 3 2 6 2 4" xfId="32783" xr:uid="{D3FA1253-7F4D-4671-ADD4-D861D84CE346}"/>
    <cellStyle name="20% - Accent1 3 2 6 3" xfId="11685" xr:uid="{03ECCC1C-CBF1-4DD8-9E03-434C96757334}"/>
    <cellStyle name="20% - Accent1 3 2 6 4" xfId="20126" xr:uid="{8725F2C6-EB8D-46DE-BCDE-CB588E1DF9FC}"/>
    <cellStyle name="20% - Accent1 3 2 6 5" xfId="28566" xr:uid="{1E3C120C-AC68-4566-8359-07A9D8F93953}"/>
    <cellStyle name="20% - Accent1 3 2 7" xfId="4510" xr:uid="{00000000-0005-0000-0000-000066000000}"/>
    <cellStyle name="20% - Accent1 3 2 7 2" xfId="13836" xr:uid="{23046DE4-4629-4B79-866A-B85DD209B3D6}"/>
    <cellStyle name="20% - Accent1 3 2 7 3" xfId="22277" xr:uid="{9A07864C-02D6-4325-BC06-787C2A497FF4}"/>
    <cellStyle name="20% - Accent1 3 2 7 4" xfId="30717" xr:uid="{5B1AF9EC-661B-458E-8F05-7A0B80224DAE}"/>
    <cellStyle name="20% - Accent1 3 2 8" xfId="9068" xr:uid="{354460C9-AD38-4FCD-882B-4DFB81DE5890}"/>
    <cellStyle name="20% - Accent1 3 2 9" xfId="9619" xr:uid="{50012234-51C0-40D1-B7DB-3FD942EC4FF9}"/>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6CA969FE-4FCB-46D0-94A7-EA82B8087ABE}"/>
    <cellStyle name="20% - Accent1 3 3 2 2 3" xfId="24835" xr:uid="{BBB40EF1-F1D2-458E-B69E-96D4BA8BF544}"/>
    <cellStyle name="20% - Accent1 3 3 2 2 4" xfId="33275" xr:uid="{9F336D23-C13D-4440-B20C-9EF6FB2D0987}"/>
    <cellStyle name="20% - Accent1 3 3 2 3" xfId="12177" xr:uid="{7A3C1F8E-0348-4057-8A0F-D22F30DB6933}"/>
    <cellStyle name="20% - Accent1 3 3 2 4" xfId="20618" xr:uid="{C7150247-A8AF-4446-8DB1-722965D3F487}"/>
    <cellStyle name="20% - Accent1 3 3 2 5" xfId="29058" xr:uid="{F927D80B-B395-4A38-BFB5-3C2C2A8033B9}"/>
    <cellStyle name="20% - Accent1 3 3 3" xfId="4923" xr:uid="{00000000-0005-0000-0000-00006A000000}"/>
    <cellStyle name="20% - Accent1 3 3 3 2" xfId="14249" xr:uid="{1F53535E-B06D-42E3-954E-F566F1A8F0F8}"/>
    <cellStyle name="20% - Accent1 3 3 3 3" xfId="22690" xr:uid="{FB44C340-A171-4D53-9AEB-EA05ED9DFADC}"/>
    <cellStyle name="20% - Accent1 3 3 3 4" xfId="31130" xr:uid="{4A8B54AF-503C-4E9B-A647-66D7D269A851}"/>
    <cellStyle name="20% - Accent1 3 3 4" xfId="9286" xr:uid="{B5220C4B-EBE7-4AD0-9A24-7F16FA378184}"/>
    <cellStyle name="20% - Accent1 3 3 5" xfId="10032" xr:uid="{82AB8611-092C-4B47-9322-0622743DAB91}"/>
    <cellStyle name="20% - Accent1 3 3 6" xfId="18473" xr:uid="{37B416CF-6922-4D60-8569-9E964CB12011}"/>
    <cellStyle name="20% - Accent1 3 3 7" xfId="26913" xr:uid="{CD6366B6-B230-44F0-A050-CD7B51AF79E3}"/>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27E226F6-A432-4B9E-A0D9-88792D63E186}"/>
    <cellStyle name="20% - Accent1 3 4 2 2 3" xfId="25248" xr:uid="{6C417333-81A7-4D7C-B61F-888538D6D2C0}"/>
    <cellStyle name="20% - Accent1 3 4 2 2 4" xfId="33688" xr:uid="{71B694A0-4089-43DF-9F25-75C736219C40}"/>
    <cellStyle name="20% - Accent1 3 4 2 3" xfId="12590" xr:uid="{B2D2A10B-58BC-4438-A67F-CCA53C01623A}"/>
    <cellStyle name="20% - Accent1 3 4 2 4" xfId="21031" xr:uid="{EC8BFCB4-7F45-4257-B8EF-39CE070A00F4}"/>
    <cellStyle name="20% - Accent1 3 4 2 5" xfId="29471" xr:uid="{4683456B-B758-4681-AC85-2BFE763345A9}"/>
    <cellStyle name="20% - Accent1 3 4 3" xfId="5336" xr:uid="{00000000-0005-0000-0000-00006E000000}"/>
    <cellStyle name="20% - Accent1 3 4 3 2" xfId="14662" xr:uid="{DA189561-4406-425E-927E-5EDF2700B0BD}"/>
    <cellStyle name="20% - Accent1 3 4 3 3" xfId="23103" xr:uid="{D075373F-D325-456C-B8E7-B60A7C1789CE}"/>
    <cellStyle name="20% - Accent1 3 4 3 4" xfId="31543" xr:uid="{4D3D4DAF-09B1-466F-8AFC-54B4F2C22B1A}"/>
    <cellStyle name="20% - Accent1 3 4 4" xfId="10445" xr:uid="{26F534E1-A852-4088-9DC8-0AEEB6EF9D3F}"/>
    <cellStyle name="20% - Accent1 3 4 5" xfId="18886" xr:uid="{134AC43D-B0BF-42B5-8C63-D984A8795EB8}"/>
    <cellStyle name="20% - Accent1 3 4 6" xfId="27326" xr:uid="{E9B8A627-EE6F-45FF-9985-5878D3FDA7E2}"/>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484068B6-C8DB-4066-81B7-10708A2C42EE}"/>
    <cellStyle name="20% - Accent1 3 5 2 2 3" xfId="25661" xr:uid="{2CB1939D-026D-4489-95FB-B5B26D562FC3}"/>
    <cellStyle name="20% - Accent1 3 5 2 2 4" xfId="34101" xr:uid="{D7298D03-E492-41D0-A44E-98F1BA6B1814}"/>
    <cellStyle name="20% - Accent1 3 5 2 3" xfId="13003" xr:uid="{6E145C00-84D0-4BEE-A439-57332CCFEBDD}"/>
    <cellStyle name="20% - Accent1 3 5 2 4" xfId="21444" xr:uid="{F912E164-32D2-4292-A172-8A464199DE0B}"/>
    <cellStyle name="20% - Accent1 3 5 2 5" xfId="29884" xr:uid="{91B361CE-CE21-474F-8083-0273D26BF9FC}"/>
    <cellStyle name="20% - Accent1 3 5 3" xfId="5749" xr:uid="{00000000-0005-0000-0000-000072000000}"/>
    <cellStyle name="20% - Accent1 3 5 3 2" xfId="15075" xr:uid="{EE12EFD9-C391-4CA9-9F2A-5589F66F89B8}"/>
    <cellStyle name="20% - Accent1 3 5 3 3" xfId="23516" xr:uid="{3433B612-1D5D-4BE7-86B6-904A0CE861D8}"/>
    <cellStyle name="20% - Accent1 3 5 3 4" xfId="31956" xr:uid="{76A2A73C-48CF-44A0-8D6E-DC8B0F8A7C6F}"/>
    <cellStyle name="20% - Accent1 3 5 4" xfId="10858" xr:uid="{CEC97615-7F9B-4BFB-84CB-4D01C7CE30E6}"/>
    <cellStyle name="20% - Accent1 3 5 5" xfId="19299" xr:uid="{BA69916F-06E3-4137-BF9A-91068014C030}"/>
    <cellStyle name="20% - Accent1 3 5 6" xfId="27739" xr:uid="{28DA9D01-1328-4C16-8E7E-40F655C7A766}"/>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857415B5-8437-42DB-B07A-9DDF67CF2AB1}"/>
    <cellStyle name="20% - Accent1 3 6 2 2 3" xfId="26074" xr:uid="{01255AA1-4623-463A-975E-F43F891526B1}"/>
    <cellStyle name="20% - Accent1 3 6 2 2 4" xfId="34514" xr:uid="{E6260D5E-3642-4B26-AB8B-53689931ABCB}"/>
    <cellStyle name="20% - Accent1 3 6 2 3" xfId="13416" xr:uid="{C0B038F0-D513-462A-8597-4DC401FF27F3}"/>
    <cellStyle name="20% - Accent1 3 6 2 4" xfId="21857" xr:uid="{FB98BF08-3EF8-46F9-933E-5BC2A86B57FD}"/>
    <cellStyle name="20% - Accent1 3 6 2 5" xfId="30297" xr:uid="{BFAE193B-7AA3-47CC-A1C3-229822E486D6}"/>
    <cellStyle name="20% - Accent1 3 6 3" xfId="6162" xr:uid="{00000000-0005-0000-0000-000076000000}"/>
    <cellStyle name="20% - Accent1 3 6 3 2" xfId="15488" xr:uid="{6952B3D6-38BF-4ECE-8CB2-301FC37529CA}"/>
    <cellStyle name="20% - Accent1 3 6 3 3" xfId="23929" xr:uid="{AE105150-9DEC-49A9-A310-88D167389601}"/>
    <cellStyle name="20% - Accent1 3 6 3 4" xfId="32369" xr:uid="{3DA26C1F-1ACD-4746-B001-25368145F327}"/>
    <cellStyle name="20% - Accent1 3 6 4" xfId="11271" xr:uid="{7EBEC81F-C188-4ABC-85C2-72D1B42366BB}"/>
    <cellStyle name="20% - Accent1 3 6 5" xfId="19712" xr:uid="{B8BE514B-6D02-480E-839A-FEA23FC1D13F}"/>
    <cellStyle name="20% - Accent1 3 6 6" xfId="28152" xr:uid="{1F9DE783-5DB0-45E1-AFA1-88DF4C244182}"/>
    <cellStyle name="20% - Accent1 3 7" xfId="2269" xr:uid="{00000000-0005-0000-0000-000077000000}"/>
    <cellStyle name="20% - Accent1 3 7 2" xfId="6575" xr:uid="{00000000-0005-0000-0000-000078000000}"/>
    <cellStyle name="20% - Accent1 3 7 2 2" xfId="15901" xr:uid="{F21D8047-7BEF-4E85-AED7-13146276AD6C}"/>
    <cellStyle name="20% - Accent1 3 7 2 3" xfId="24342" xr:uid="{F9CC0818-822E-4F63-B6B8-F90F5D10573F}"/>
    <cellStyle name="20% - Accent1 3 7 2 4" xfId="32782" xr:uid="{C1A19B05-D744-4623-9FA8-44F5361CF75B}"/>
    <cellStyle name="20% - Accent1 3 7 3" xfId="11684" xr:uid="{49D6F925-5B20-4F38-B2AB-04E90B75457B}"/>
    <cellStyle name="20% - Accent1 3 7 4" xfId="20125" xr:uid="{1B548894-3186-42EC-903D-36B49953D79A}"/>
    <cellStyle name="20% - Accent1 3 7 5" xfId="28565" xr:uid="{FCB152DC-B79E-40CF-AE57-93CDB2FC6A41}"/>
    <cellStyle name="20% - Accent1 3 8" xfId="4509" xr:uid="{00000000-0005-0000-0000-000079000000}"/>
    <cellStyle name="20% - Accent1 3 8 2" xfId="13835" xr:uid="{A36C5856-E0D9-4EE6-A81C-5940EA38D713}"/>
    <cellStyle name="20% - Accent1 3 8 3" xfId="22276" xr:uid="{6BAEA240-73ED-467B-8E09-7E345069702B}"/>
    <cellStyle name="20% - Accent1 3 8 4" xfId="30716" xr:uid="{F710E85A-F979-46F1-A7B3-518ECB4F7C5E}"/>
    <cellStyle name="20% - Accent1 3 9" xfId="8861" xr:uid="{C1B75176-75E3-4E31-86A7-851E7FD67A9E}"/>
    <cellStyle name="20% - Accent1 4" xfId="8" xr:uid="{00000000-0005-0000-0000-00007A000000}"/>
    <cellStyle name="20% - Accent1 4 10" xfId="18061" xr:uid="{F48FFF4F-BF8C-4880-8449-90B95426CEC6}"/>
    <cellStyle name="20% - Accent1 4 11" xfId="26501" xr:uid="{9B3B2063-7C30-44A1-A1E8-DF4D09B1810A}"/>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ADDAAB6C-220B-4247-8D18-B44E021DFB13}"/>
    <cellStyle name="20% - Accent1 4 2 2 2 3" xfId="24837" xr:uid="{A8EA7187-70D6-4E7B-8C96-F4C59CE35051}"/>
    <cellStyle name="20% - Accent1 4 2 2 2 4" xfId="33277" xr:uid="{F2D2E6FE-6F4B-401E-AB38-4407B7BA1A1D}"/>
    <cellStyle name="20% - Accent1 4 2 2 3" xfId="12179" xr:uid="{E817C341-6064-4215-B66A-4AD4BCE35CA3}"/>
    <cellStyle name="20% - Accent1 4 2 2 4" xfId="20620" xr:uid="{2B0D65DD-495D-434D-9975-E6CB0519BDDA}"/>
    <cellStyle name="20% - Accent1 4 2 2 5" xfId="29060" xr:uid="{BA4AA6FA-DA0A-43DF-B8CA-F97EB3778E9B}"/>
    <cellStyle name="20% - Accent1 4 2 3" xfId="4925" xr:uid="{00000000-0005-0000-0000-00007E000000}"/>
    <cellStyle name="20% - Accent1 4 2 3 2" xfId="14251" xr:uid="{D9FDF6C0-1325-44A0-A9BA-8D064644548C}"/>
    <cellStyle name="20% - Accent1 4 2 3 3" xfId="22692" xr:uid="{6E5047E8-43F0-43ED-98A2-DD486C175FD6}"/>
    <cellStyle name="20% - Accent1 4 2 3 4" xfId="31132" xr:uid="{25E096F4-D393-47F9-8C41-B47EBCEC456D}"/>
    <cellStyle name="20% - Accent1 4 2 4" xfId="9372" xr:uid="{E6B08341-6F7D-4580-9BCF-4BFC252FAE31}"/>
    <cellStyle name="20% - Accent1 4 2 5" xfId="10034" xr:uid="{5AAA414C-9F0A-4777-976C-78E84D7072CC}"/>
    <cellStyle name="20% - Accent1 4 2 6" xfId="18475" xr:uid="{A502A94F-4D2A-44A6-9671-47998D6B43D6}"/>
    <cellStyle name="20% - Accent1 4 2 7" xfId="26915" xr:uid="{52825A1C-B21B-4AF5-B4F8-A3D524AD02C8}"/>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B4DF605E-4C47-4BD1-A942-B4991DBAE26D}"/>
    <cellStyle name="20% - Accent1 4 3 2 2 3" xfId="25250" xr:uid="{B5C7B6A3-E2F1-4C49-867C-488D6189CFE3}"/>
    <cellStyle name="20% - Accent1 4 3 2 2 4" xfId="33690" xr:uid="{79DCC4F8-1C14-4922-8634-E1F5EB8F3844}"/>
    <cellStyle name="20% - Accent1 4 3 2 3" xfId="12592" xr:uid="{6E45488D-600D-4B95-AE42-C2D1E9AD78DC}"/>
    <cellStyle name="20% - Accent1 4 3 2 4" xfId="21033" xr:uid="{BD2D15FE-5693-45A5-A643-72E01652606A}"/>
    <cellStyle name="20% - Accent1 4 3 2 5" xfId="29473" xr:uid="{3A1120DB-C9AD-479C-9F67-7EE299EC24A2}"/>
    <cellStyle name="20% - Accent1 4 3 3" xfId="5338" xr:uid="{00000000-0005-0000-0000-000082000000}"/>
    <cellStyle name="20% - Accent1 4 3 3 2" xfId="14664" xr:uid="{4EA381D3-8DC9-47CC-9FA8-CC01AA9FA297}"/>
    <cellStyle name="20% - Accent1 4 3 3 3" xfId="23105" xr:uid="{13B6AB06-C97E-4EEC-B44D-D38703C30901}"/>
    <cellStyle name="20% - Accent1 4 3 3 4" xfId="31545" xr:uid="{56C1D7FE-E018-4EF4-BC66-E7C6742489B6}"/>
    <cellStyle name="20% - Accent1 4 3 4" xfId="10447" xr:uid="{A7F56A36-BD16-4E23-9620-D02C35166E33}"/>
    <cellStyle name="20% - Accent1 4 3 5" xfId="18888" xr:uid="{8262B50D-733F-4B69-A59E-A08259DCC7C1}"/>
    <cellStyle name="20% - Accent1 4 3 6" xfId="27328" xr:uid="{C844CB6E-DB67-4235-8CFB-CD5C7A094C26}"/>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48021031-EE78-4BD1-A514-13458A2A88AC}"/>
    <cellStyle name="20% - Accent1 4 4 2 2 3" xfId="25663" xr:uid="{E0686081-C102-4729-B033-FEC4E5CDDF37}"/>
    <cellStyle name="20% - Accent1 4 4 2 2 4" xfId="34103" xr:uid="{E00C8277-9A63-45BD-9357-AB59D5239B90}"/>
    <cellStyle name="20% - Accent1 4 4 2 3" xfId="13005" xr:uid="{70A561FE-A8A6-4200-9A3A-1E40667BA3A6}"/>
    <cellStyle name="20% - Accent1 4 4 2 4" xfId="21446" xr:uid="{92CD33A8-8C48-457F-91EA-894AABBBB1D5}"/>
    <cellStyle name="20% - Accent1 4 4 2 5" xfId="29886" xr:uid="{4F3DA739-E6F0-44EE-9ACE-0F524DEC474D}"/>
    <cellStyle name="20% - Accent1 4 4 3" xfId="5751" xr:uid="{00000000-0005-0000-0000-000086000000}"/>
    <cellStyle name="20% - Accent1 4 4 3 2" xfId="15077" xr:uid="{21CED869-D362-4F88-8DD9-6B9CAD393950}"/>
    <cellStyle name="20% - Accent1 4 4 3 3" xfId="23518" xr:uid="{D2747573-30AE-41B3-BC02-71A91E97D739}"/>
    <cellStyle name="20% - Accent1 4 4 3 4" xfId="31958" xr:uid="{C56715C7-70C0-48EF-810F-5C674E8DA249}"/>
    <cellStyle name="20% - Accent1 4 4 4" xfId="10860" xr:uid="{1A2A0F09-B2EF-41FC-88DF-2BB7E1DDB417}"/>
    <cellStyle name="20% - Accent1 4 4 5" xfId="19301" xr:uid="{19565678-F797-403C-BA28-A637E99C31F6}"/>
    <cellStyle name="20% - Accent1 4 4 6" xfId="27741" xr:uid="{5E95878C-B41C-4EA8-A7F0-C4581F4A40FF}"/>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DD26FB5A-31A0-4BE0-A39F-8D8AB95C2CFF}"/>
    <cellStyle name="20% - Accent1 4 5 2 2 3" xfId="26076" xr:uid="{E4B4B7AC-7850-4FD0-A4E2-2A78AD72F455}"/>
    <cellStyle name="20% - Accent1 4 5 2 2 4" xfId="34516" xr:uid="{73E2794D-723E-4290-8F28-9E0DEA423E45}"/>
    <cellStyle name="20% - Accent1 4 5 2 3" xfId="13418" xr:uid="{E594AF63-34D0-459B-9AB1-E1F344CF35B3}"/>
    <cellStyle name="20% - Accent1 4 5 2 4" xfId="21859" xr:uid="{2A73C783-655D-450D-ADA0-3A29809CB856}"/>
    <cellStyle name="20% - Accent1 4 5 2 5" xfId="30299" xr:uid="{BB8E537E-F399-43B6-A4AF-A6654FD3E6C4}"/>
    <cellStyle name="20% - Accent1 4 5 3" xfId="6164" xr:uid="{00000000-0005-0000-0000-00008A000000}"/>
    <cellStyle name="20% - Accent1 4 5 3 2" xfId="15490" xr:uid="{B9613BAE-8B70-4AA4-8754-AB918DB8035A}"/>
    <cellStyle name="20% - Accent1 4 5 3 3" xfId="23931" xr:uid="{F53DB5B9-8AE2-49AC-985E-B862F4E67212}"/>
    <cellStyle name="20% - Accent1 4 5 3 4" xfId="32371" xr:uid="{6D4A61C0-C427-4785-90BC-79A922D71B5B}"/>
    <cellStyle name="20% - Accent1 4 5 4" xfId="11273" xr:uid="{F6C6DD7C-E34C-494F-9A93-C0492A398F93}"/>
    <cellStyle name="20% - Accent1 4 5 5" xfId="19714" xr:uid="{AA1F6E5E-A288-4974-813F-685B62248307}"/>
    <cellStyle name="20% - Accent1 4 5 6" xfId="28154" xr:uid="{823A3AFF-D88D-448C-9551-435E4A7CB6FE}"/>
    <cellStyle name="20% - Accent1 4 6" xfId="2271" xr:uid="{00000000-0005-0000-0000-00008B000000}"/>
    <cellStyle name="20% - Accent1 4 6 2" xfId="6577" xr:uid="{00000000-0005-0000-0000-00008C000000}"/>
    <cellStyle name="20% - Accent1 4 6 2 2" xfId="15903" xr:uid="{EA1F3B48-9731-4DD6-A60A-85D4CDD2A97B}"/>
    <cellStyle name="20% - Accent1 4 6 2 3" xfId="24344" xr:uid="{E7E0455E-F094-4534-A90D-F1A98E4235C0}"/>
    <cellStyle name="20% - Accent1 4 6 2 4" xfId="32784" xr:uid="{B7A8279A-9C53-4B3D-B42B-E14B92F6F15E}"/>
    <cellStyle name="20% - Accent1 4 6 3" xfId="11686" xr:uid="{B0B8CC8E-CA88-45AD-8C00-137FFD48D9FF}"/>
    <cellStyle name="20% - Accent1 4 6 4" xfId="20127" xr:uid="{2E437B34-AAAF-44B4-82CD-1DA39009DC8A}"/>
    <cellStyle name="20% - Accent1 4 6 5" xfId="28567" xr:uid="{61E22304-7510-4508-A1A0-8285A0AE533F}"/>
    <cellStyle name="20% - Accent1 4 7" xfId="4511" xr:uid="{00000000-0005-0000-0000-00008D000000}"/>
    <cellStyle name="20% - Accent1 4 7 2" xfId="13837" xr:uid="{1A39F03B-212E-442A-81D3-91AF19989381}"/>
    <cellStyle name="20% - Accent1 4 7 3" xfId="22278" xr:uid="{8D2EF0AD-4C2D-4EF9-9ED7-A9345838F998}"/>
    <cellStyle name="20% - Accent1 4 7 4" xfId="30718" xr:uid="{CF0D1B14-05A1-441F-97FA-DAD173E3D836}"/>
    <cellStyle name="20% - Accent1 4 8" xfId="8947" xr:uid="{1FCDBFE2-CC86-42DD-AD9B-D3EAF476002E}"/>
    <cellStyle name="20% - Accent1 4 9" xfId="9620" xr:uid="{FB7FF79D-959E-4B26-9160-5965176BE273}"/>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FE49BC5B-B19A-42CE-B2DA-49F220A607B6}"/>
    <cellStyle name="20% - Accent1 5 2 2 3" xfId="24830" xr:uid="{A848C917-FFB3-46F5-818F-37A7EFD12622}"/>
    <cellStyle name="20% - Accent1 5 2 2 4" xfId="33270" xr:uid="{EF43471F-FFC0-4FD2-A5C6-CB71E6A2C9C0}"/>
    <cellStyle name="20% - Accent1 5 2 3" xfId="12172" xr:uid="{A8CD11CE-9418-402B-947B-8DC66530DF29}"/>
    <cellStyle name="20% - Accent1 5 2 4" xfId="20613" xr:uid="{B75B722D-C160-4334-9316-3C8C2453F1B0}"/>
    <cellStyle name="20% - Accent1 5 2 5" xfId="29053" xr:uid="{BFD0EC41-F98D-4A30-B280-5C011FA6DBD0}"/>
    <cellStyle name="20% - Accent1 5 3" xfId="4918" xr:uid="{00000000-0005-0000-0000-000091000000}"/>
    <cellStyle name="20% - Accent1 5 3 2" xfId="14244" xr:uid="{E5CAC4B2-D6F6-4EB5-BA0F-F5718A85E9B2}"/>
    <cellStyle name="20% - Accent1 5 3 3" xfId="22685" xr:uid="{D4741A23-DABD-4F91-8105-25DF2727981D}"/>
    <cellStyle name="20% - Accent1 5 3 4" xfId="31125" xr:uid="{9AA665F0-9035-4FB7-94DE-4C5809D288FC}"/>
    <cellStyle name="20% - Accent1 5 4" xfId="9180" xr:uid="{D0AEF57E-25E3-47C5-B910-DC1A0019F498}"/>
    <cellStyle name="20% - Accent1 5 5" xfId="10027" xr:uid="{497EFFDF-32AB-49C4-82BD-7D1144FA589A}"/>
    <cellStyle name="20% - Accent1 5 6" xfId="18468" xr:uid="{189B1922-C0B8-470E-AA16-DCDE46365473}"/>
    <cellStyle name="20% - Accent1 5 7" xfId="26908" xr:uid="{880B7161-4C0C-47D6-94B1-4556F3315435}"/>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AD879EFB-683C-4183-A12A-1D359029CE1D}"/>
    <cellStyle name="20% - Accent1 6 2 2 3" xfId="25243" xr:uid="{BC776175-BB01-4A4A-AE39-81B9D0294D8D}"/>
    <cellStyle name="20% - Accent1 6 2 2 4" xfId="33683" xr:uid="{B341955C-2B96-4628-BE1A-220886456D83}"/>
    <cellStyle name="20% - Accent1 6 2 3" xfId="12585" xr:uid="{5817429B-83FC-4FFE-8330-980FB3B96848}"/>
    <cellStyle name="20% - Accent1 6 2 4" xfId="21026" xr:uid="{4B2E3285-65A4-4DA0-BC48-103041B3EA77}"/>
    <cellStyle name="20% - Accent1 6 2 5" xfId="29466" xr:uid="{4A19EF13-091B-4605-BB49-727122F19BD7}"/>
    <cellStyle name="20% - Accent1 6 3" xfId="5331" xr:uid="{00000000-0005-0000-0000-000095000000}"/>
    <cellStyle name="20% - Accent1 6 3 2" xfId="14657" xr:uid="{3D06E5E1-D18E-42F4-B5C2-4D7C73C8E365}"/>
    <cellStyle name="20% - Accent1 6 3 3" xfId="23098" xr:uid="{2232361C-B3BD-49EB-AC8B-32BF8876487C}"/>
    <cellStyle name="20% - Accent1 6 3 4" xfId="31538" xr:uid="{3D4F85F6-21C0-4809-AD17-F5B16E765118}"/>
    <cellStyle name="20% - Accent1 6 4" xfId="10440" xr:uid="{59C6639D-2B6C-4054-BC4D-18DF80DE4673}"/>
    <cellStyle name="20% - Accent1 6 5" xfId="18881" xr:uid="{9626FEC0-FA8C-42AF-A242-9DB976ECC7B2}"/>
    <cellStyle name="20% - Accent1 6 6" xfId="27321" xr:uid="{0C7BDAAA-1932-4F9A-AABE-C07A835D842B}"/>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348C2167-8ED8-49C1-A40D-83C55AA8179A}"/>
    <cellStyle name="20% - Accent1 7 2 2 3" xfId="25656" xr:uid="{008A499B-CCCC-4F3E-B0BD-7DAFA149F516}"/>
    <cellStyle name="20% - Accent1 7 2 2 4" xfId="34096" xr:uid="{0B7EF70A-43EC-4AB6-969F-077DE737E708}"/>
    <cellStyle name="20% - Accent1 7 2 3" xfId="12998" xr:uid="{C335A659-F5E9-4242-93DF-782F60CB3EDD}"/>
    <cellStyle name="20% - Accent1 7 2 4" xfId="21439" xr:uid="{FA2C82A1-096B-4D5E-B1AB-76A58AB0AED1}"/>
    <cellStyle name="20% - Accent1 7 2 5" xfId="29879" xr:uid="{0C122422-8F07-4822-8D1B-72ECD0D6EE09}"/>
    <cellStyle name="20% - Accent1 7 3" xfId="5744" xr:uid="{00000000-0005-0000-0000-000099000000}"/>
    <cellStyle name="20% - Accent1 7 3 2" xfId="15070" xr:uid="{A8498F4E-097A-4A7E-8C33-5568F83A518F}"/>
    <cellStyle name="20% - Accent1 7 3 3" xfId="23511" xr:uid="{4385EDEE-4BF5-425F-AA4A-4522B2B97E4A}"/>
    <cellStyle name="20% - Accent1 7 3 4" xfId="31951" xr:uid="{FFF79419-9015-4566-8431-7372B5D9A739}"/>
    <cellStyle name="20% - Accent1 7 4" xfId="10853" xr:uid="{326E0B95-FBE8-470B-96C5-BCFEE76BCB36}"/>
    <cellStyle name="20% - Accent1 7 5" xfId="19294" xr:uid="{C8088FB4-1012-4917-8823-2FD2371B3F03}"/>
    <cellStyle name="20% - Accent1 7 6" xfId="27734" xr:uid="{95FDDC29-4465-468C-A227-15A01C33871E}"/>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6BFF9648-242E-49AB-AE86-A83B26243882}"/>
    <cellStyle name="20% - Accent1 8 2 2 3" xfId="26069" xr:uid="{8210ED2E-A4D3-4D09-8968-463C615F2A33}"/>
    <cellStyle name="20% - Accent1 8 2 2 4" xfId="34509" xr:uid="{C369667B-EF55-4AFC-9264-8A982E7EE7F0}"/>
    <cellStyle name="20% - Accent1 8 2 3" xfId="13411" xr:uid="{BFCB6FC3-C820-4501-A9DA-681A81200F44}"/>
    <cellStyle name="20% - Accent1 8 2 4" xfId="21852" xr:uid="{13ACE3A5-EEEF-4C89-B1CB-0DF0037E2D40}"/>
    <cellStyle name="20% - Accent1 8 2 5" xfId="30292" xr:uid="{14D761AB-7E01-464B-AA9E-E0D7A0A71463}"/>
    <cellStyle name="20% - Accent1 8 3" xfId="6157" xr:uid="{00000000-0005-0000-0000-00009D000000}"/>
    <cellStyle name="20% - Accent1 8 3 2" xfId="15483" xr:uid="{BC0A5D1B-8DF2-4631-B609-338BBE7BE7D8}"/>
    <cellStyle name="20% - Accent1 8 3 3" xfId="23924" xr:uid="{2AE53FFF-16FE-469E-BD05-5E7CCA955EB3}"/>
    <cellStyle name="20% - Accent1 8 3 4" xfId="32364" xr:uid="{18262695-C9F7-450D-A847-86A64A9A01D8}"/>
    <cellStyle name="20% - Accent1 8 4" xfId="11266" xr:uid="{531236E3-FA38-4BA7-88E4-C98C7004C4E7}"/>
    <cellStyle name="20% - Accent1 8 5" xfId="19707" xr:uid="{105B713C-0581-4685-8CE3-D7AD283A3E3A}"/>
    <cellStyle name="20% - Accent1 8 6" xfId="28147" xr:uid="{D7B5242C-D5EE-42A1-AAFF-33913E0F6062}"/>
    <cellStyle name="20% - Accent1 9" xfId="2264" xr:uid="{00000000-0005-0000-0000-00009E000000}"/>
    <cellStyle name="20% - Accent1 9 2" xfId="6570" xr:uid="{00000000-0005-0000-0000-00009F000000}"/>
    <cellStyle name="20% - Accent1 9 2 2" xfId="15896" xr:uid="{E060CD46-3A90-40AD-89D4-6057EAC164A4}"/>
    <cellStyle name="20% - Accent1 9 2 3" xfId="24337" xr:uid="{9BAE5C2A-8796-46C0-98E0-9611CB93ED93}"/>
    <cellStyle name="20% - Accent1 9 2 4" xfId="32777" xr:uid="{A514B06B-710C-45D2-8124-EFC3FBCA7422}"/>
    <cellStyle name="20% - Accent1 9 3" xfId="11679" xr:uid="{49B590FB-DDDF-4A53-B3D0-81C2E5D5F1FC}"/>
    <cellStyle name="20% - Accent1 9 4" xfId="20120" xr:uid="{5DDCDACF-1E7E-48D9-9C9A-2CFE4261EE9C}"/>
    <cellStyle name="20% - Accent1 9 5" xfId="28560" xr:uid="{018EC2A3-B11A-40C0-806D-B449E4628063}"/>
    <cellStyle name="20% - Accent2" xfId="9" builtinId="34" customBuiltin="1"/>
    <cellStyle name="20% - Accent2 10" xfId="4512" xr:uid="{00000000-0005-0000-0000-0000A1000000}"/>
    <cellStyle name="20% - Accent2 10 2" xfId="13838" xr:uid="{907111FF-5311-4B88-9D35-7373290DC171}"/>
    <cellStyle name="20% - Accent2 10 3" xfId="22279" xr:uid="{88F4EE64-6131-4C36-ABC0-7ACE09F752C2}"/>
    <cellStyle name="20% - Accent2 10 4" xfId="30719" xr:uid="{52B618A2-7A86-4A73-AFB1-DACD7F86A1A8}"/>
    <cellStyle name="20% - Accent2 11" xfId="8760" xr:uid="{2F9D8AF1-C115-467C-ADFB-3BF13039D076}"/>
    <cellStyle name="20% - Accent2 12" xfId="9621" xr:uid="{4A1AB1D5-F416-453F-9A04-F0AF6609B2A6}"/>
    <cellStyle name="20% - Accent2 13" xfId="18062" xr:uid="{726C57EE-29DB-4453-97F0-FE9DA89D91DE}"/>
    <cellStyle name="20% - Accent2 14" xfId="26502" xr:uid="{263DE1CB-63E1-45C2-A5FD-82CFEA6BD941}"/>
    <cellStyle name="20% - Accent2 2" xfId="10" xr:uid="{00000000-0005-0000-0000-0000A2000000}"/>
    <cellStyle name="20% - Accent2 2 10" xfId="8793" xr:uid="{AA7C3473-3A75-4F75-9E25-D7658C57F3A0}"/>
    <cellStyle name="20% - Accent2 2 11" xfId="9622" xr:uid="{7EAE680A-2CF3-46E6-866B-D0840E0B5C74}"/>
    <cellStyle name="20% - Accent2 2 12" xfId="18063" xr:uid="{394DF92E-F9A4-4511-B6E2-06EFA862FBF1}"/>
    <cellStyle name="20% - Accent2 2 13" xfId="26503" xr:uid="{A2E8D8A7-127A-4CBF-8A4F-644F0D003A10}"/>
    <cellStyle name="20% - Accent2 2 2" xfId="11" xr:uid="{00000000-0005-0000-0000-0000A3000000}"/>
    <cellStyle name="20% - Accent2 2 2 10" xfId="9623" xr:uid="{7FBD8E2E-5BA7-432A-9A91-788BCA998B96}"/>
    <cellStyle name="20% - Accent2 2 2 11" xfId="18064" xr:uid="{DC8E419E-1A34-438C-B562-983EEDE0E13A}"/>
    <cellStyle name="20% - Accent2 2 2 12" xfId="26504" xr:uid="{44F08C20-C4F4-46F1-A104-B08178C35B9C}"/>
    <cellStyle name="20% - Accent2 2 2 2" xfId="12" xr:uid="{00000000-0005-0000-0000-0000A4000000}"/>
    <cellStyle name="20% - Accent2 2 2 2 10" xfId="18065" xr:uid="{183C771E-510B-4AF1-8FE9-5D1E205AAF8E}"/>
    <cellStyle name="20% - Accent2 2 2 2 11" xfId="26505" xr:uid="{BFFF8D62-B028-45FE-8C8E-834E087CF73C}"/>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C88CA901-16CC-4195-A704-264CDF23F189}"/>
    <cellStyle name="20% - Accent2 2 2 2 2 2 2 3" xfId="24841" xr:uid="{FCB89B8C-79B4-439B-9CC1-41C658849BA7}"/>
    <cellStyle name="20% - Accent2 2 2 2 2 2 2 4" xfId="33281" xr:uid="{3EAE1886-AED8-4941-89AA-A979081B7AC9}"/>
    <cellStyle name="20% - Accent2 2 2 2 2 2 3" xfId="12183" xr:uid="{E133F381-CBA5-47A3-BCE1-EC7ED2BBC7D5}"/>
    <cellStyle name="20% - Accent2 2 2 2 2 2 4" xfId="20624" xr:uid="{0C6A5217-5CFB-476C-B82E-1EF359A48078}"/>
    <cellStyle name="20% - Accent2 2 2 2 2 2 5" xfId="29064" xr:uid="{0BBAC47E-5F91-4C99-8D41-EBC665EC6151}"/>
    <cellStyle name="20% - Accent2 2 2 2 2 3" xfId="4929" xr:uid="{00000000-0005-0000-0000-0000A8000000}"/>
    <cellStyle name="20% - Accent2 2 2 2 2 3 2" xfId="14255" xr:uid="{3FA8A98F-2DE0-4321-AA80-134F47641879}"/>
    <cellStyle name="20% - Accent2 2 2 2 2 3 3" xfId="22696" xr:uid="{7C1901D0-E446-48BF-A833-E5D7166DAD76}"/>
    <cellStyle name="20% - Accent2 2 2 2 2 3 4" xfId="31136" xr:uid="{AC966CA0-522A-47F4-BA6E-35008C94192B}"/>
    <cellStyle name="20% - Accent2 2 2 2 2 4" xfId="9528" xr:uid="{C8BEA541-FD8B-4449-95AA-43E1904F35BB}"/>
    <cellStyle name="20% - Accent2 2 2 2 2 5" xfId="10038" xr:uid="{738B9285-6589-4884-BC3C-A214EB993BD3}"/>
    <cellStyle name="20% - Accent2 2 2 2 2 6" xfId="18479" xr:uid="{C84A1F34-C2BD-4876-93FB-25FD85643924}"/>
    <cellStyle name="20% - Accent2 2 2 2 2 7" xfId="26919" xr:uid="{46F9B346-E4EA-4493-8168-C610F2BEFA72}"/>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5E2BD8A3-6652-4311-86F0-6E8B07194781}"/>
    <cellStyle name="20% - Accent2 2 2 2 3 2 2 3" xfId="25254" xr:uid="{E80A1A86-ED80-463D-B75D-0326F1D6B610}"/>
    <cellStyle name="20% - Accent2 2 2 2 3 2 2 4" xfId="33694" xr:uid="{46F866D0-9CB0-4BEB-9CEA-2BC2D32DDD21}"/>
    <cellStyle name="20% - Accent2 2 2 2 3 2 3" xfId="12596" xr:uid="{ED330CBF-F7CD-4A46-A966-47DB1DD24090}"/>
    <cellStyle name="20% - Accent2 2 2 2 3 2 4" xfId="21037" xr:uid="{F4AA0087-57A4-4AD1-AB32-FC571DCD9779}"/>
    <cellStyle name="20% - Accent2 2 2 2 3 2 5" xfId="29477" xr:uid="{089CC43A-BAB7-4FD0-9A23-32201AC2E9CD}"/>
    <cellStyle name="20% - Accent2 2 2 2 3 3" xfId="5342" xr:uid="{00000000-0005-0000-0000-0000AC000000}"/>
    <cellStyle name="20% - Accent2 2 2 2 3 3 2" xfId="14668" xr:uid="{99CBE627-87CF-4E70-BA1F-171BF08D4F78}"/>
    <cellStyle name="20% - Accent2 2 2 2 3 3 3" xfId="23109" xr:uid="{6F4DEBB5-E6C0-4330-8CA8-7605E8E8C0E7}"/>
    <cellStyle name="20% - Accent2 2 2 2 3 3 4" xfId="31549" xr:uid="{3D03D98D-FF55-4663-B188-1147BB73BC65}"/>
    <cellStyle name="20% - Accent2 2 2 2 3 4" xfId="10451" xr:uid="{24843342-736B-41DC-B155-B3C33AD28AD7}"/>
    <cellStyle name="20% - Accent2 2 2 2 3 5" xfId="18892" xr:uid="{DF71D5BE-BE47-47CF-BCF7-B8374934386A}"/>
    <cellStyle name="20% - Accent2 2 2 2 3 6" xfId="27332" xr:uid="{70E2DD91-56FE-4BC7-9479-EAE473133295}"/>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5A3498E9-1600-4D97-9A11-8BB615B606B1}"/>
    <cellStyle name="20% - Accent2 2 2 2 4 2 2 3" xfId="25667" xr:uid="{BB86DF7E-2713-42C2-B22A-FBB77D52E67E}"/>
    <cellStyle name="20% - Accent2 2 2 2 4 2 2 4" xfId="34107" xr:uid="{D1EF139B-76E0-4313-BA39-85D6664182B2}"/>
    <cellStyle name="20% - Accent2 2 2 2 4 2 3" xfId="13009" xr:uid="{BE62974E-F20F-472A-9562-3C3D1F0E4180}"/>
    <cellStyle name="20% - Accent2 2 2 2 4 2 4" xfId="21450" xr:uid="{BB3239A6-0C3B-4E10-8ED8-43C0CC6FB11C}"/>
    <cellStyle name="20% - Accent2 2 2 2 4 2 5" xfId="29890" xr:uid="{3069840F-D2BE-4073-AB47-EC4B0483DE03}"/>
    <cellStyle name="20% - Accent2 2 2 2 4 3" xfId="5755" xr:uid="{00000000-0005-0000-0000-0000B0000000}"/>
    <cellStyle name="20% - Accent2 2 2 2 4 3 2" xfId="15081" xr:uid="{7C5EFA9B-A4D8-48B8-B822-71237C40731F}"/>
    <cellStyle name="20% - Accent2 2 2 2 4 3 3" xfId="23522" xr:uid="{3B13FDE8-1FBD-4D05-9477-7603A9AAF135}"/>
    <cellStyle name="20% - Accent2 2 2 2 4 3 4" xfId="31962" xr:uid="{88B42D07-7161-437C-BD72-2E0A516FEB6A}"/>
    <cellStyle name="20% - Accent2 2 2 2 4 4" xfId="10864" xr:uid="{431CFE27-4881-4DF2-89E3-6AF3CA3BC8FF}"/>
    <cellStyle name="20% - Accent2 2 2 2 4 5" xfId="19305" xr:uid="{36E46D27-35E4-4D7E-A054-AAAC1B13FC3D}"/>
    <cellStyle name="20% - Accent2 2 2 2 4 6" xfId="27745" xr:uid="{F81738A1-6339-4CFB-BE27-F6593EC77E8D}"/>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EFD4B2B2-D40F-4081-B9F4-38E77D2367B0}"/>
    <cellStyle name="20% - Accent2 2 2 2 5 2 2 3" xfId="26080" xr:uid="{8B61E917-10C9-4A10-9BD5-54DE472DAB56}"/>
    <cellStyle name="20% - Accent2 2 2 2 5 2 2 4" xfId="34520" xr:uid="{D02FD823-6947-4AEC-AD47-BAF03348D807}"/>
    <cellStyle name="20% - Accent2 2 2 2 5 2 3" xfId="13422" xr:uid="{4B3D24F8-B429-4EE4-8DF4-5CA0E2147D3C}"/>
    <cellStyle name="20% - Accent2 2 2 2 5 2 4" xfId="21863" xr:uid="{0882BA98-2482-4F83-B5F3-BAFC62932DE2}"/>
    <cellStyle name="20% - Accent2 2 2 2 5 2 5" xfId="30303" xr:uid="{979B0C39-4FBB-40D1-A092-9389D384736A}"/>
    <cellStyle name="20% - Accent2 2 2 2 5 3" xfId="6168" xr:uid="{00000000-0005-0000-0000-0000B4000000}"/>
    <cellStyle name="20% - Accent2 2 2 2 5 3 2" xfId="15494" xr:uid="{9EAADD42-9EE9-4E09-A606-F668062E297B}"/>
    <cellStyle name="20% - Accent2 2 2 2 5 3 3" xfId="23935" xr:uid="{B50AB87A-D18B-4A5B-8B90-8BBC2CA2D9A7}"/>
    <cellStyle name="20% - Accent2 2 2 2 5 3 4" xfId="32375" xr:uid="{B965DBFC-9413-45B0-8B4E-DC69533409B7}"/>
    <cellStyle name="20% - Accent2 2 2 2 5 4" xfId="11277" xr:uid="{1971EABC-5B69-4F90-9D60-C3DF9F71A195}"/>
    <cellStyle name="20% - Accent2 2 2 2 5 5" xfId="19718" xr:uid="{9D6F7583-4B97-40B0-8EAA-82834704CCA5}"/>
    <cellStyle name="20% - Accent2 2 2 2 5 6" xfId="28158" xr:uid="{0AF21E78-92E3-47BC-B74D-14D5AC0FCA5D}"/>
    <cellStyle name="20% - Accent2 2 2 2 6" xfId="2275" xr:uid="{00000000-0005-0000-0000-0000B5000000}"/>
    <cellStyle name="20% - Accent2 2 2 2 6 2" xfId="6581" xr:uid="{00000000-0005-0000-0000-0000B6000000}"/>
    <cellStyle name="20% - Accent2 2 2 2 6 2 2" xfId="15907" xr:uid="{6F56AA08-2E20-417A-A03B-B0BBF3775CA8}"/>
    <cellStyle name="20% - Accent2 2 2 2 6 2 3" xfId="24348" xr:uid="{8CCED5B0-85F1-48B9-BC0B-0DABD1D159CB}"/>
    <cellStyle name="20% - Accent2 2 2 2 6 2 4" xfId="32788" xr:uid="{D5890B1F-DE1E-4D96-AA17-F8C77650F288}"/>
    <cellStyle name="20% - Accent2 2 2 2 6 3" xfId="11690" xr:uid="{D69A71ED-EAD7-4213-A95F-9C6F886815FE}"/>
    <cellStyle name="20% - Accent2 2 2 2 6 4" xfId="20131" xr:uid="{A2FDAC1E-2EFA-4B4C-A21B-A4D85BCEE72C}"/>
    <cellStyle name="20% - Accent2 2 2 2 6 5" xfId="28571" xr:uid="{3F6B4588-1ED4-48D9-8E66-8E5AB08C3E3A}"/>
    <cellStyle name="20% - Accent2 2 2 2 7" xfId="4515" xr:uid="{00000000-0005-0000-0000-0000B7000000}"/>
    <cellStyle name="20% - Accent2 2 2 2 7 2" xfId="13841" xr:uid="{D280B908-898A-4241-ACF9-51A83D95C60D}"/>
    <cellStyle name="20% - Accent2 2 2 2 7 3" xfId="22282" xr:uid="{9ED2BF97-BAFE-45FE-B784-03F56816D932}"/>
    <cellStyle name="20% - Accent2 2 2 2 7 4" xfId="30722" xr:uid="{4F141D53-6266-4361-A054-A8E6A262888F}"/>
    <cellStyle name="20% - Accent2 2 2 2 8" xfId="9103" xr:uid="{91DB80A1-3464-4086-B948-71B6A26537C4}"/>
    <cellStyle name="20% - Accent2 2 2 2 9" xfId="9624" xr:uid="{9515C6C0-B8FE-4553-92CC-971617528E22}"/>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724BEED5-2C3B-491E-95FC-4DEAE855E09F}"/>
    <cellStyle name="20% - Accent2 2 2 3 2 2 3" xfId="24840" xr:uid="{D148D4ED-E8F9-4937-9D78-9E9E59D8567D}"/>
    <cellStyle name="20% - Accent2 2 2 3 2 2 4" xfId="33280" xr:uid="{7B568018-B8DB-4901-87D3-21C910F76E42}"/>
    <cellStyle name="20% - Accent2 2 2 3 2 3" xfId="12182" xr:uid="{27F11BC3-F798-4B1E-9F04-7526B6F0A919}"/>
    <cellStyle name="20% - Accent2 2 2 3 2 4" xfId="20623" xr:uid="{4AC06CF6-DC37-4493-94D6-CC3D32E655B6}"/>
    <cellStyle name="20% - Accent2 2 2 3 2 5" xfId="29063" xr:uid="{F936DD59-1729-4C8B-9F39-741CC98B3DAA}"/>
    <cellStyle name="20% - Accent2 2 2 3 3" xfId="4928" xr:uid="{00000000-0005-0000-0000-0000BB000000}"/>
    <cellStyle name="20% - Accent2 2 2 3 3 2" xfId="14254" xr:uid="{7486FBA1-B7F0-4952-9170-3FEB40661DA3}"/>
    <cellStyle name="20% - Accent2 2 2 3 3 3" xfId="22695" xr:uid="{38C2FF57-614B-4E47-B845-A1E06C151ADA}"/>
    <cellStyle name="20% - Accent2 2 2 3 3 4" xfId="31135" xr:uid="{41C44FD7-F2CA-4FF4-9347-57528B812992}"/>
    <cellStyle name="20% - Accent2 2 2 3 4" xfId="9321" xr:uid="{32B21C3A-E360-4F19-B469-1116F045A0F3}"/>
    <cellStyle name="20% - Accent2 2 2 3 5" xfId="10037" xr:uid="{26BE7498-33F5-4438-9FAC-2D792D4EA2BB}"/>
    <cellStyle name="20% - Accent2 2 2 3 6" xfId="18478" xr:uid="{94FBDFF3-E5A8-4BE3-AA45-80343007805F}"/>
    <cellStyle name="20% - Accent2 2 2 3 7" xfId="26918" xr:uid="{55078A82-8062-41F0-A8E9-102172EBAD04}"/>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8F64345E-B0FD-491D-AFE7-945C09201B63}"/>
    <cellStyle name="20% - Accent2 2 2 4 2 2 3" xfId="25253" xr:uid="{FCEF9C2C-45F2-43B6-9801-E6741F3F2AD2}"/>
    <cellStyle name="20% - Accent2 2 2 4 2 2 4" xfId="33693" xr:uid="{B0D288C2-5CAD-4AE3-ADDD-FB9D54F02981}"/>
    <cellStyle name="20% - Accent2 2 2 4 2 3" xfId="12595" xr:uid="{BE313F7B-470E-41D8-A3EC-C9FCF940D0F8}"/>
    <cellStyle name="20% - Accent2 2 2 4 2 4" xfId="21036" xr:uid="{F46445A7-5597-4F64-9C25-9526F385F9A6}"/>
    <cellStyle name="20% - Accent2 2 2 4 2 5" xfId="29476" xr:uid="{5C93CB8F-5A6D-409F-8787-C754F8D69B9E}"/>
    <cellStyle name="20% - Accent2 2 2 4 3" xfId="5341" xr:uid="{00000000-0005-0000-0000-0000BF000000}"/>
    <cellStyle name="20% - Accent2 2 2 4 3 2" xfId="14667" xr:uid="{D7CE525F-F55B-4F8D-90C7-22DB4AC893E1}"/>
    <cellStyle name="20% - Accent2 2 2 4 3 3" xfId="23108" xr:uid="{56D134A8-C566-420F-8E9C-408E45381AFA}"/>
    <cellStyle name="20% - Accent2 2 2 4 3 4" xfId="31548" xr:uid="{B224E4D1-90B4-44E4-AA60-E215137CCCC4}"/>
    <cellStyle name="20% - Accent2 2 2 4 4" xfId="10450" xr:uid="{641F64B3-4481-4032-9B97-2D6167A0C559}"/>
    <cellStyle name="20% - Accent2 2 2 4 5" xfId="18891" xr:uid="{C9479358-3FBF-4CC3-91B3-0DBF3CE8A3F5}"/>
    <cellStyle name="20% - Accent2 2 2 4 6" xfId="27331" xr:uid="{D909D304-A7D1-4DFA-9888-135BC4D2E3DD}"/>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594E7046-2DF3-48A2-9BE2-C453A8DF2B01}"/>
    <cellStyle name="20% - Accent2 2 2 5 2 2 3" xfId="25666" xr:uid="{7D183FB7-5D91-445F-9E4B-6E1AED636723}"/>
    <cellStyle name="20% - Accent2 2 2 5 2 2 4" xfId="34106" xr:uid="{EB63B195-B714-473F-843B-BC183EEC0D2B}"/>
    <cellStyle name="20% - Accent2 2 2 5 2 3" xfId="13008" xr:uid="{34BF8EA5-D863-4E68-879A-DD3EF12D2778}"/>
    <cellStyle name="20% - Accent2 2 2 5 2 4" xfId="21449" xr:uid="{B0AFCD13-0ED5-4231-8B55-A3CD8D6CD205}"/>
    <cellStyle name="20% - Accent2 2 2 5 2 5" xfId="29889" xr:uid="{1729A1CD-C375-46F6-85CA-3F91592ABBEC}"/>
    <cellStyle name="20% - Accent2 2 2 5 3" xfId="5754" xr:uid="{00000000-0005-0000-0000-0000C3000000}"/>
    <cellStyle name="20% - Accent2 2 2 5 3 2" xfId="15080" xr:uid="{4D8CB9BC-B96E-477B-9E67-BDAB8A7DE298}"/>
    <cellStyle name="20% - Accent2 2 2 5 3 3" xfId="23521" xr:uid="{A5514426-7DEF-4371-8513-D9BE812180A3}"/>
    <cellStyle name="20% - Accent2 2 2 5 3 4" xfId="31961" xr:uid="{C1CBE4EA-E2E1-4B8F-9772-6923214BCDD1}"/>
    <cellStyle name="20% - Accent2 2 2 5 4" xfId="10863" xr:uid="{8B5BC3DC-E576-4D45-9DF7-34B8F2984AF1}"/>
    <cellStyle name="20% - Accent2 2 2 5 5" xfId="19304" xr:uid="{299CA902-ADFD-45F3-AD59-206C60B203D9}"/>
    <cellStyle name="20% - Accent2 2 2 5 6" xfId="27744" xr:uid="{945E512E-BB86-4E60-BF71-78D006DD8B32}"/>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3577914E-D813-4BEE-B640-25ED99B10107}"/>
    <cellStyle name="20% - Accent2 2 2 6 2 2 3" xfId="26079" xr:uid="{B88327AB-4F63-44F0-828F-646B9E457DE9}"/>
    <cellStyle name="20% - Accent2 2 2 6 2 2 4" xfId="34519" xr:uid="{0E7B6EEA-F646-4EAB-B0A6-7FEA2D27607E}"/>
    <cellStyle name="20% - Accent2 2 2 6 2 3" xfId="13421" xr:uid="{98C5A799-9300-4D77-B9CC-77B4E79164B3}"/>
    <cellStyle name="20% - Accent2 2 2 6 2 4" xfId="21862" xr:uid="{37104696-EBA3-455E-A9B5-DC6C65BCE390}"/>
    <cellStyle name="20% - Accent2 2 2 6 2 5" xfId="30302" xr:uid="{A9D9CFA7-9AB3-4465-A146-658AA19544C3}"/>
    <cellStyle name="20% - Accent2 2 2 6 3" xfId="6167" xr:uid="{00000000-0005-0000-0000-0000C7000000}"/>
    <cellStyle name="20% - Accent2 2 2 6 3 2" xfId="15493" xr:uid="{25C449F2-D517-4A2B-96EA-8331732C5CE4}"/>
    <cellStyle name="20% - Accent2 2 2 6 3 3" xfId="23934" xr:uid="{37238EEC-AEFD-41E2-B07C-8733931DF089}"/>
    <cellStyle name="20% - Accent2 2 2 6 3 4" xfId="32374" xr:uid="{69A45A7A-613E-49E7-B353-C4F67B90744D}"/>
    <cellStyle name="20% - Accent2 2 2 6 4" xfId="11276" xr:uid="{3E0F08BC-11C7-419B-84A4-A5D129AEA575}"/>
    <cellStyle name="20% - Accent2 2 2 6 5" xfId="19717" xr:uid="{63047482-856D-4885-96B7-1C9FE34C23F0}"/>
    <cellStyle name="20% - Accent2 2 2 6 6" xfId="28157" xr:uid="{6562F28B-331E-4D17-9942-F99F728A3180}"/>
    <cellStyle name="20% - Accent2 2 2 7" xfId="2274" xr:uid="{00000000-0005-0000-0000-0000C8000000}"/>
    <cellStyle name="20% - Accent2 2 2 7 2" xfId="6580" xr:uid="{00000000-0005-0000-0000-0000C9000000}"/>
    <cellStyle name="20% - Accent2 2 2 7 2 2" xfId="15906" xr:uid="{37930688-1F69-4D20-A4F1-0D25EB5FFDF6}"/>
    <cellStyle name="20% - Accent2 2 2 7 2 3" xfId="24347" xr:uid="{3D9FEA57-6A26-4490-B3C3-BAC5CFD86DBE}"/>
    <cellStyle name="20% - Accent2 2 2 7 2 4" xfId="32787" xr:uid="{E9EF7F2A-6570-4F3D-A1F4-1B1BC0D38F52}"/>
    <cellStyle name="20% - Accent2 2 2 7 3" xfId="11689" xr:uid="{64E634D7-8278-4ECB-8AB4-2025BF281655}"/>
    <cellStyle name="20% - Accent2 2 2 7 4" xfId="20130" xr:uid="{40D3F4B1-81C3-4670-974F-EE2974F66530}"/>
    <cellStyle name="20% - Accent2 2 2 7 5" xfId="28570" xr:uid="{FE894149-1CB1-4309-B1F4-35C0AB5235E4}"/>
    <cellStyle name="20% - Accent2 2 2 8" xfId="4514" xr:uid="{00000000-0005-0000-0000-0000CA000000}"/>
    <cellStyle name="20% - Accent2 2 2 8 2" xfId="13840" xr:uid="{85FAC4A1-61B8-4C08-B57F-3492A040EE92}"/>
    <cellStyle name="20% - Accent2 2 2 8 3" xfId="22281" xr:uid="{06F42AA4-52FA-4BE3-9C87-BCF2B77B32F2}"/>
    <cellStyle name="20% - Accent2 2 2 8 4" xfId="30721" xr:uid="{F958EC52-8E2D-4435-864E-31BBF2151FAC}"/>
    <cellStyle name="20% - Accent2 2 2 9" xfId="8896" xr:uid="{7CDAA0F1-5BE6-4749-AD4D-5424E0EA26D8}"/>
    <cellStyle name="20% - Accent2 2 3" xfId="13" xr:uid="{00000000-0005-0000-0000-0000CB000000}"/>
    <cellStyle name="20% - Accent2 2 3 10" xfId="18066" xr:uid="{1486E7A3-0AC7-41B2-AF6E-5F6019FC1DD6}"/>
    <cellStyle name="20% - Accent2 2 3 11" xfId="26506" xr:uid="{6F46D214-EDF1-4C8A-A8D3-967E555FE646}"/>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E1270F84-DF50-44DB-AA8C-76A7B39C60F9}"/>
    <cellStyle name="20% - Accent2 2 3 2 2 2 3" xfId="24842" xr:uid="{8F1E1F4F-499C-4E1E-ABFD-514F909DEC06}"/>
    <cellStyle name="20% - Accent2 2 3 2 2 2 4" xfId="33282" xr:uid="{C0A29B11-5F19-4B68-AF58-15FCD105B309}"/>
    <cellStyle name="20% - Accent2 2 3 2 2 3" xfId="12184" xr:uid="{ECDC9075-24A2-475C-9FA8-8D77FF592B76}"/>
    <cellStyle name="20% - Accent2 2 3 2 2 4" xfId="20625" xr:uid="{DF35DC75-3254-4B20-846D-2AAC96B7AF65}"/>
    <cellStyle name="20% - Accent2 2 3 2 2 5" xfId="29065" xr:uid="{A360A60A-0511-4663-AB09-2BFADCB7E27C}"/>
    <cellStyle name="20% - Accent2 2 3 2 3" xfId="4930" xr:uid="{00000000-0005-0000-0000-0000CF000000}"/>
    <cellStyle name="20% - Accent2 2 3 2 3 2" xfId="14256" xr:uid="{52CD9D2D-D7A4-4DDE-A5E0-787BFA23BA5F}"/>
    <cellStyle name="20% - Accent2 2 3 2 3 3" xfId="22697" xr:uid="{48ED5CFE-063B-4A3D-A068-BEF319841025}"/>
    <cellStyle name="20% - Accent2 2 3 2 3 4" xfId="31137" xr:uid="{1219B802-D444-4AA9-A4A7-A3F91AF58005}"/>
    <cellStyle name="20% - Accent2 2 3 2 4" xfId="9425" xr:uid="{35BECFF4-0F5A-4F6E-AE6E-354891135B4F}"/>
    <cellStyle name="20% - Accent2 2 3 2 5" xfId="10039" xr:uid="{D74F4570-6D07-4DA3-B089-B38237F5DB94}"/>
    <cellStyle name="20% - Accent2 2 3 2 6" xfId="18480" xr:uid="{AE555273-2F9B-4BAD-998D-55CD4C854CB3}"/>
    <cellStyle name="20% - Accent2 2 3 2 7" xfId="26920" xr:uid="{CD079748-77EF-41D2-902F-05CC6FF5012B}"/>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A32AC360-5196-460A-A763-2575BFD193C4}"/>
    <cellStyle name="20% - Accent2 2 3 3 2 2 3" xfId="25255" xr:uid="{628F542C-E0ED-42B6-9C50-A6118FD06E8B}"/>
    <cellStyle name="20% - Accent2 2 3 3 2 2 4" xfId="33695" xr:uid="{E12AD775-23B2-4AC5-86EB-60DEDBE24671}"/>
    <cellStyle name="20% - Accent2 2 3 3 2 3" xfId="12597" xr:uid="{1092FAF5-531A-4AA9-BB12-A9440039E13C}"/>
    <cellStyle name="20% - Accent2 2 3 3 2 4" xfId="21038" xr:uid="{0556B5C9-F1C9-492C-AF3A-49A372B68E05}"/>
    <cellStyle name="20% - Accent2 2 3 3 2 5" xfId="29478" xr:uid="{E481ADEC-E069-4841-AACF-C03278299ECF}"/>
    <cellStyle name="20% - Accent2 2 3 3 3" xfId="5343" xr:uid="{00000000-0005-0000-0000-0000D3000000}"/>
    <cellStyle name="20% - Accent2 2 3 3 3 2" xfId="14669" xr:uid="{93341352-BB68-4C6D-A6C5-0FE7C6AECECD}"/>
    <cellStyle name="20% - Accent2 2 3 3 3 3" xfId="23110" xr:uid="{E60D7500-D262-492D-8AC5-C2C90E197175}"/>
    <cellStyle name="20% - Accent2 2 3 3 3 4" xfId="31550" xr:uid="{A30D8F41-F069-4F55-83D4-32FEE5E0EE97}"/>
    <cellStyle name="20% - Accent2 2 3 3 4" xfId="10452" xr:uid="{2A6E25FA-7E45-4ADD-AA87-1D8B36AEE2F6}"/>
    <cellStyle name="20% - Accent2 2 3 3 5" xfId="18893" xr:uid="{FDD59065-187B-4812-AEB1-8E9DC62FDA9B}"/>
    <cellStyle name="20% - Accent2 2 3 3 6" xfId="27333" xr:uid="{57B0BE81-68EB-4D06-B463-1F5BD6D93EFF}"/>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8506CF15-F37A-46AA-BB9F-104E2FB18928}"/>
    <cellStyle name="20% - Accent2 2 3 4 2 2 3" xfId="25668" xr:uid="{EA3D2179-5F7C-4C47-B868-3002DC50B723}"/>
    <cellStyle name="20% - Accent2 2 3 4 2 2 4" xfId="34108" xr:uid="{1E34C111-6F6D-41B8-8629-531B5E255BAC}"/>
    <cellStyle name="20% - Accent2 2 3 4 2 3" xfId="13010" xr:uid="{2C3812EF-ADC6-4343-848F-4AE32E7D0BA0}"/>
    <cellStyle name="20% - Accent2 2 3 4 2 4" xfId="21451" xr:uid="{1387C61D-FFD0-4CF1-B848-968FE20F016D}"/>
    <cellStyle name="20% - Accent2 2 3 4 2 5" xfId="29891" xr:uid="{1DA53141-ADA2-42E0-9C68-7638885F1E5A}"/>
    <cellStyle name="20% - Accent2 2 3 4 3" xfId="5756" xr:uid="{00000000-0005-0000-0000-0000D7000000}"/>
    <cellStyle name="20% - Accent2 2 3 4 3 2" xfId="15082" xr:uid="{DECEEED9-56D4-4438-9BC6-329A4A595630}"/>
    <cellStyle name="20% - Accent2 2 3 4 3 3" xfId="23523" xr:uid="{828E63DB-F08A-4213-8AD6-3D294B31DB60}"/>
    <cellStyle name="20% - Accent2 2 3 4 3 4" xfId="31963" xr:uid="{40BD6CE2-DB57-4B14-8E80-1B8394F243A4}"/>
    <cellStyle name="20% - Accent2 2 3 4 4" xfId="10865" xr:uid="{CBB6262C-EFF3-4EC7-B86F-9ACAA1577949}"/>
    <cellStyle name="20% - Accent2 2 3 4 5" xfId="19306" xr:uid="{3E2D4575-09E0-4199-95B8-C43F18C82245}"/>
    <cellStyle name="20% - Accent2 2 3 4 6" xfId="27746" xr:uid="{C3162ABD-F82E-43E1-98CF-72EE697986A1}"/>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F53266F4-C864-4287-96FA-9A5EAF41887A}"/>
    <cellStyle name="20% - Accent2 2 3 5 2 2 3" xfId="26081" xr:uid="{7306E543-91E6-4939-B320-077C6DA2B6FE}"/>
    <cellStyle name="20% - Accent2 2 3 5 2 2 4" xfId="34521" xr:uid="{93EB68CB-F69E-49CA-8A31-228B494AB284}"/>
    <cellStyle name="20% - Accent2 2 3 5 2 3" xfId="13423" xr:uid="{4FAAD19F-B2D9-4C5D-B144-BDD65E395BD4}"/>
    <cellStyle name="20% - Accent2 2 3 5 2 4" xfId="21864" xr:uid="{C12D6F8E-89FE-4071-973C-900DF6FF2EA3}"/>
    <cellStyle name="20% - Accent2 2 3 5 2 5" xfId="30304" xr:uid="{D0E8BAB2-42AD-4CAA-938C-7618713CFC5B}"/>
    <cellStyle name="20% - Accent2 2 3 5 3" xfId="6169" xr:uid="{00000000-0005-0000-0000-0000DB000000}"/>
    <cellStyle name="20% - Accent2 2 3 5 3 2" xfId="15495" xr:uid="{E5051FDD-C1E0-4F37-9E32-7BB884EB520F}"/>
    <cellStyle name="20% - Accent2 2 3 5 3 3" xfId="23936" xr:uid="{5D5DC201-EF14-49DC-BE3F-1679F359AA23}"/>
    <cellStyle name="20% - Accent2 2 3 5 3 4" xfId="32376" xr:uid="{0B080A71-96FB-41BD-B926-5EFE3CBFD5DD}"/>
    <cellStyle name="20% - Accent2 2 3 5 4" xfId="11278" xr:uid="{E1525198-5DA1-4F97-9C8B-E588087F5B0B}"/>
    <cellStyle name="20% - Accent2 2 3 5 5" xfId="19719" xr:uid="{8164C01A-F7B8-4A39-963E-7EBCADDD34B4}"/>
    <cellStyle name="20% - Accent2 2 3 5 6" xfId="28159" xr:uid="{D4214ED9-338E-4A2F-937C-C42D0DDC5EDA}"/>
    <cellStyle name="20% - Accent2 2 3 6" xfId="2276" xr:uid="{00000000-0005-0000-0000-0000DC000000}"/>
    <cellStyle name="20% - Accent2 2 3 6 2" xfId="6582" xr:uid="{00000000-0005-0000-0000-0000DD000000}"/>
    <cellStyle name="20% - Accent2 2 3 6 2 2" xfId="15908" xr:uid="{3C9CEE5A-51C2-4BED-BF16-21D263D43BE3}"/>
    <cellStyle name="20% - Accent2 2 3 6 2 3" xfId="24349" xr:uid="{F2452BE9-ACA1-4629-A1B5-9E5A859A5098}"/>
    <cellStyle name="20% - Accent2 2 3 6 2 4" xfId="32789" xr:uid="{6B8795DA-F3D1-4FB9-958A-195C90147707}"/>
    <cellStyle name="20% - Accent2 2 3 6 3" xfId="11691" xr:uid="{FFC42AE1-1869-416A-B351-92255627014A}"/>
    <cellStyle name="20% - Accent2 2 3 6 4" xfId="20132" xr:uid="{EF1C2A46-AC39-4D33-A8C0-FF0144B5BBEA}"/>
    <cellStyle name="20% - Accent2 2 3 6 5" xfId="28572" xr:uid="{133852FF-48FA-4207-9751-3801B10CAD8A}"/>
    <cellStyle name="20% - Accent2 2 3 7" xfId="4516" xr:uid="{00000000-0005-0000-0000-0000DE000000}"/>
    <cellStyle name="20% - Accent2 2 3 7 2" xfId="13842" xr:uid="{945F65CE-7452-42DF-B431-B05C8527F358}"/>
    <cellStyle name="20% - Accent2 2 3 7 3" xfId="22283" xr:uid="{DEB6B6A3-C39C-448F-B7A4-5764AD53B777}"/>
    <cellStyle name="20% - Accent2 2 3 7 4" xfId="30723" xr:uid="{1B59D94E-A459-48C3-92D0-7C3288BE46DE}"/>
    <cellStyle name="20% - Accent2 2 3 8" xfId="9000" xr:uid="{133DFC5C-F2FF-49E9-82EE-ABAA9C815393}"/>
    <cellStyle name="20% - Accent2 2 3 9" xfId="9625" xr:uid="{EB09AF97-6FF5-463E-A47E-4EA5D26C3E95}"/>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06A40504-F2B3-4665-9E40-4CDD61841D77}"/>
    <cellStyle name="20% - Accent2 2 4 2 2 3" xfId="24839" xr:uid="{3F66232B-E30B-4325-8848-328BDFE8E488}"/>
    <cellStyle name="20% - Accent2 2 4 2 2 4" xfId="33279" xr:uid="{6630098C-8B82-4B2B-A920-9DEC3BD4CED7}"/>
    <cellStyle name="20% - Accent2 2 4 2 3" xfId="12181" xr:uid="{ADDCDE45-96E6-406B-A0B9-2FA6645240F3}"/>
    <cellStyle name="20% - Accent2 2 4 2 4" xfId="20622" xr:uid="{D18C9D42-4B01-46AE-BC86-3CE915292B80}"/>
    <cellStyle name="20% - Accent2 2 4 2 5" xfId="29062" xr:uid="{F29AB7F7-46C7-4E29-B3C2-E190D923A5BD}"/>
    <cellStyle name="20% - Accent2 2 4 3" xfId="4927" xr:uid="{00000000-0005-0000-0000-0000E2000000}"/>
    <cellStyle name="20% - Accent2 2 4 3 2" xfId="14253" xr:uid="{DB582E51-FEB1-43F4-8218-0280DACA8FF4}"/>
    <cellStyle name="20% - Accent2 2 4 3 3" xfId="22694" xr:uid="{0BDD2403-D6FC-4389-92D2-9ADD8EC967CC}"/>
    <cellStyle name="20% - Accent2 2 4 3 4" xfId="31134" xr:uid="{ACA03B9E-F17C-4AB5-B7A1-EAA3C12270C9}"/>
    <cellStyle name="20% - Accent2 2 4 4" xfId="9217" xr:uid="{28DDC3F5-BA57-40F8-8D06-6CFF141CF9A1}"/>
    <cellStyle name="20% - Accent2 2 4 5" xfId="10036" xr:uid="{D06B8BD0-4462-40C0-A221-A9DFDE5B4928}"/>
    <cellStyle name="20% - Accent2 2 4 6" xfId="18477" xr:uid="{3B60DBD1-20DE-4D1D-AD12-DB6B31C265B1}"/>
    <cellStyle name="20% - Accent2 2 4 7" xfId="26917" xr:uid="{9C226910-B6AA-4BE4-BB30-08BC0D99D6F5}"/>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1AE624E5-BA45-41E9-98DF-5F0F7C706057}"/>
    <cellStyle name="20% - Accent2 2 5 2 2 3" xfId="25252" xr:uid="{6AF7D019-B869-456A-9AC9-205DD58E7E9E}"/>
    <cellStyle name="20% - Accent2 2 5 2 2 4" xfId="33692" xr:uid="{7521E0BE-90D0-4FBB-949B-F44BFC5E9047}"/>
    <cellStyle name="20% - Accent2 2 5 2 3" xfId="12594" xr:uid="{CC18FB1C-CA6E-46CA-B961-32FB1B49CE35}"/>
    <cellStyle name="20% - Accent2 2 5 2 4" xfId="21035" xr:uid="{4278129C-89D6-4972-ABD0-F868DC3CE42B}"/>
    <cellStyle name="20% - Accent2 2 5 2 5" xfId="29475" xr:uid="{0CEA6F74-EAF8-4491-AF36-CA089E3EC51B}"/>
    <cellStyle name="20% - Accent2 2 5 3" xfId="5340" xr:uid="{00000000-0005-0000-0000-0000E6000000}"/>
    <cellStyle name="20% - Accent2 2 5 3 2" xfId="14666" xr:uid="{6C87511D-B6CA-4BA1-B79E-0D4452F56F2F}"/>
    <cellStyle name="20% - Accent2 2 5 3 3" xfId="23107" xr:uid="{F5CA0B0D-52BD-46AE-BFFD-85D606A9F026}"/>
    <cellStyle name="20% - Accent2 2 5 3 4" xfId="31547" xr:uid="{6D6E7980-F1EA-4C20-8ACE-EED2248DEB02}"/>
    <cellStyle name="20% - Accent2 2 5 4" xfId="10449" xr:uid="{9F2308E8-3B64-4B6F-B72E-E81CC1543AAC}"/>
    <cellStyle name="20% - Accent2 2 5 5" xfId="18890" xr:uid="{3C78C4A5-8580-4C6F-8E53-F0BBC2CB6C7E}"/>
    <cellStyle name="20% - Accent2 2 5 6" xfId="27330" xr:uid="{2C852241-993E-4660-905B-25E9F93B73CC}"/>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0BA52673-3356-46F1-AD09-8324C22E9FAD}"/>
    <cellStyle name="20% - Accent2 2 6 2 2 3" xfId="25665" xr:uid="{9217F90C-5890-4146-8A5C-920C697800AB}"/>
    <cellStyle name="20% - Accent2 2 6 2 2 4" xfId="34105" xr:uid="{010F4BC0-861B-4BEF-90E0-EAED3EFD5CF5}"/>
    <cellStyle name="20% - Accent2 2 6 2 3" xfId="13007" xr:uid="{665A83A4-D61C-4D29-9D41-819CFE8E39B6}"/>
    <cellStyle name="20% - Accent2 2 6 2 4" xfId="21448" xr:uid="{146649FD-104E-4FB2-A4F7-9DE9D260BCD6}"/>
    <cellStyle name="20% - Accent2 2 6 2 5" xfId="29888" xr:uid="{EF7E4B71-0A6E-4FA1-B1AC-DCE62CC67B0D}"/>
    <cellStyle name="20% - Accent2 2 6 3" xfId="5753" xr:uid="{00000000-0005-0000-0000-0000EA000000}"/>
    <cellStyle name="20% - Accent2 2 6 3 2" xfId="15079" xr:uid="{E6A088A8-4D82-4F61-BFE0-75AEE9A5EA94}"/>
    <cellStyle name="20% - Accent2 2 6 3 3" xfId="23520" xr:uid="{8C5FBD9D-BBA3-4E9C-BB8F-4C1AA5CED31C}"/>
    <cellStyle name="20% - Accent2 2 6 3 4" xfId="31960" xr:uid="{EEF080B9-344E-43D0-A168-0A12676750F4}"/>
    <cellStyle name="20% - Accent2 2 6 4" xfId="10862" xr:uid="{C82CBAE9-0D96-4D69-A2B7-DDEEB14F9161}"/>
    <cellStyle name="20% - Accent2 2 6 5" xfId="19303" xr:uid="{92002377-8DC0-4A68-99BC-66B2A1E6A206}"/>
    <cellStyle name="20% - Accent2 2 6 6" xfId="27743" xr:uid="{ADE5DC0D-E3DD-482D-A068-A1F5BD266846}"/>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F659744E-2DD0-47BA-8853-4606DD005821}"/>
    <cellStyle name="20% - Accent2 2 7 2 2 3" xfId="26078" xr:uid="{A3F28B27-AA3B-4DC9-ADB3-90C547763AA5}"/>
    <cellStyle name="20% - Accent2 2 7 2 2 4" xfId="34518" xr:uid="{475E30D4-01A3-43D4-9103-D7F556E0C3F6}"/>
    <cellStyle name="20% - Accent2 2 7 2 3" xfId="13420" xr:uid="{E2D84A5D-2254-4DB8-85FD-1605F119E28A}"/>
    <cellStyle name="20% - Accent2 2 7 2 4" xfId="21861" xr:uid="{E30FEC7A-38BD-418E-B177-629D6A28EE85}"/>
    <cellStyle name="20% - Accent2 2 7 2 5" xfId="30301" xr:uid="{E631CEA4-4750-4802-AD75-24A87296519D}"/>
    <cellStyle name="20% - Accent2 2 7 3" xfId="6166" xr:uid="{00000000-0005-0000-0000-0000EE000000}"/>
    <cellStyle name="20% - Accent2 2 7 3 2" xfId="15492" xr:uid="{2A244821-F7F7-42B3-BFFD-11649A1DF2C2}"/>
    <cellStyle name="20% - Accent2 2 7 3 3" xfId="23933" xr:uid="{666E89C9-2D92-4228-B788-27865503D099}"/>
    <cellStyle name="20% - Accent2 2 7 3 4" xfId="32373" xr:uid="{4BE91353-CA75-4420-9DBF-77BA63FE1B52}"/>
    <cellStyle name="20% - Accent2 2 7 4" xfId="11275" xr:uid="{7DFE0640-B03B-46E3-AD0B-3245B366832B}"/>
    <cellStyle name="20% - Accent2 2 7 5" xfId="19716" xr:uid="{E1F62405-3A8A-4A10-A0BC-FF733385DA64}"/>
    <cellStyle name="20% - Accent2 2 7 6" xfId="28156" xr:uid="{57F971D5-01E6-4F6A-BE16-C15ED995A942}"/>
    <cellStyle name="20% - Accent2 2 8" xfId="2273" xr:uid="{00000000-0005-0000-0000-0000EF000000}"/>
    <cellStyle name="20% - Accent2 2 8 2" xfId="6579" xr:uid="{00000000-0005-0000-0000-0000F0000000}"/>
    <cellStyle name="20% - Accent2 2 8 2 2" xfId="15905" xr:uid="{FC31BC50-24AC-41DC-AD8D-7FD82F017DE5}"/>
    <cellStyle name="20% - Accent2 2 8 2 3" xfId="24346" xr:uid="{C1ED2125-251C-456F-B990-625887A08D3E}"/>
    <cellStyle name="20% - Accent2 2 8 2 4" xfId="32786" xr:uid="{72F39D75-98DB-47F8-B08C-CCF61042AA5A}"/>
    <cellStyle name="20% - Accent2 2 8 3" xfId="11688" xr:uid="{3487C304-BAAA-4E16-AAC5-7A80E9543C9C}"/>
    <cellStyle name="20% - Accent2 2 8 4" xfId="20129" xr:uid="{95E27FD8-4F79-4B19-A8B6-04D776F97089}"/>
    <cellStyle name="20% - Accent2 2 8 5" xfId="28569" xr:uid="{9061FF96-DE90-4BFE-A28D-0FC9E5CEB90B}"/>
    <cellStyle name="20% - Accent2 2 9" xfId="4513" xr:uid="{00000000-0005-0000-0000-0000F1000000}"/>
    <cellStyle name="20% - Accent2 2 9 2" xfId="13839" xr:uid="{05D40EA3-B42B-4B73-8E69-97F697568900}"/>
    <cellStyle name="20% - Accent2 2 9 3" xfId="22280" xr:uid="{8A0EBF74-89C6-4DAE-A66B-62EA7B895D6E}"/>
    <cellStyle name="20% - Accent2 2 9 4" xfId="30720" xr:uid="{9B2904DE-FB2C-455F-87D7-136F40708AB3}"/>
    <cellStyle name="20% - Accent2 3" xfId="14" xr:uid="{00000000-0005-0000-0000-0000F2000000}"/>
    <cellStyle name="20% - Accent2 3 10" xfId="9626" xr:uid="{7A9C6AA2-3ABC-42BA-9552-3A74E2B666D0}"/>
    <cellStyle name="20% - Accent2 3 11" xfId="18067" xr:uid="{95064B53-D65D-4D14-9362-CE2097137032}"/>
    <cellStyle name="20% - Accent2 3 12" xfId="26507" xr:uid="{6B3DA22D-8C62-4DC4-ACC2-30F6B29DF68A}"/>
    <cellStyle name="20% - Accent2 3 2" xfId="15" xr:uid="{00000000-0005-0000-0000-0000F3000000}"/>
    <cellStyle name="20% - Accent2 3 2 10" xfId="18068" xr:uid="{89A38685-5A82-4FDE-98B4-D699A6B0466F}"/>
    <cellStyle name="20% - Accent2 3 2 11" xfId="26508" xr:uid="{08DADF45-E338-4EF9-A001-9146C9788903}"/>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68E99CB2-A5D5-4207-832F-C3C327303821}"/>
    <cellStyle name="20% - Accent2 3 2 2 2 2 3" xfId="24844" xr:uid="{E38995C6-8AE4-4AD1-8054-1134A1CC76B3}"/>
    <cellStyle name="20% - Accent2 3 2 2 2 2 4" xfId="33284" xr:uid="{EFDEF910-C73A-40CE-80F5-AE2564F6C247}"/>
    <cellStyle name="20% - Accent2 3 2 2 2 3" xfId="12186" xr:uid="{FADA8F77-A38F-4073-9B7D-7EA0C66B074A}"/>
    <cellStyle name="20% - Accent2 3 2 2 2 4" xfId="20627" xr:uid="{2D755273-3963-4B21-89A5-003A2E3CF3E7}"/>
    <cellStyle name="20% - Accent2 3 2 2 2 5" xfId="29067" xr:uid="{370D946D-2E80-4197-A21A-230EB710AC4B}"/>
    <cellStyle name="20% - Accent2 3 2 2 3" xfId="4932" xr:uid="{00000000-0005-0000-0000-0000F7000000}"/>
    <cellStyle name="20% - Accent2 3 2 2 3 2" xfId="14258" xr:uid="{23100E2C-6C3E-4CF1-B313-126F709ABC5F}"/>
    <cellStyle name="20% - Accent2 3 2 2 3 3" xfId="22699" xr:uid="{4EDED160-1B5C-4716-B920-853FDF73A711}"/>
    <cellStyle name="20% - Accent2 3 2 2 3 4" xfId="31139" xr:uid="{44E78E1D-2DB0-49B3-870A-27FFEC03926C}"/>
    <cellStyle name="20% - Accent2 3 2 2 4" xfId="9495" xr:uid="{9F5A6FE7-BBC9-4787-8EC4-2112F4D5A0EA}"/>
    <cellStyle name="20% - Accent2 3 2 2 5" xfId="10041" xr:uid="{F2C28FC1-C8E2-446D-BFD4-E83F7A2B1D32}"/>
    <cellStyle name="20% - Accent2 3 2 2 6" xfId="18482" xr:uid="{E8A11093-0BB8-4674-A56B-683109B41407}"/>
    <cellStyle name="20% - Accent2 3 2 2 7" xfId="26922" xr:uid="{DD06AC84-3A36-40A6-B990-02D815D5CD9E}"/>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A0417ECB-B8AB-46E9-AE47-F9DE4DC31F07}"/>
    <cellStyle name="20% - Accent2 3 2 3 2 2 3" xfId="25257" xr:uid="{BC6DDC8F-5160-496D-9775-1EA59BD7E415}"/>
    <cellStyle name="20% - Accent2 3 2 3 2 2 4" xfId="33697" xr:uid="{FD80737B-DCE5-448D-BB30-509C82150F5C}"/>
    <cellStyle name="20% - Accent2 3 2 3 2 3" xfId="12599" xr:uid="{CC06FE5B-0E54-41FE-B9A0-A1CEE7F0F101}"/>
    <cellStyle name="20% - Accent2 3 2 3 2 4" xfId="21040" xr:uid="{5AC96AB5-427E-44DF-B975-B72D610E06BD}"/>
    <cellStyle name="20% - Accent2 3 2 3 2 5" xfId="29480" xr:uid="{2BF6F59C-28FB-4CA9-B261-D8746975921A}"/>
    <cellStyle name="20% - Accent2 3 2 3 3" xfId="5345" xr:uid="{00000000-0005-0000-0000-0000FB000000}"/>
    <cellStyle name="20% - Accent2 3 2 3 3 2" xfId="14671" xr:uid="{F7FB71A8-5D89-4397-9C2A-643A0F11C691}"/>
    <cellStyle name="20% - Accent2 3 2 3 3 3" xfId="23112" xr:uid="{A53D56D2-F782-489E-8A76-175268787852}"/>
    <cellStyle name="20% - Accent2 3 2 3 3 4" xfId="31552" xr:uid="{20609295-AEBA-4EC3-B0A6-175AE1E0A77C}"/>
    <cellStyle name="20% - Accent2 3 2 3 4" xfId="10454" xr:uid="{BA1AB54E-F95A-4260-A958-8EC63B4153D8}"/>
    <cellStyle name="20% - Accent2 3 2 3 5" xfId="18895" xr:uid="{95AE5B42-F0BC-47F7-BED8-FACC1CE6F2F4}"/>
    <cellStyle name="20% - Accent2 3 2 3 6" xfId="27335" xr:uid="{A2CFFE56-D120-4893-8249-BE521BBB0EE8}"/>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7E6E52ED-A7D1-4EF0-A774-7B77FBA8E1C3}"/>
    <cellStyle name="20% - Accent2 3 2 4 2 2 3" xfId="25670" xr:uid="{A2AB161E-DEF1-49D6-B4F4-3C1D13D08DB0}"/>
    <cellStyle name="20% - Accent2 3 2 4 2 2 4" xfId="34110" xr:uid="{D21A72AC-825D-45FF-9308-528AC08D3E82}"/>
    <cellStyle name="20% - Accent2 3 2 4 2 3" xfId="13012" xr:uid="{1E1CFDCB-55E6-4AFE-9942-520A97D1843F}"/>
    <cellStyle name="20% - Accent2 3 2 4 2 4" xfId="21453" xr:uid="{D8ADDDD7-B794-4C4F-84C5-6AE184510085}"/>
    <cellStyle name="20% - Accent2 3 2 4 2 5" xfId="29893" xr:uid="{0125EA19-2164-4C31-9C70-CA6425F50F83}"/>
    <cellStyle name="20% - Accent2 3 2 4 3" xfId="5758" xr:uid="{00000000-0005-0000-0000-0000FF000000}"/>
    <cellStyle name="20% - Accent2 3 2 4 3 2" xfId="15084" xr:uid="{04E10AF6-C5A6-4BE9-AE72-090BFC5F5123}"/>
    <cellStyle name="20% - Accent2 3 2 4 3 3" xfId="23525" xr:uid="{1BE4CE64-A687-4C5F-AB79-338530586DE8}"/>
    <cellStyle name="20% - Accent2 3 2 4 3 4" xfId="31965" xr:uid="{E60801A7-E8B2-4E9B-A2E4-B0CC174E0F1E}"/>
    <cellStyle name="20% - Accent2 3 2 4 4" xfId="10867" xr:uid="{D100C9DF-D780-43D6-B989-91FD5283204F}"/>
    <cellStyle name="20% - Accent2 3 2 4 5" xfId="19308" xr:uid="{0B647BA8-CB3C-4D9B-BA04-6BEAD0F523BE}"/>
    <cellStyle name="20% - Accent2 3 2 4 6" xfId="27748" xr:uid="{7DEE02EE-FCDD-4CC1-B7F9-C603C4689FCE}"/>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FE49F881-7311-4CF4-ACD5-5CA461DF9F08}"/>
    <cellStyle name="20% - Accent2 3 2 5 2 2 3" xfId="26083" xr:uid="{28777F8E-A742-4D94-B2E6-28B131BB8D43}"/>
    <cellStyle name="20% - Accent2 3 2 5 2 2 4" xfId="34523" xr:uid="{F6C3925C-1CC6-4623-B343-EA42DBFCB287}"/>
    <cellStyle name="20% - Accent2 3 2 5 2 3" xfId="13425" xr:uid="{49CB9455-7346-47EE-806B-40AF566AF31D}"/>
    <cellStyle name="20% - Accent2 3 2 5 2 4" xfId="21866" xr:uid="{CDB45294-F44B-49D4-A2B9-331E9AD3A953}"/>
    <cellStyle name="20% - Accent2 3 2 5 2 5" xfId="30306" xr:uid="{403E8C8D-9AAC-4D6A-A113-998D27C8FA70}"/>
    <cellStyle name="20% - Accent2 3 2 5 3" xfId="6171" xr:uid="{00000000-0005-0000-0000-000003010000}"/>
    <cellStyle name="20% - Accent2 3 2 5 3 2" xfId="15497" xr:uid="{1347A2E6-09A4-4496-AA9D-07D05CF0E4FE}"/>
    <cellStyle name="20% - Accent2 3 2 5 3 3" xfId="23938" xr:uid="{816AA437-3F41-4B8A-84B0-5D95B912530F}"/>
    <cellStyle name="20% - Accent2 3 2 5 3 4" xfId="32378" xr:uid="{B54523A7-3162-4AE4-92E4-CD811659A6EC}"/>
    <cellStyle name="20% - Accent2 3 2 5 4" xfId="11280" xr:uid="{35BF76C7-C792-49F9-91A6-DA55FE90CF9A}"/>
    <cellStyle name="20% - Accent2 3 2 5 5" xfId="19721" xr:uid="{2916FFC4-AB79-4461-B1A5-FA6A4C7D9DBE}"/>
    <cellStyle name="20% - Accent2 3 2 5 6" xfId="28161" xr:uid="{E8E5D3D5-0E3A-4800-92BE-4F33981CF67F}"/>
    <cellStyle name="20% - Accent2 3 2 6" xfId="2278" xr:uid="{00000000-0005-0000-0000-000004010000}"/>
    <cellStyle name="20% - Accent2 3 2 6 2" xfId="6584" xr:uid="{00000000-0005-0000-0000-000005010000}"/>
    <cellStyle name="20% - Accent2 3 2 6 2 2" xfId="15910" xr:uid="{3E62E800-85F1-41FD-9844-6F53856D1085}"/>
    <cellStyle name="20% - Accent2 3 2 6 2 3" xfId="24351" xr:uid="{F18BAE56-3AE5-4E0E-B37A-2E57EA36561E}"/>
    <cellStyle name="20% - Accent2 3 2 6 2 4" xfId="32791" xr:uid="{3332BCCA-21E9-4C32-93DA-FE86F96879A0}"/>
    <cellStyle name="20% - Accent2 3 2 6 3" xfId="11693" xr:uid="{9CCE220B-1848-4BFA-9406-BA5DF77FAD64}"/>
    <cellStyle name="20% - Accent2 3 2 6 4" xfId="20134" xr:uid="{39AE5336-A468-405B-BC51-936B5E6EC7E6}"/>
    <cellStyle name="20% - Accent2 3 2 6 5" xfId="28574" xr:uid="{20F7A868-4031-4C21-97B5-DA6D04879C21}"/>
    <cellStyle name="20% - Accent2 3 2 7" xfId="4518" xr:uid="{00000000-0005-0000-0000-000006010000}"/>
    <cellStyle name="20% - Accent2 3 2 7 2" xfId="13844" xr:uid="{5B91E4B9-BD88-46ED-9F54-DEC84FEF12C7}"/>
    <cellStyle name="20% - Accent2 3 2 7 3" xfId="22285" xr:uid="{845DDA6F-DD9F-476B-AF41-385D060E7416}"/>
    <cellStyle name="20% - Accent2 3 2 7 4" xfId="30725" xr:uid="{030CABEF-808C-4164-B76D-992F46CA7B5D}"/>
    <cellStyle name="20% - Accent2 3 2 8" xfId="9070" xr:uid="{8A9168BA-490F-4E57-83EA-22187D24153F}"/>
    <cellStyle name="20% - Accent2 3 2 9" xfId="9627" xr:uid="{07A3B40F-AF4C-4E7B-82DA-33B9BF8448AF}"/>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6362DB65-F0FA-480E-BBFD-CB2FF4D799D1}"/>
    <cellStyle name="20% - Accent2 3 3 2 2 3" xfId="24843" xr:uid="{F5C3A8B6-EF42-454E-8A9F-98E44E0D0644}"/>
    <cellStyle name="20% - Accent2 3 3 2 2 4" xfId="33283" xr:uid="{D1EC46C6-D17A-4D2D-B7FC-D0ABA1518B43}"/>
    <cellStyle name="20% - Accent2 3 3 2 3" xfId="12185" xr:uid="{D723F0F6-BDFE-46B0-A683-FC0074AA878D}"/>
    <cellStyle name="20% - Accent2 3 3 2 4" xfId="20626" xr:uid="{8C7EBFC2-EF0D-4364-B566-8550BBB68A6C}"/>
    <cellStyle name="20% - Accent2 3 3 2 5" xfId="29066" xr:uid="{6CDEC18A-87CF-4E86-BA91-52D01022E201}"/>
    <cellStyle name="20% - Accent2 3 3 3" xfId="4931" xr:uid="{00000000-0005-0000-0000-00000A010000}"/>
    <cellStyle name="20% - Accent2 3 3 3 2" xfId="14257" xr:uid="{4A33C37C-E096-4D9E-BFA5-5F076DE32CED}"/>
    <cellStyle name="20% - Accent2 3 3 3 3" xfId="22698" xr:uid="{BC47E4F6-78DD-402A-8363-5BC68C0A63D3}"/>
    <cellStyle name="20% - Accent2 3 3 3 4" xfId="31138" xr:uid="{13656696-8771-41FE-8258-1E806EDF1E36}"/>
    <cellStyle name="20% - Accent2 3 3 4" xfId="9288" xr:uid="{FCD70616-ECAD-4A0B-889F-4698E1AD889E}"/>
    <cellStyle name="20% - Accent2 3 3 5" xfId="10040" xr:uid="{91734C46-16FB-4A11-9CD4-D141AF97C7FF}"/>
    <cellStyle name="20% - Accent2 3 3 6" xfId="18481" xr:uid="{625A94AC-F879-4071-9203-97387665CED5}"/>
    <cellStyle name="20% - Accent2 3 3 7" xfId="26921" xr:uid="{945D620B-6674-447D-9305-880754161B75}"/>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23BFCDDB-487B-44C7-83C3-511C19F7FF98}"/>
    <cellStyle name="20% - Accent2 3 4 2 2 3" xfId="25256" xr:uid="{9AF60BDD-CE37-4454-BB02-9A1B903A8295}"/>
    <cellStyle name="20% - Accent2 3 4 2 2 4" xfId="33696" xr:uid="{07ED7083-207D-4D9B-8565-8D3056DDC9B3}"/>
    <cellStyle name="20% - Accent2 3 4 2 3" xfId="12598" xr:uid="{4B4C95FB-B84C-4024-BEC6-E555D890F372}"/>
    <cellStyle name="20% - Accent2 3 4 2 4" xfId="21039" xr:uid="{A16FB749-FDF8-48E3-9593-EBE0A359D398}"/>
    <cellStyle name="20% - Accent2 3 4 2 5" xfId="29479" xr:uid="{A0236032-1C19-4125-88E1-65EB213323E0}"/>
    <cellStyle name="20% - Accent2 3 4 3" xfId="5344" xr:uid="{00000000-0005-0000-0000-00000E010000}"/>
    <cellStyle name="20% - Accent2 3 4 3 2" xfId="14670" xr:uid="{AE951EA6-6783-4CE1-9C64-FE9A87E5F13D}"/>
    <cellStyle name="20% - Accent2 3 4 3 3" xfId="23111" xr:uid="{51F14657-7731-4A2E-86E1-B12D6CA4DC4B}"/>
    <cellStyle name="20% - Accent2 3 4 3 4" xfId="31551" xr:uid="{B7866E7D-63A9-4141-BA25-B4FDE48BF74E}"/>
    <cellStyle name="20% - Accent2 3 4 4" xfId="10453" xr:uid="{EB4D4D0C-C5BD-4A21-B36F-BE1D0D7BE40C}"/>
    <cellStyle name="20% - Accent2 3 4 5" xfId="18894" xr:uid="{82190484-D6A5-41F6-8540-AC6A9DC43F73}"/>
    <cellStyle name="20% - Accent2 3 4 6" xfId="27334" xr:uid="{369A0E3D-0359-4202-AEC7-F8F3E2567FE7}"/>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3E366946-0D11-4EF0-811B-BDFED1D2F1A8}"/>
    <cellStyle name="20% - Accent2 3 5 2 2 3" xfId="25669" xr:uid="{C2A12AB8-9CB9-4B5A-A84D-B93107A3686D}"/>
    <cellStyle name="20% - Accent2 3 5 2 2 4" xfId="34109" xr:uid="{D73D61C0-B34D-4678-9763-13374C202AB6}"/>
    <cellStyle name="20% - Accent2 3 5 2 3" xfId="13011" xr:uid="{A0DAD0BD-58D0-407B-9EE1-68380635670A}"/>
    <cellStyle name="20% - Accent2 3 5 2 4" xfId="21452" xr:uid="{7F0F734A-0177-4B4B-AF11-D979A9533FDB}"/>
    <cellStyle name="20% - Accent2 3 5 2 5" xfId="29892" xr:uid="{C61D1D06-F219-4CFE-A263-86F5912D5CCE}"/>
    <cellStyle name="20% - Accent2 3 5 3" xfId="5757" xr:uid="{00000000-0005-0000-0000-000012010000}"/>
    <cellStyle name="20% - Accent2 3 5 3 2" xfId="15083" xr:uid="{64675D74-A5E6-4590-8E1A-7316F35CC202}"/>
    <cellStyle name="20% - Accent2 3 5 3 3" xfId="23524" xr:uid="{3A5DA0CE-1F61-41A6-83D7-04F7D61FBCBF}"/>
    <cellStyle name="20% - Accent2 3 5 3 4" xfId="31964" xr:uid="{81A9ACA3-B21C-4045-B0C6-A7A0B57D41BB}"/>
    <cellStyle name="20% - Accent2 3 5 4" xfId="10866" xr:uid="{49CBAEB1-A951-4A15-A6DE-DA679B3FDC6F}"/>
    <cellStyle name="20% - Accent2 3 5 5" xfId="19307" xr:uid="{04EE99CC-BDCD-4ACB-81F8-4602D5257043}"/>
    <cellStyle name="20% - Accent2 3 5 6" xfId="27747" xr:uid="{F2FA074E-A330-42D8-AC75-D4AF1FE3233E}"/>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4BF3904A-CDFA-4B44-87B3-5449375588BD}"/>
    <cellStyle name="20% - Accent2 3 6 2 2 3" xfId="26082" xr:uid="{D5CA43A3-44E6-4BBD-BF10-AD4BE1424A1D}"/>
    <cellStyle name="20% - Accent2 3 6 2 2 4" xfId="34522" xr:uid="{F6868F9C-1EAB-49AB-9AC2-CCE0F54BA2C7}"/>
    <cellStyle name="20% - Accent2 3 6 2 3" xfId="13424" xr:uid="{D4A4414C-C50E-4ED2-B9F2-324EDDB68FAC}"/>
    <cellStyle name="20% - Accent2 3 6 2 4" xfId="21865" xr:uid="{22C42FBF-A992-4686-8628-9AF877BA2702}"/>
    <cellStyle name="20% - Accent2 3 6 2 5" xfId="30305" xr:uid="{87091F4E-434D-4384-A162-C55EB7456E03}"/>
    <cellStyle name="20% - Accent2 3 6 3" xfId="6170" xr:uid="{00000000-0005-0000-0000-000016010000}"/>
    <cellStyle name="20% - Accent2 3 6 3 2" xfId="15496" xr:uid="{B34D9E44-5065-44F4-9B28-D9747905DE49}"/>
    <cellStyle name="20% - Accent2 3 6 3 3" xfId="23937" xr:uid="{EAB80F88-238E-4EFB-8EA3-3534CE527B05}"/>
    <cellStyle name="20% - Accent2 3 6 3 4" xfId="32377" xr:uid="{ED689EF4-14B9-4579-87D6-C5E338AC7226}"/>
    <cellStyle name="20% - Accent2 3 6 4" xfId="11279" xr:uid="{F62C12CA-ED74-4CE2-972D-434F4F1E4FFE}"/>
    <cellStyle name="20% - Accent2 3 6 5" xfId="19720" xr:uid="{CCC7456F-F336-46BF-A6AE-792C3F3EB1E6}"/>
    <cellStyle name="20% - Accent2 3 6 6" xfId="28160" xr:uid="{7999F5A7-DB70-4F0F-81C7-850A44725A64}"/>
    <cellStyle name="20% - Accent2 3 7" xfId="2277" xr:uid="{00000000-0005-0000-0000-000017010000}"/>
    <cellStyle name="20% - Accent2 3 7 2" xfId="6583" xr:uid="{00000000-0005-0000-0000-000018010000}"/>
    <cellStyle name="20% - Accent2 3 7 2 2" xfId="15909" xr:uid="{D14AF17B-0AA6-480D-B5CD-CBF7DA4CCF9A}"/>
    <cellStyle name="20% - Accent2 3 7 2 3" xfId="24350" xr:uid="{F30B5FC0-6218-4247-AB2B-6D925F470791}"/>
    <cellStyle name="20% - Accent2 3 7 2 4" xfId="32790" xr:uid="{2D877F94-F650-4DE1-860E-31346132C318}"/>
    <cellStyle name="20% - Accent2 3 7 3" xfId="11692" xr:uid="{B9E8864B-D59C-4990-AED3-038E87AA6B83}"/>
    <cellStyle name="20% - Accent2 3 7 4" xfId="20133" xr:uid="{F46E54B1-3336-42A4-968F-D33FB4764D91}"/>
    <cellStyle name="20% - Accent2 3 7 5" xfId="28573" xr:uid="{221B6D8F-121D-421A-9BA1-63DBD8F71758}"/>
    <cellStyle name="20% - Accent2 3 8" xfId="4517" xr:uid="{00000000-0005-0000-0000-000019010000}"/>
    <cellStyle name="20% - Accent2 3 8 2" xfId="13843" xr:uid="{7F773FC9-20E3-4807-AC66-A2F18F957502}"/>
    <cellStyle name="20% - Accent2 3 8 3" xfId="22284" xr:uid="{B388EEAD-42AB-4AA8-9004-9CC9921101EF}"/>
    <cellStyle name="20% - Accent2 3 8 4" xfId="30724" xr:uid="{E453F2B5-DF94-45A7-8CFD-5A0C30D00713}"/>
    <cellStyle name="20% - Accent2 3 9" xfId="8863" xr:uid="{C6A258FB-33DC-4171-B9DD-C29513CA80FD}"/>
    <cellStyle name="20% - Accent2 4" xfId="16" xr:uid="{00000000-0005-0000-0000-00001A010000}"/>
    <cellStyle name="20% - Accent2 4 10" xfId="18069" xr:uid="{088C5E8E-29E8-4017-8580-DBC7A64CBB3F}"/>
    <cellStyle name="20% - Accent2 4 11" xfId="26509" xr:uid="{C658F694-7C46-4A9F-98BA-620056C977B6}"/>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9B844082-76A8-4AA2-BB35-97F296BB0592}"/>
    <cellStyle name="20% - Accent2 4 2 2 2 3" xfId="24845" xr:uid="{C6EB5F2A-CC4B-4ACB-9AD7-21FB71BE7202}"/>
    <cellStyle name="20% - Accent2 4 2 2 2 4" xfId="33285" xr:uid="{113DA39F-3539-4A9A-83C4-89941322CF27}"/>
    <cellStyle name="20% - Accent2 4 2 2 3" xfId="12187" xr:uid="{D8D8035B-EE1A-45D9-B40A-42DC03A59360}"/>
    <cellStyle name="20% - Accent2 4 2 2 4" xfId="20628" xr:uid="{1B286334-42EF-4B71-B629-D4F5E8AE9B8B}"/>
    <cellStyle name="20% - Accent2 4 2 2 5" xfId="29068" xr:uid="{99CE5D0F-A714-40EA-A33D-1E91B8424C16}"/>
    <cellStyle name="20% - Accent2 4 2 3" xfId="4933" xr:uid="{00000000-0005-0000-0000-00001E010000}"/>
    <cellStyle name="20% - Accent2 4 2 3 2" xfId="14259" xr:uid="{2190D111-7788-49A6-97E1-BA1D2D7AE0D8}"/>
    <cellStyle name="20% - Accent2 4 2 3 3" xfId="22700" xr:uid="{E297B5A2-5C25-43D4-BECA-7E9D814B01C3}"/>
    <cellStyle name="20% - Accent2 4 2 3 4" xfId="31140" xr:uid="{624CC7A2-014D-4CAD-9481-3B9A9B26A202}"/>
    <cellStyle name="20% - Accent2 4 2 4" xfId="9374" xr:uid="{26FD7A0E-8D04-4AF7-B092-2B22A78F0A97}"/>
    <cellStyle name="20% - Accent2 4 2 5" xfId="10042" xr:uid="{8C6BAFAE-B9A4-472E-8841-101659A9759A}"/>
    <cellStyle name="20% - Accent2 4 2 6" xfId="18483" xr:uid="{FB544995-2C7A-446A-AAC4-00ED8685B062}"/>
    <cellStyle name="20% - Accent2 4 2 7" xfId="26923" xr:uid="{CFBC1440-5023-4071-A157-A6C5BE912654}"/>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E81A0CD6-99DE-44F5-A7B6-7ADD5B51B4F5}"/>
    <cellStyle name="20% - Accent2 4 3 2 2 3" xfId="25258" xr:uid="{A0BAEC93-F011-472A-983D-A0F5E22B40A0}"/>
    <cellStyle name="20% - Accent2 4 3 2 2 4" xfId="33698" xr:uid="{47406468-E423-4236-984F-18B2FE007D34}"/>
    <cellStyle name="20% - Accent2 4 3 2 3" xfId="12600" xr:uid="{EE7A946E-4ABB-475D-AB30-49A9639D4CC3}"/>
    <cellStyle name="20% - Accent2 4 3 2 4" xfId="21041" xr:uid="{2C3B7144-A0EE-4366-B9FC-A6AE13284737}"/>
    <cellStyle name="20% - Accent2 4 3 2 5" xfId="29481" xr:uid="{91FFED57-F75B-441E-B17B-F4E019A1019D}"/>
    <cellStyle name="20% - Accent2 4 3 3" xfId="5346" xr:uid="{00000000-0005-0000-0000-000022010000}"/>
    <cellStyle name="20% - Accent2 4 3 3 2" xfId="14672" xr:uid="{1AC7AA54-5CA3-4195-AE69-6C222A3E268E}"/>
    <cellStyle name="20% - Accent2 4 3 3 3" xfId="23113" xr:uid="{E39CDF65-D758-4D43-B21F-B39DF1939D23}"/>
    <cellStyle name="20% - Accent2 4 3 3 4" xfId="31553" xr:uid="{1A582752-C510-4223-BAF4-9988FC754B82}"/>
    <cellStyle name="20% - Accent2 4 3 4" xfId="10455" xr:uid="{5D139DA6-B568-45FC-89FC-92AD2E930615}"/>
    <cellStyle name="20% - Accent2 4 3 5" xfId="18896" xr:uid="{D6833D94-FFAE-4155-8B2E-454F8375F1FE}"/>
    <cellStyle name="20% - Accent2 4 3 6" xfId="27336" xr:uid="{668F6557-D020-4731-8E02-2283BD4C5845}"/>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A3CC4867-D66B-479D-8955-75782C4F0695}"/>
    <cellStyle name="20% - Accent2 4 4 2 2 3" xfId="25671" xr:uid="{1CB94851-23F8-42F1-B3AC-E826F5AFF7A0}"/>
    <cellStyle name="20% - Accent2 4 4 2 2 4" xfId="34111" xr:uid="{0BB050BB-D787-4AB9-81FE-FEDCEA26806A}"/>
    <cellStyle name="20% - Accent2 4 4 2 3" xfId="13013" xr:uid="{CD01659F-B838-472D-B649-8E598ED5A5D4}"/>
    <cellStyle name="20% - Accent2 4 4 2 4" xfId="21454" xr:uid="{3979FEFF-AB97-40A7-8BC8-CFF3D5AE8720}"/>
    <cellStyle name="20% - Accent2 4 4 2 5" xfId="29894" xr:uid="{4B896A3D-E907-429C-915A-54B12BEE9013}"/>
    <cellStyle name="20% - Accent2 4 4 3" xfId="5759" xr:uid="{00000000-0005-0000-0000-000026010000}"/>
    <cellStyle name="20% - Accent2 4 4 3 2" xfId="15085" xr:uid="{171C64EA-B256-44BD-AF2C-6D6B3AA94C77}"/>
    <cellStyle name="20% - Accent2 4 4 3 3" xfId="23526" xr:uid="{538E3B92-58C3-44F7-B4F2-04FF118AB672}"/>
    <cellStyle name="20% - Accent2 4 4 3 4" xfId="31966" xr:uid="{09F1CA83-096A-46FF-ACC1-EE51D0FDEC16}"/>
    <cellStyle name="20% - Accent2 4 4 4" xfId="10868" xr:uid="{32D989C6-2FE9-4FAA-A7E7-5DA16D21E432}"/>
    <cellStyle name="20% - Accent2 4 4 5" xfId="19309" xr:uid="{218412E4-2B9D-437F-B13D-C94A0EABBF19}"/>
    <cellStyle name="20% - Accent2 4 4 6" xfId="27749" xr:uid="{B60CA80A-4BF4-4C61-918D-14158CF2F5DF}"/>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5A196479-7C4B-43A6-A899-D402C7FD497D}"/>
    <cellStyle name="20% - Accent2 4 5 2 2 3" xfId="26084" xr:uid="{6B066DC2-40C3-4FB7-A92F-43A9E8B9BE22}"/>
    <cellStyle name="20% - Accent2 4 5 2 2 4" xfId="34524" xr:uid="{1C56D320-7F89-4661-AD16-B43A3031BC3B}"/>
    <cellStyle name="20% - Accent2 4 5 2 3" xfId="13426" xr:uid="{49CE0896-C200-46AD-AD02-970BC1A6DCCA}"/>
    <cellStyle name="20% - Accent2 4 5 2 4" xfId="21867" xr:uid="{17AACE3D-DDA9-4E31-A7E5-B7C3115EF25C}"/>
    <cellStyle name="20% - Accent2 4 5 2 5" xfId="30307" xr:uid="{89EA23F8-7FF2-47B1-8E46-A9E4D25B72B9}"/>
    <cellStyle name="20% - Accent2 4 5 3" xfId="6172" xr:uid="{00000000-0005-0000-0000-00002A010000}"/>
    <cellStyle name="20% - Accent2 4 5 3 2" xfId="15498" xr:uid="{FF2D3F98-F75C-45B6-8AE7-A3EDF33D029F}"/>
    <cellStyle name="20% - Accent2 4 5 3 3" xfId="23939" xr:uid="{236B0B88-871B-4FB1-B8C5-9880878AFAF3}"/>
    <cellStyle name="20% - Accent2 4 5 3 4" xfId="32379" xr:uid="{2BD6E3F5-3502-4C29-B357-5F3A0008C43D}"/>
    <cellStyle name="20% - Accent2 4 5 4" xfId="11281" xr:uid="{8D7306B9-17B0-4082-8CA1-82E4FB67CF9A}"/>
    <cellStyle name="20% - Accent2 4 5 5" xfId="19722" xr:uid="{6F290DEB-3697-4649-9428-3346A9AD832B}"/>
    <cellStyle name="20% - Accent2 4 5 6" xfId="28162" xr:uid="{C85E5BFE-499E-410E-BD6A-F161CF458858}"/>
    <cellStyle name="20% - Accent2 4 6" xfId="2279" xr:uid="{00000000-0005-0000-0000-00002B010000}"/>
    <cellStyle name="20% - Accent2 4 6 2" xfId="6585" xr:uid="{00000000-0005-0000-0000-00002C010000}"/>
    <cellStyle name="20% - Accent2 4 6 2 2" xfId="15911" xr:uid="{AB0F7F49-0BED-4268-BA3E-0E977C9ED877}"/>
    <cellStyle name="20% - Accent2 4 6 2 3" xfId="24352" xr:uid="{928B014D-84CC-48F8-A256-6BE32607F985}"/>
    <cellStyle name="20% - Accent2 4 6 2 4" xfId="32792" xr:uid="{1AB125F6-543C-4A41-BCD3-8C1B90E74B26}"/>
    <cellStyle name="20% - Accent2 4 6 3" xfId="11694" xr:uid="{11852913-1A3F-41C3-B1E0-6B19787559A7}"/>
    <cellStyle name="20% - Accent2 4 6 4" xfId="20135" xr:uid="{F8CE0971-B4DC-483B-B102-FCC4B9F0C7D1}"/>
    <cellStyle name="20% - Accent2 4 6 5" xfId="28575" xr:uid="{70FD9387-DD41-4A6E-A989-CC6497C679F0}"/>
    <cellStyle name="20% - Accent2 4 7" xfId="4519" xr:uid="{00000000-0005-0000-0000-00002D010000}"/>
    <cellStyle name="20% - Accent2 4 7 2" xfId="13845" xr:uid="{F9AD9177-413F-4453-BEF0-E3F564A77005}"/>
    <cellStyle name="20% - Accent2 4 7 3" xfId="22286" xr:uid="{921C7193-52A5-4713-8C54-25A48502C155}"/>
    <cellStyle name="20% - Accent2 4 7 4" xfId="30726" xr:uid="{8E4A389A-E1A2-449F-A401-17439A29BEF6}"/>
    <cellStyle name="20% - Accent2 4 8" xfId="8949" xr:uid="{084C22A9-B904-4AFE-A752-AC1DC2CA76B8}"/>
    <cellStyle name="20% - Accent2 4 9" xfId="9628" xr:uid="{83BD37AD-2CA0-477A-8FE6-C79E21032F07}"/>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40F50066-63DA-4C0A-9DEC-064695B3917C}"/>
    <cellStyle name="20% - Accent2 5 2 2 3" xfId="24838" xr:uid="{37E01450-4F77-4F8C-B466-193675A42BA5}"/>
    <cellStyle name="20% - Accent2 5 2 2 4" xfId="33278" xr:uid="{662D057C-2F87-49CE-91D9-2F5D3E59EE5A}"/>
    <cellStyle name="20% - Accent2 5 2 3" xfId="12180" xr:uid="{10124BD8-5453-4AA1-B31D-C2CF7E7B1F6E}"/>
    <cellStyle name="20% - Accent2 5 2 4" xfId="20621" xr:uid="{25F478EA-C471-4FC6-AB30-990A61258042}"/>
    <cellStyle name="20% - Accent2 5 2 5" xfId="29061" xr:uid="{3290C3B3-A357-44D7-B453-ABEC426048B4}"/>
    <cellStyle name="20% - Accent2 5 3" xfId="4926" xr:uid="{00000000-0005-0000-0000-000031010000}"/>
    <cellStyle name="20% - Accent2 5 3 2" xfId="14252" xr:uid="{E39DA532-037E-426E-85A0-4894D78CBFB4}"/>
    <cellStyle name="20% - Accent2 5 3 3" xfId="22693" xr:uid="{E5652611-CFDC-4F3A-AB6E-646D1CA2F9F1}"/>
    <cellStyle name="20% - Accent2 5 3 4" xfId="31133" xr:uid="{00B7D753-5DDD-4E8C-8E48-544FF83E2AEB}"/>
    <cellStyle name="20% - Accent2 5 4" xfId="9182" xr:uid="{F822E263-B2A4-41B5-BBF9-FCE1A7A30601}"/>
    <cellStyle name="20% - Accent2 5 5" xfId="10035" xr:uid="{9CDA1130-7C23-4657-B4C9-5DD053BF24AC}"/>
    <cellStyle name="20% - Accent2 5 6" xfId="18476" xr:uid="{1271718D-B552-42F2-B3DA-3330EBF65459}"/>
    <cellStyle name="20% - Accent2 5 7" xfId="26916" xr:uid="{5A74FF44-EBA8-4A04-A09F-937480661761}"/>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5BBBCBBC-3D68-4002-9879-055929498B12}"/>
    <cellStyle name="20% - Accent2 6 2 2 3" xfId="25251" xr:uid="{69381536-BA33-4D9F-A0E9-7EA53E40AFF2}"/>
    <cellStyle name="20% - Accent2 6 2 2 4" xfId="33691" xr:uid="{B8D2330C-4C91-42E1-AB53-E050F45E882D}"/>
    <cellStyle name="20% - Accent2 6 2 3" xfId="12593" xr:uid="{CEDCBA4D-C02F-4201-A20D-D6851A726744}"/>
    <cellStyle name="20% - Accent2 6 2 4" xfId="21034" xr:uid="{0CF5B75C-346C-478B-BADF-E8084EDA2AC0}"/>
    <cellStyle name="20% - Accent2 6 2 5" xfId="29474" xr:uid="{E1A5277B-44EC-4F4D-9793-FC7BE9D20188}"/>
    <cellStyle name="20% - Accent2 6 3" xfId="5339" xr:uid="{00000000-0005-0000-0000-000035010000}"/>
    <cellStyle name="20% - Accent2 6 3 2" xfId="14665" xr:uid="{EAF6C914-19CB-4E71-AFB8-49276A403733}"/>
    <cellStyle name="20% - Accent2 6 3 3" xfId="23106" xr:uid="{3FACB566-59FA-4415-A06E-74CAF28F7DC8}"/>
    <cellStyle name="20% - Accent2 6 3 4" xfId="31546" xr:uid="{D98DA2F7-1F24-42D9-9DDA-8F0FFB715387}"/>
    <cellStyle name="20% - Accent2 6 4" xfId="10448" xr:uid="{69616AE7-D238-43D1-8C73-2CBDECBB18EB}"/>
    <cellStyle name="20% - Accent2 6 5" xfId="18889" xr:uid="{9F62B472-B835-497A-8941-3B16DF1A010D}"/>
    <cellStyle name="20% - Accent2 6 6" xfId="27329" xr:uid="{7E3AAC9F-EEE4-499D-83C6-02629B9C787C}"/>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277FBE0F-B129-4CB8-982D-7E85C4192D7E}"/>
    <cellStyle name="20% - Accent2 7 2 2 3" xfId="25664" xr:uid="{299C2D13-C701-46ED-BF09-39DCC604CB5B}"/>
    <cellStyle name="20% - Accent2 7 2 2 4" xfId="34104" xr:uid="{622BD9CF-4C56-464F-A3E6-E7CECAE90DDB}"/>
    <cellStyle name="20% - Accent2 7 2 3" xfId="13006" xr:uid="{4D381EE9-223E-45E7-A013-FB8342C1F94A}"/>
    <cellStyle name="20% - Accent2 7 2 4" xfId="21447" xr:uid="{4C424EA0-D8A1-4B32-989B-7364EE94ED46}"/>
    <cellStyle name="20% - Accent2 7 2 5" xfId="29887" xr:uid="{988D1B29-4F57-4127-B201-1BAB6F9C444C}"/>
    <cellStyle name="20% - Accent2 7 3" xfId="5752" xr:uid="{00000000-0005-0000-0000-000039010000}"/>
    <cellStyle name="20% - Accent2 7 3 2" xfId="15078" xr:uid="{F646AB69-99C1-4D23-9CE2-7D6A2C85479F}"/>
    <cellStyle name="20% - Accent2 7 3 3" xfId="23519" xr:uid="{71213CD3-D7EE-4134-8C7A-4FF2373610FA}"/>
    <cellStyle name="20% - Accent2 7 3 4" xfId="31959" xr:uid="{1DF74833-48B3-4F8F-BBA1-54F36BCBA2F9}"/>
    <cellStyle name="20% - Accent2 7 4" xfId="10861" xr:uid="{E6E13324-767B-434E-96A8-26045989D21A}"/>
    <cellStyle name="20% - Accent2 7 5" xfId="19302" xr:uid="{B2585382-B581-4DB0-9173-6217FC0C1A2A}"/>
    <cellStyle name="20% - Accent2 7 6" xfId="27742" xr:uid="{B52268F4-17EC-4800-ABA9-8DF2513F3B25}"/>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65EF23DA-0112-42A5-9C40-0DD60F89F651}"/>
    <cellStyle name="20% - Accent2 8 2 2 3" xfId="26077" xr:uid="{84D18880-F1CC-489F-BCC9-6A5F9BBE694F}"/>
    <cellStyle name="20% - Accent2 8 2 2 4" xfId="34517" xr:uid="{E6AF3128-7A49-4BDF-BDDF-0FAE66A4B5D8}"/>
    <cellStyle name="20% - Accent2 8 2 3" xfId="13419" xr:uid="{03E34600-C7BD-4ED6-A67D-BB0F730BD288}"/>
    <cellStyle name="20% - Accent2 8 2 4" xfId="21860" xr:uid="{E002D60C-43AF-4854-BB67-4B5A48728426}"/>
    <cellStyle name="20% - Accent2 8 2 5" xfId="30300" xr:uid="{37AF6540-87A5-48E3-9701-BF8E41BD73FC}"/>
    <cellStyle name="20% - Accent2 8 3" xfId="6165" xr:uid="{00000000-0005-0000-0000-00003D010000}"/>
    <cellStyle name="20% - Accent2 8 3 2" xfId="15491" xr:uid="{9815745B-4644-424D-B947-9242A3B7DD96}"/>
    <cellStyle name="20% - Accent2 8 3 3" xfId="23932" xr:uid="{2A40B08A-6991-405A-AAB3-1D9489DD86C0}"/>
    <cellStyle name="20% - Accent2 8 3 4" xfId="32372" xr:uid="{4EFA4B9D-2FA5-47A2-8F5D-569D3C18B0F8}"/>
    <cellStyle name="20% - Accent2 8 4" xfId="11274" xr:uid="{A0BC6962-2908-4319-BA94-0E34C5BD5361}"/>
    <cellStyle name="20% - Accent2 8 5" xfId="19715" xr:uid="{487725BF-9690-414D-B5DE-5DDBBD1773CB}"/>
    <cellStyle name="20% - Accent2 8 6" xfId="28155" xr:uid="{C9969063-A15C-4248-A618-5774AC6442F5}"/>
    <cellStyle name="20% - Accent2 9" xfId="2272" xr:uid="{00000000-0005-0000-0000-00003E010000}"/>
    <cellStyle name="20% - Accent2 9 2" xfId="6578" xr:uid="{00000000-0005-0000-0000-00003F010000}"/>
    <cellStyle name="20% - Accent2 9 2 2" xfId="15904" xr:uid="{A55D5C67-D6BC-41C8-BE50-6214EE7C62E0}"/>
    <cellStyle name="20% - Accent2 9 2 3" xfId="24345" xr:uid="{F202B484-D278-4AF0-84E2-ED8FED293D8C}"/>
    <cellStyle name="20% - Accent2 9 2 4" xfId="32785" xr:uid="{7F72D561-6D34-4FBA-9AD4-5DE13931843C}"/>
    <cellStyle name="20% - Accent2 9 3" xfId="11687" xr:uid="{D2CD65A6-CD5D-4DA6-83FD-C1A2947EC7FA}"/>
    <cellStyle name="20% - Accent2 9 4" xfId="20128" xr:uid="{49018312-9335-4D8E-8B2C-BA78943995BB}"/>
    <cellStyle name="20% - Accent2 9 5" xfId="28568" xr:uid="{560C2C16-52D8-4EB4-A02E-5DAEFB262842}"/>
    <cellStyle name="20% - Accent3" xfId="17" builtinId="38" customBuiltin="1"/>
    <cellStyle name="20% - Accent3 10" xfId="4520" xr:uid="{00000000-0005-0000-0000-000041010000}"/>
    <cellStyle name="20% - Accent3 10 2" xfId="13846" xr:uid="{BFD40183-90E2-456E-B8EA-FF07305C905F}"/>
    <cellStyle name="20% - Accent3 10 3" xfId="22287" xr:uid="{F477393C-2221-4EE9-8205-D1CC4565073B}"/>
    <cellStyle name="20% - Accent3 10 4" xfId="30727" xr:uid="{A4EBC04C-24DC-4E4B-8A83-7EEE2DA86687}"/>
    <cellStyle name="20% - Accent3 11" xfId="8762" xr:uid="{49ACF776-43E7-4BB5-82F5-A8A4FEBC45F8}"/>
    <cellStyle name="20% - Accent3 12" xfId="9629" xr:uid="{427B3843-8B76-4134-87B1-A73F05E233B3}"/>
    <cellStyle name="20% - Accent3 13" xfId="18070" xr:uid="{0FB6A51C-EC3E-4316-B00F-164152894BE4}"/>
    <cellStyle name="20% - Accent3 14" xfId="26510" xr:uid="{28872A70-BE26-464C-8B4F-A428BCA06085}"/>
    <cellStyle name="20% - Accent3 2" xfId="18" xr:uid="{00000000-0005-0000-0000-000042010000}"/>
    <cellStyle name="20% - Accent3 2 10" xfId="8792" xr:uid="{65E5762F-047C-4860-B47E-71363924E2A5}"/>
    <cellStyle name="20% - Accent3 2 11" xfId="9630" xr:uid="{7A791B90-F51B-433A-96C5-6C17C929A70F}"/>
    <cellStyle name="20% - Accent3 2 12" xfId="18071" xr:uid="{BF546540-28BF-4E0D-AA93-B4D10999E0D1}"/>
    <cellStyle name="20% - Accent3 2 13" xfId="26511" xr:uid="{15DBAAB5-3124-4ECB-8D71-81CF6F18117D}"/>
    <cellStyle name="20% - Accent3 2 2" xfId="19" xr:uid="{00000000-0005-0000-0000-000043010000}"/>
    <cellStyle name="20% - Accent3 2 2 10" xfId="9631" xr:uid="{015E1391-BD92-406A-93DD-416DDC21ED7A}"/>
    <cellStyle name="20% - Accent3 2 2 11" xfId="18072" xr:uid="{E446AE18-AC96-4A7D-802D-E9614A446FC4}"/>
    <cellStyle name="20% - Accent3 2 2 12" xfId="26512" xr:uid="{6C790F80-CF73-434C-B30A-F935582890EF}"/>
    <cellStyle name="20% - Accent3 2 2 2" xfId="20" xr:uid="{00000000-0005-0000-0000-000044010000}"/>
    <cellStyle name="20% - Accent3 2 2 2 10" xfId="18073" xr:uid="{A99280D9-08C9-4852-9E0B-69FD0A8A9FA5}"/>
    <cellStyle name="20% - Accent3 2 2 2 11" xfId="26513" xr:uid="{FBA5B9A0-F383-40EC-A380-EC1990321BFB}"/>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8EBE8E3C-B0D9-4189-9745-DC6F57AD17E0}"/>
    <cellStyle name="20% - Accent3 2 2 2 2 2 2 3" xfId="24849" xr:uid="{16A195FF-7BA8-4AA0-82BE-5DFCD72E15EE}"/>
    <cellStyle name="20% - Accent3 2 2 2 2 2 2 4" xfId="33289" xr:uid="{393A8D30-58E8-4BC3-B07F-F74847AED76A}"/>
    <cellStyle name="20% - Accent3 2 2 2 2 2 3" xfId="12191" xr:uid="{BAAC3B2B-460F-4F9C-B7AA-1FF6395D2242}"/>
    <cellStyle name="20% - Accent3 2 2 2 2 2 4" xfId="20632" xr:uid="{CD067CFC-2BC7-42A0-A7EC-534C1669444A}"/>
    <cellStyle name="20% - Accent3 2 2 2 2 2 5" xfId="29072" xr:uid="{0643C3B9-A41B-4044-AB77-07B7D5431379}"/>
    <cellStyle name="20% - Accent3 2 2 2 2 3" xfId="4937" xr:uid="{00000000-0005-0000-0000-000048010000}"/>
    <cellStyle name="20% - Accent3 2 2 2 2 3 2" xfId="14263" xr:uid="{2FF4AD8D-CB41-4C82-A6BA-80B08AD2D454}"/>
    <cellStyle name="20% - Accent3 2 2 2 2 3 3" xfId="22704" xr:uid="{05F7428E-CAF6-49DC-B7D3-F02FD945E88E}"/>
    <cellStyle name="20% - Accent3 2 2 2 2 3 4" xfId="31144" xr:uid="{BCDDE314-32AA-49EC-96B9-55056F94C83F}"/>
    <cellStyle name="20% - Accent3 2 2 2 2 4" xfId="9527" xr:uid="{B82F9F3C-4714-4F10-BEB2-F90FC0563F53}"/>
    <cellStyle name="20% - Accent3 2 2 2 2 5" xfId="10046" xr:uid="{ADFB7010-821C-41E6-9EE0-A97626677D85}"/>
    <cellStyle name="20% - Accent3 2 2 2 2 6" xfId="18487" xr:uid="{E8580F16-B55D-4FFC-A12C-E579935FC84A}"/>
    <cellStyle name="20% - Accent3 2 2 2 2 7" xfId="26927" xr:uid="{127E76FB-9C78-4365-9104-96E4FBF45D51}"/>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E52F9438-CEC9-47F6-B55E-4C41938CD018}"/>
    <cellStyle name="20% - Accent3 2 2 2 3 2 2 3" xfId="25262" xr:uid="{42375C1E-62C7-49DA-82DE-99AD6BE4F4CE}"/>
    <cellStyle name="20% - Accent3 2 2 2 3 2 2 4" xfId="33702" xr:uid="{DC945F73-B07C-47AF-8147-898F8EA24194}"/>
    <cellStyle name="20% - Accent3 2 2 2 3 2 3" xfId="12604" xr:uid="{DBF3CEB4-311C-49F6-9673-24D120011DE7}"/>
    <cellStyle name="20% - Accent3 2 2 2 3 2 4" xfId="21045" xr:uid="{2C0274C5-047D-40A2-8425-DA74FE1A30A8}"/>
    <cellStyle name="20% - Accent3 2 2 2 3 2 5" xfId="29485" xr:uid="{7AE55A03-2F45-44BF-B56D-392E89AF71AD}"/>
    <cellStyle name="20% - Accent3 2 2 2 3 3" xfId="5350" xr:uid="{00000000-0005-0000-0000-00004C010000}"/>
    <cellStyle name="20% - Accent3 2 2 2 3 3 2" xfId="14676" xr:uid="{21873610-00BB-4A45-BDA9-BDD228E4A931}"/>
    <cellStyle name="20% - Accent3 2 2 2 3 3 3" xfId="23117" xr:uid="{7022050F-A308-48EA-A084-9ADF1AA3FF84}"/>
    <cellStyle name="20% - Accent3 2 2 2 3 3 4" xfId="31557" xr:uid="{444B54CA-BBD0-4813-AD66-E897E79F6FF3}"/>
    <cellStyle name="20% - Accent3 2 2 2 3 4" xfId="10459" xr:uid="{FCB92D27-CC99-4BFA-ADCA-32A9C4C230EB}"/>
    <cellStyle name="20% - Accent3 2 2 2 3 5" xfId="18900" xr:uid="{49BCDCB1-59AE-4C8F-8A0B-B56B6060EF30}"/>
    <cellStyle name="20% - Accent3 2 2 2 3 6" xfId="27340" xr:uid="{068C3764-D531-417A-8055-4C509D64EE04}"/>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D1E79C67-215D-4BE8-B265-88FC1E6F2A10}"/>
    <cellStyle name="20% - Accent3 2 2 2 4 2 2 3" xfId="25675" xr:uid="{C35ECE48-9EBB-482D-BEFB-EA72E90DC728}"/>
    <cellStyle name="20% - Accent3 2 2 2 4 2 2 4" xfId="34115" xr:uid="{D0D0FD9B-3CD2-41BB-A241-120DA111634D}"/>
    <cellStyle name="20% - Accent3 2 2 2 4 2 3" xfId="13017" xr:uid="{DD77B7B2-6B8E-4ECE-A986-1D1135DF7B69}"/>
    <cellStyle name="20% - Accent3 2 2 2 4 2 4" xfId="21458" xr:uid="{1F71F22B-FD1C-48D6-84F9-2116FBD73BD9}"/>
    <cellStyle name="20% - Accent3 2 2 2 4 2 5" xfId="29898" xr:uid="{A9F6E838-41DC-454F-9FC7-38EAA70CAE2B}"/>
    <cellStyle name="20% - Accent3 2 2 2 4 3" xfId="5763" xr:uid="{00000000-0005-0000-0000-000050010000}"/>
    <cellStyle name="20% - Accent3 2 2 2 4 3 2" xfId="15089" xr:uid="{0AEC33AE-9C41-409B-AAF9-7330B8DD9342}"/>
    <cellStyle name="20% - Accent3 2 2 2 4 3 3" xfId="23530" xr:uid="{68831DDF-DB99-44FB-AFB8-CBD62F19BA21}"/>
    <cellStyle name="20% - Accent3 2 2 2 4 3 4" xfId="31970" xr:uid="{B15F9D22-CD91-4E97-A258-E977B16267BE}"/>
    <cellStyle name="20% - Accent3 2 2 2 4 4" xfId="10872" xr:uid="{D6D16B1A-3220-4F99-B307-9775C1033442}"/>
    <cellStyle name="20% - Accent3 2 2 2 4 5" xfId="19313" xr:uid="{89FA590D-358D-4AB9-BA1C-F16BBEDADBB1}"/>
    <cellStyle name="20% - Accent3 2 2 2 4 6" xfId="27753" xr:uid="{846EDD3D-7C13-498E-82D7-04183CEBE473}"/>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5CACED52-197F-4FAA-9F0F-8935D774ECC6}"/>
    <cellStyle name="20% - Accent3 2 2 2 5 2 2 3" xfId="26088" xr:uid="{C2C1A9F6-A6C4-4F09-8223-222869BC9B1A}"/>
    <cellStyle name="20% - Accent3 2 2 2 5 2 2 4" xfId="34528" xr:uid="{4C9B5D2C-46E6-4C04-99F0-831E9723EF1B}"/>
    <cellStyle name="20% - Accent3 2 2 2 5 2 3" xfId="13430" xr:uid="{0047F610-75E6-4A21-9783-DBE20EF41776}"/>
    <cellStyle name="20% - Accent3 2 2 2 5 2 4" xfId="21871" xr:uid="{7900EFF7-6F55-47AC-B506-CA4E01DD9593}"/>
    <cellStyle name="20% - Accent3 2 2 2 5 2 5" xfId="30311" xr:uid="{056EA760-5623-45D9-97F2-FCB35D1A03E2}"/>
    <cellStyle name="20% - Accent3 2 2 2 5 3" xfId="6176" xr:uid="{00000000-0005-0000-0000-000054010000}"/>
    <cellStyle name="20% - Accent3 2 2 2 5 3 2" xfId="15502" xr:uid="{FF5F8AC6-A5A1-43C4-91B5-65D14FB5CEA9}"/>
    <cellStyle name="20% - Accent3 2 2 2 5 3 3" xfId="23943" xr:uid="{34A15229-4942-4546-B170-B5A54F10C06F}"/>
    <cellStyle name="20% - Accent3 2 2 2 5 3 4" xfId="32383" xr:uid="{3E0FD3F6-C66A-4A2D-99EE-8F1E437BC0EA}"/>
    <cellStyle name="20% - Accent3 2 2 2 5 4" xfId="11285" xr:uid="{30F54773-0EB6-4843-85AF-02E73073CB25}"/>
    <cellStyle name="20% - Accent3 2 2 2 5 5" xfId="19726" xr:uid="{4CBA649D-2E47-44CE-8A8F-A75492A89637}"/>
    <cellStyle name="20% - Accent3 2 2 2 5 6" xfId="28166" xr:uid="{20A5CD59-931D-4A9D-BBCD-51EA611AD779}"/>
    <cellStyle name="20% - Accent3 2 2 2 6" xfId="2283" xr:uid="{00000000-0005-0000-0000-000055010000}"/>
    <cellStyle name="20% - Accent3 2 2 2 6 2" xfId="6589" xr:uid="{00000000-0005-0000-0000-000056010000}"/>
    <cellStyle name="20% - Accent3 2 2 2 6 2 2" xfId="15915" xr:uid="{41B7A68F-055B-4253-B5DF-584A682035DB}"/>
    <cellStyle name="20% - Accent3 2 2 2 6 2 3" xfId="24356" xr:uid="{EDB52CC2-A7D0-4A87-86AC-FD342B20AEED}"/>
    <cellStyle name="20% - Accent3 2 2 2 6 2 4" xfId="32796" xr:uid="{14537D11-2122-4449-9363-A55E719CED8E}"/>
    <cellStyle name="20% - Accent3 2 2 2 6 3" xfId="11698" xr:uid="{ED022621-DB26-473D-AB47-02AD77A99C40}"/>
    <cellStyle name="20% - Accent3 2 2 2 6 4" xfId="20139" xr:uid="{68B1BCC8-69EF-48BA-B082-E1CD3117A5C0}"/>
    <cellStyle name="20% - Accent3 2 2 2 6 5" xfId="28579" xr:uid="{0E3CB1C2-4004-41AB-A923-D53B62921B54}"/>
    <cellStyle name="20% - Accent3 2 2 2 7" xfId="4523" xr:uid="{00000000-0005-0000-0000-000057010000}"/>
    <cellStyle name="20% - Accent3 2 2 2 7 2" xfId="13849" xr:uid="{28B78ED8-D974-4C19-AADF-82D3FDF08B17}"/>
    <cellStyle name="20% - Accent3 2 2 2 7 3" xfId="22290" xr:uid="{FC4CD266-28B4-409A-8FF2-CA3878CE735B}"/>
    <cellStyle name="20% - Accent3 2 2 2 7 4" xfId="30730" xr:uid="{46D91E1B-D1A9-42B6-9B35-496EACFE1D75}"/>
    <cellStyle name="20% - Accent3 2 2 2 8" xfId="9102" xr:uid="{77698EAD-FDE4-4105-BE80-980B5219F464}"/>
    <cellStyle name="20% - Accent3 2 2 2 9" xfId="9632" xr:uid="{5D1D7492-2229-4A5B-B69A-A2F596C5B1D2}"/>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738778BF-2D26-42E2-9F00-5E49EE7B47AF}"/>
    <cellStyle name="20% - Accent3 2 2 3 2 2 3" xfId="24848" xr:uid="{87EF580B-E802-4B06-9550-CC0528E9CEB0}"/>
    <cellStyle name="20% - Accent3 2 2 3 2 2 4" xfId="33288" xr:uid="{31FD98C3-253E-4D0C-AB5B-F5AE2AFBC4AF}"/>
    <cellStyle name="20% - Accent3 2 2 3 2 3" xfId="12190" xr:uid="{DEDD118A-D292-4BEB-BD0B-1BDB318C6091}"/>
    <cellStyle name="20% - Accent3 2 2 3 2 4" xfId="20631" xr:uid="{A32BD00D-4487-4AF4-BC9F-EF735502B4A4}"/>
    <cellStyle name="20% - Accent3 2 2 3 2 5" xfId="29071" xr:uid="{BC55CB1D-6E3C-4995-9818-108843FFD4AB}"/>
    <cellStyle name="20% - Accent3 2 2 3 3" xfId="4936" xr:uid="{00000000-0005-0000-0000-00005B010000}"/>
    <cellStyle name="20% - Accent3 2 2 3 3 2" xfId="14262" xr:uid="{64E23330-035E-48C4-BE3A-200D70740480}"/>
    <cellStyle name="20% - Accent3 2 2 3 3 3" xfId="22703" xr:uid="{9CAB7DF5-2F98-49A5-BC5B-04B9E79C4803}"/>
    <cellStyle name="20% - Accent3 2 2 3 3 4" xfId="31143" xr:uid="{9038CA5E-606C-4A2D-8E0F-92639E1C853D}"/>
    <cellStyle name="20% - Accent3 2 2 3 4" xfId="9320" xr:uid="{BF070B19-D289-4211-B080-DBB621CAE7BA}"/>
    <cellStyle name="20% - Accent3 2 2 3 5" xfId="10045" xr:uid="{87233ECB-137C-45E8-9C51-23612AB9B223}"/>
    <cellStyle name="20% - Accent3 2 2 3 6" xfId="18486" xr:uid="{9687CD4C-B67B-4735-88B5-DCFF1D75C575}"/>
    <cellStyle name="20% - Accent3 2 2 3 7" xfId="26926" xr:uid="{7A1BA7D1-FA61-4F6F-B2DD-EF68EC65E33B}"/>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2C1FB8DA-C27E-4ED9-B132-BE0FF67D68C2}"/>
    <cellStyle name="20% - Accent3 2 2 4 2 2 3" xfId="25261" xr:uid="{E5DA2663-4FCF-4474-9625-93F076443336}"/>
    <cellStyle name="20% - Accent3 2 2 4 2 2 4" xfId="33701" xr:uid="{4802DBCD-75BE-4D73-8D42-B42C6CB579AE}"/>
    <cellStyle name="20% - Accent3 2 2 4 2 3" xfId="12603" xr:uid="{6310E5E3-BB32-4F54-B647-ED95CAE8357D}"/>
    <cellStyle name="20% - Accent3 2 2 4 2 4" xfId="21044" xr:uid="{0A355915-14B2-4348-A210-71C5A858722D}"/>
    <cellStyle name="20% - Accent3 2 2 4 2 5" xfId="29484" xr:uid="{3547B91B-3995-47CD-BF22-00B01612FCDC}"/>
    <cellStyle name="20% - Accent3 2 2 4 3" xfId="5349" xr:uid="{00000000-0005-0000-0000-00005F010000}"/>
    <cellStyle name="20% - Accent3 2 2 4 3 2" xfId="14675" xr:uid="{2A64415C-203B-4A52-8254-97F7B0F5A9F6}"/>
    <cellStyle name="20% - Accent3 2 2 4 3 3" xfId="23116" xr:uid="{4A03DB17-9CC2-4D79-96AF-173686EA63CF}"/>
    <cellStyle name="20% - Accent3 2 2 4 3 4" xfId="31556" xr:uid="{A9A305F0-2B11-4E18-89E0-08E0AA010E12}"/>
    <cellStyle name="20% - Accent3 2 2 4 4" xfId="10458" xr:uid="{EE3C5683-3871-4795-AB10-F1CD06994AA5}"/>
    <cellStyle name="20% - Accent3 2 2 4 5" xfId="18899" xr:uid="{7AABD190-B981-42AF-831E-EE0CA1E57564}"/>
    <cellStyle name="20% - Accent3 2 2 4 6" xfId="27339" xr:uid="{C7846990-3899-4D8C-B55B-BF75D25434E2}"/>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9EE047BB-8A9F-4A90-AF1C-6A5DE7F8CC45}"/>
    <cellStyle name="20% - Accent3 2 2 5 2 2 3" xfId="25674" xr:uid="{86239843-E8A4-43B9-802D-C02D3D47C670}"/>
    <cellStyle name="20% - Accent3 2 2 5 2 2 4" xfId="34114" xr:uid="{832B5920-2638-4DEF-B7AB-793EF5A0E871}"/>
    <cellStyle name="20% - Accent3 2 2 5 2 3" xfId="13016" xr:uid="{AEA4B613-5E02-41B5-963D-80AB2F6DBB1A}"/>
    <cellStyle name="20% - Accent3 2 2 5 2 4" xfId="21457" xr:uid="{C7563E9F-2A70-4BC7-ADBA-D27632A6D060}"/>
    <cellStyle name="20% - Accent3 2 2 5 2 5" xfId="29897" xr:uid="{9A2B4344-06E6-482E-9CA7-FF901963C5B6}"/>
    <cellStyle name="20% - Accent3 2 2 5 3" xfId="5762" xr:uid="{00000000-0005-0000-0000-000063010000}"/>
    <cellStyle name="20% - Accent3 2 2 5 3 2" xfId="15088" xr:uid="{FFFD26DC-82E4-4C41-993E-F162F8E74F2E}"/>
    <cellStyle name="20% - Accent3 2 2 5 3 3" xfId="23529" xr:uid="{E3969230-8CC7-497C-94EC-42DF918E267D}"/>
    <cellStyle name="20% - Accent3 2 2 5 3 4" xfId="31969" xr:uid="{A230A5A4-0953-4E1C-AE5D-335E10D87422}"/>
    <cellStyle name="20% - Accent3 2 2 5 4" xfId="10871" xr:uid="{1EF97AAC-2273-4467-B6A0-31461DD1CCB0}"/>
    <cellStyle name="20% - Accent3 2 2 5 5" xfId="19312" xr:uid="{4E3F8535-1CE9-4B6F-9566-46C4B1F5F781}"/>
    <cellStyle name="20% - Accent3 2 2 5 6" xfId="27752" xr:uid="{D51E1286-9891-4F74-BC2E-7F5610A85E3F}"/>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DD8D1598-23C2-4480-95B1-B611C5878DA0}"/>
    <cellStyle name="20% - Accent3 2 2 6 2 2 3" xfId="26087" xr:uid="{F57EBB97-C51C-402A-BEA1-C4C19ED7F5D2}"/>
    <cellStyle name="20% - Accent3 2 2 6 2 2 4" xfId="34527" xr:uid="{E4152565-6B23-4573-995C-E1DD14523EBF}"/>
    <cellStyle name="20% - Accent3 2 2 6 2 3" xfId="13429" xr:uid="{B02295FE-5D57-42C2-A7F9-98DC3C334199}"/>
    <cellStyle name="20% - Accent3 2 2 6 2 4" xfId="21870" xr:uid="{F1703C68-D13A-48C2-B3E9-C8D46A85C921}"/>
    <cellStyle name="20% - Accent3 2 2 6 2 5" xfId="30310" xr:uid="{89FF119A-F0CB-41E6-A102-347F9C75AE2E}"/>
    <cellStyle name="20% - Accent3 2 2 6 3" xfId="6175" xr:uid="{00000000-0005-0000-0000-000067010000}"/>
    <cellStyle name="20% - Accent3 2 2 6 3 2" xfId="15501" xr:uid="{BC95F5AD-3EFE-4E6F-903A-D42A76EC1889}"/>
    <cellStyle name="20% - Accent3 2 2 6 3 3" xfId="23942" xr:uid="{06CEDCF3-855C-4979-BD7D-6E8C4DC108EE}"/>
    <cellStyle name="20% - Accent3 2 2 6 3 4" xfId="32382" xr:uid="{441A169A-57AC-491F-9222-95A4E2FFC007}"/>
    <cellStyle name="20% - Accent3 2 2 6 4" xfId="11284" xr:uid="{8EFD3CB6-EDD9-4AFA-92F9-C0F91CEA563C}"/>
    <cellStyle name="20% - Accent3 2 2 6 5" xfId="19725" xr:uid="{926A5EFB-8419-4F55-8A4E-DE1E73D3CCF1}"/>
    <cellStyle name="20% - Accent3 2 2 6 6" xfId="28165" xr:uid="{8D2FA742-9CDD-4C6D-879B-51CEA0C48F24}"/>
    <cellStyle name="20% - Accent3 2 2 7" xfId="2282" xr:uid="{00000000-0005-0000-0000-000068010000}"/>
    <cellStyle name="20% - Accent3 2 2 7 2" xfId="6588" xr:uid="{00000000-0005-0000-0000-000069010000}"/>
    <cellStyle name="20% - Accent3 2 2 7 2 2" xfId="15914" xr:uid="{CA6F8B87-5C52-4D9B-B7BB-45CDBF5A9EAD}"/>
    <cellStyle name="20% - Accent3 2 2 7 2 3" xfId="24355" xr:uid="{D20F9FCC-E92D-4F23-84C3-733C3C5B57FF}"/>
    <cellStyle name="20% - Accent3 2 2 7 2 4" xfId="32795" xr:uid="{01CF130B-21ED-4670-8D59-5D5841DD225F}"/>
    <cellStyle name="20% - Accent3 2 2 7 3" xfId="11697" xr:uid="{0D87D36B-88AD-4D78-AB02-EB1C4BC1C46C}"/>
    <cellStyle name="20% - Accent3 2 2 7 4" xfId="20138" xr:uid="{FF0B134B-FB67-4BD2-840C-086F74E9E7F9}"/>
    <cellStyle name="20% - Accent3 2 2 7 5" xfId="28578" xr:uid="{8906F3E7-37E4-4F4B-AD1B-8C86BC6BE334}"/>
    <cellStyle name="20% - Accent3 2 2 8" xfId="4522" xr:uid="{00000000-0005-0000-0000-00006A010000}"/>
    <cellStyle name="20% - Accent3 2 2 8 2" xfId="13848" xr:uid="{4C323125-2AC3-4183-AD7D-CA054CA79D4C}"/>
    <cellStyle name="20% - Accent3 2 2 8 3" xfId="22289" xr:uid="{446EA879-0FCA-4949-99A0-8EB324DFAAC1}"/>
    <cellStyle name="20% - Accent3 2 2 8 4" xfId="30729" xr:uid="{ADCD1501-7CB7-4D1B-9A3A-4A844F808E73}"/>
    <cellStyle name="20% - Accent3 2 2 9" xfId="8895" xr:uid="{0ADDC6BA-FD9D-420D-8F5A-13E0A04BBC7C}"/>
    <cellStyle name="20% - Accent3 2 3" xfId="21" xr:uid="{00000000-0005-0000-0000-00006B010000}"/>
    <cellStyle name="20% - Accent3 2 3 10" xfId="18074" xr:uid="{B4ED83B8-3D55-4610-BD34-56DEE352573D}"/>
    <cellStyle name="20% - Accent3 2 3 11" xfId="26514" xr:uid="{8A9A1787-497B-4193-BA0C-0C2081DAE1D3}"/>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A21EBDE4-4672-46EB-9BC5-D7FECEAB9326}"/>
    <cellStyle name="20% - Accent3 2 3 2 2 2 3" xfId="24850" xr:uid="{3AD00A56-6C32-4FB1-AF41-5776D884F800}"/>
    <cellStyle name="20% - Accent3 2 3 2 2 2 4" xfId="33290" xr:uid="{5B301898-A8DF-4B66-9BAF-8B4E067DA6A6}"/>
    <cellStyle name="20% - Accent3 2 3 2 2 3" xfId="12192" xr:uid="{FCF34424-AB71-4121-B77A-2746C68B6320}"/>
    <cellStyle name="20% - Accent3 2 3 2 2 4" xfId="20633" xr:uid="{A7F1343B-3045-4A0D-AE62-6DD12A97EE05}"/>
    <cellStyle name="20% - Accent3 2 3 2 2 5" xfId="29073" xr:uid="{13B502AF-7D65-4176-8D9D-4A6690E5B8DF}"/>
    <cellStyle name="20% - Accent3 2 3 2 3" xfId="4938" xr:uid="{00000000-0005-0000-0000-00006F010000}"/>
    <cellStyle name="20% - Accent3 2 3 2 3 2" xfId="14264" xr:uid="{B7A36EFE-ABA8-4106-ADDA-FC1349255AD8}"/>
    <cellStyle name="20% - Accent3 2 3 2 3 3" xfId="22705" xr:uid="{D600711D-1040-4CAD-8AF5-39056A9E223C}"/>
    <cellStyle name="20% - Accent3 2 3 2 3 4" xfId="31145" xr:uid="{C4B4F0EC-E345-44DD-93EE-F832C1780770}"/>
    <cellStyle name="20% - Accent3 2 3 2 4" xfId="9424" xr:uid="{C3588D98-6F24-4F2C-9F96-F34501405613}"/>
    <cellStyle name="20% - Accent3 2 3 2 5" xfId="10047" xr:uid="{4D5A2C57-06A1-4681-80AD-1BF8E53956EB}"/>
    <cellStyle name="20% - Accent3 2 3 2 6" xfId="18488" xr:uid="{3C2D91C5-18C7-4086-9CA6-8861F1FC24B8}"/>
    <cellStyle name="20% - Accent3 2 3 2 7" xfId="26928" xr:uid="{4F1DA032-32A4-449F-9F46-F78F4A290D80}"/>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A57126C2-6937-4838-8F4D-4E996CCDA230}"/>
    <cellStyle name="20% - Accent3 2 3 3 2 2 3" xfId="25263" xr:uid="{E5885BC4-AD47-4DC0-A8ED-052160E099E8}"/>
    <cellStyle name="20% - Accent3 2 3 3 2 2 4" xfId="33703" xr:uid="{18556E29-AB29-4B0E-8383-979E1BDB1ED9}"/>
    <cellStyle name="20% - Accent3 2 3 3 2 3" xfId="12605" xr:uid="{3C8A27AC-0F94-46CB-8F62-D42D48B6F8F9}"/>
    <cellStyle name="20% - Accent3 2 3 3 2 4" xfId="21046" xr:uid="{ADA4B772-F0B8-499D-B4DA-A474A7B03E8B}"/>
    <cellStyle name="20% - Accent3 2 3 3 2 5" xfId="29486" xr:uid="{96EEDA36-8F29-44A5-81C0-6827DD944987}"/>
    <cellStyle name="20% - Accent3 2 3 3 3" xfId="5351" xr:uid="{00000000-0005-0000-0000-000073010000}"/>
    <cellStyle name="20% - Accent3 2 3 3 3 2" xfId="14677" xr:uid="{4594D1CE-E5B7-4B32-BB75-F2CE17F96C9D}"/>
    <cellStyle name="20% - Accent3 2 3 3 3 3" xfId="23118" xr:uid="{29E83885-D5A5-4F64-AF77-193AD139DF4E}"/>
    <cellStyle name="20% - Accent3 2 3 3 3 4" xfId="31558" xr:uid="{A7808644-3657-493F-B55B-D5ECE9118B1B}"/>
    <cellStyle name="20% - Accent3 2 3 3 4" xfId="10460" xr:uid="{514DF985-66C6-4C55-987E-A602B77615B0}"/>
    <cellStyle name="20% - Accent3 2 3 3 5" xfId="18901" xr:uid="{367068F3-8BFD-4568-A067-803330B277A3}"/>
    <cellStyle name="20% - Accent3 2 3 3 6" xfId="27341" xr:uid="{0F9E8DBF-B528-4993-8592-DE4EEF3E1600}"/>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F9F4C6D3-492F-475D-9FE1-D3304101F583}"/>
    <cellStyle name="20% - Accent3 2 3 4 2 2 3" xfId="25676" xr:uid="{35B307D8-C740-45ED-9EDE-F40758580DE5}"/>
    <cellStyle name="20% - Accent3 2 3 4 2 2 4" xfId="34116" xr:uid="{C8BE0913-24DF-4E52-A4F4-7F6B84550702}"/>
    <cellStyle name="20% - Accent3 2 3 4 2 3" xfId="13018" xr:uid="{E1082A9B-74D8-459A-A515-5CFA0B1B0FFD}"/>
    <cellStyle name="20% - Accent3 2 3 4 2 4" xfId="21459" xr:uid="{6037E5EE-AB03-46B9-AED1-CDCE1C906BC0}"/>
    <cellStyle name="20% - Accent3 2 3 4 2 5" xfId="29899" xr:uid="{1905F1A7-66B1-4EBD-AC94-CADB85B70894}"/>
    <cellStyle name="20% - Accent3 2 3 4 3" xfId="5764" xr:uid="{00000000-0005-0000-0000-000077010000}"/>
    <cellStyle name="20% - Accent3 2 3 4 3 2" xfId="15090" xr:uid="{7EB781DB-036B-4AEA-A2E6-634D88B003D4}"/>
    <cellStyle name="20% - Accent3 2 3 4 3 3" xfId="23531" xr:uid="{A0160C87-76DB-4885-BB46-A5C02FCD33B5}"/>
    <cellStyle name="20% - Accent3 2 3 4 3 4" xfId="31971" xr:uid="{3E43876C-7889-4F12-BA73-7DD6E4E69BAC}"/>
    <cellStyle name="20% - Accent3 2 3 4 4" xfId="10873" xr:uid="{15D4FAEC-6CC1-4496-A01C-418560629B28}"/>
    <cellStyle name="20% - Accent3 2 3 4 5" xfId="19314" xr:uid="{1E3A8909-1751-4379-B5A9-625C0875B008}"/>
    <cellStyle name="20% - Accent3 2 3 4 6" xfId="27754" xr:uid="{0955E430-88A8-40B3-B3C0-77C9BAD7897C}"/>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4AE1C275-C3D5-4038-98AC-3336198C7AA7}"/>
    <cellStyle name="20% - Accent3 2 3 5 2 2 3" xfId="26089" xr:uid="{5E618390-A624-426D-9E81-2255D5077E90}"/>
    <cellStyle name="20% - Accent3 2 3 5 2 2 4" xfId="34529" xr:uid="{28F671D4-1A30-44B1-B2B7-8562903D0171}"/>
    <cellStyle name="20% - Accent3 2 3 5 2 3" xfId="13431" xr:uid="{1CB99448-D2ED-4E17-8D6A-CBFD846E3A8B}"/>
    <cellStyle name="20% - Accent3 2 3 5 2 4" xfId="21872" xr:uid="{573E5EB2-B244-4186-A624-A93B9568249B}"/>
    <cellStyle name="20% - Accent3 2 3 5 2 5" xfId="30312" xr:uid="{048B209E-36A1-4127-A61B-931BFD55472F}"/>
    <cellStyle name="20% - Accent3 2 3 5 3" xfId="6177" xr:uid="{00000000-0005-0000-0000-00007B010000}"/>
    <cellStyle name="20% - Accent3 2 3 5 3 2" xfId="15503" xr:uid="{33520B6D-D84B-4D43-8055-32FD12E36F28}"/>
    <cellStyle name="20% - Accent3 2 3 5 3 3" xfId="23944" xr:uid="{A07ACB33-D0B5-4A6D-AE14-57BD49F6B75C}"/>
    <cellStyle name="20% - Accent3 2 3 5 3 4" xfId="32384" xr:uid="{C567EDC1-DCC4-4D65-A86B-CC8A1E830A74}"/>
    <cellStyle name="20% - Accent3 2 3 5 4" xfId="11286" xr:uid="{1566E5F8-231A-4B13-8994-23A22BA753D2}"/>
    <cellStyle name="20% - Accent3 2 3 5 5" xfId="19727" xr:uid="{94BE5F13-6BF2-45AC-A257-A5519501A9BF}"/>
    <cellStyle name="20% - Accent3 2 3 5 6" xfId="28167" xr:uid="{CFC4ED20-FC11-4468-A1E9-CE37A39D6451}"/>
    <cellStyle name="20% - Accent3 2 3 6" xfId="2284" xr:uid="{00000000-0005-0000-0000-00007C010000}"/>
    <cellStyle name="20% - Accent3 2 3 6 2" xfId="6590" xr:uid="{00000000-0005-0000-0000-00007D010000}"/>
    <cellStyle name="20% - Accent3 2 3 6 2 2" xfId="15916" xr:uid="{A78CE730-9800-4FAD-AC7C-7B7A5F973906}"/>
    <cellStyle name="20% - Accent3 2 3 6 2 3" xfId="24357" xr:uid="{2EFE5E86-7A31-427C-912D-C12ECC19BF36}"/>
    <cellStyle name="20% - Accent3 2 3 6 2 4" xfId="32797" xr:uid="{EE9885BD-152A-43EA-88B4-0E4477B58206}"/>
    <cellStyle name="20% - Accent3 2 3 6 3" xfId="11699" xr:uid="{BDDB329B-633E-41BA-9640-E3094C443FB9}"/>
    <cellStyle name="20% - Accent3 2 3 6 4" xfId="20140" xr:uid="{CCF0BAA0-2F56-4DDA-BE87-38384ED119A6}"/>
    <cellStyle name="20% - Accent3 2 3 6 5" xfId="28580" xr:uid="{F91E22F3-007C-42EF-9D7B-A5046504CC9E}"/>
    <cellStyle name="20% - Accent3 2 3 7" xfId="4524" xr:uid="{00000000-0005-0000-0000-00007E010000}"/>
    <cellStyle name="20% - Accent3 2 3 7 2" xfId="13850" xr:uid="{184F9EB6-A198-4352-B852-EDB80615F4BE}"/>
    <cellStyle name="20% - Accent3 2 3 7 3" xfId="22291" xr:uid="{5DB40C57-88FC-4FDF-AD84-652E5A54F9F3}"/>
    <cellStyle name="20% - Accent3 2 3 7 4" xfId="30731" xr:uid="{233B43D5-5D3D-4EB9-9C72-1EB2315997E1}"/>
    <cellStyle name="20% - Accent3 2 3 8" xfId="8999" xr:uid="{2B5D0148-B6EA-4DEA-92B1-644886C27051}"/>
    <cellStyle name="20% - Accent3 2 3 9" xfId="9633" xr:uid="{72FD2EDF-F68D-4BF1-BE48-A70D4976998A}"/>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5AA3603A-0DDD-437C-A835-4B03D0C0635B}"/>
    <cellStyle name="20% - Accent3 2 4 2 2 3" xfId="24847" xr:uid="{71452CEC-5CAE-4D6B-B39C-6EB5A6E46B7B}"/>
    <cellStyle name="20% - Accent3 2 4 2 2 4" xfId="33287" xr:uid="{94640397-C2C3-4888-9A37-5E73F7275AE2}"/>
    <cellStyle name="20% - Accent3 2 4 2 3" xfId="12189" xr:uid="{7A9FF50F-BF73-44A9-A8A8-A181E5485261}"/>
    <cellStyle name="20% - Accent3 2 4 2 4" xfId="20630" xr:uid="{9D5D3CF9-D19B-4C3C-A9BD-1D3F7D06506E}"/>
    <cellStyle name="20% - Accent3 2 4 2 5" xfId="29070" xr:uid="{C1770202-C384-4486-87EB-42A42CA890D0}"/>
    <cellStyle name="20% - Accent3 2 4 3" xfId="4935" xr:uid="{00000000-0005-0000-0000-000082010000}"/>
    <cellStyle name="20% - Accent3 2 4 3 2" xfId="14261" xr:uid="{CBC7A582-9A2D-40EF-AFCF-54FC1E89964A}"/>
    <cellStyle name="20% - Accent3 2 4 3 3" xfId="22702" xr:uid="{B83CE656-5F96-4E5E-847D-FED76ACB5C2F}"/>
    <cellStyle name="20% - Accent3 2 4 3 4" xfId="31142" xr:uid="{F4911845-192B-4E40-9D6F-8BEAE8F5071B}"/>
    <cellStyle name="20% - Accent3 2 4 4" xfId="9216" xr:uid="{A12C3877-5492-4CD3-AD22-81B3F0AB1EDD}"/>
    <cellStyle name="20% - Accent3 2 4 5" xfId="10044" xr:uid="{F1B74AB2-ACB1-46B3-B2E8-62E5CA78134D}"/>
    <cellStyle name="20% - Accent3 2 4 6" xfId="18485" xr:uid="{FF1C2F71-267B-46CB-9498-22C7B64F4502}"/>
    <cellStyle name="20% - Accent3 2 4 7" xfId="26925" xr:uid="{FDF881F6-BE72-4EE1-A39E-9F609BCD4645}"/>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550D15B0-3712-4C9A-BFF9-31ADB3270095}"/>
    <cellStyle name="20% - Accent3 2 5 2 2 3" xfId="25260" xr:uid="{B4C21B67-8D96-4FF8-9E67-3B3641A7D06A}"/>
    <cellStyle name="20% - Accent3 2 5 2 2 4" xfId="33700" xr:uid="{9C8EA7DF-8974-4B7F-97E9-A5468FB33FA3}"/>
    <cellStyle name="20% - Accent3 2 5 2 3" xfId="12602" xr:uid="{89D31C7E-2536-446B-8A0D-AF43ADDF6451}"/>
    <cellStyle name="20% - Accent3 2 5 2 4" xfId="21043" xr:uid="{73613F0E-5946-4A5A-A280-DA3459EAB936}"/>
    <cellStyle name="20% - Accent3 2 5 2 5" xfId="29483" xr:uid="{79D567C6-8487-471B-8684-9A5EA8587441}"/>
    <cellStyle name="20% - Accent3 2 5 3" xfId="5348" xr:uid="{00000000-0005-0000-0000-000086010000}"/>
    <cellStyle name="20% - Accent3 2 5 3 2" xfId="14674" xr:uid="{A5CB9927-313B-4312-9C6E-B8264C2AD1E5}"/>
    <cellStyle name="20% - Accent3 2 5 3 3" xfId="23115" xr:uid="{410E17C7-5A28-4412-A01C-7D3EA230964D}"/>
    <cellStyle name="20% - Accent3 2 5 3 4" xfId="31555" xr:uid="{76949EAB-B1D1-494F-81A0-E220F4BBA813}"/>
    <cellStyle name="20% - Accent3 2 5 4" xfId="10457" xr:uid="{375736EA-EC89-4B96-A21A-839A789D2B45}"/>
    <cellStyle name="20% - Accent3 2 5 5" xfId="18898" xr:uid="{5ADABD69-D871-4F4D-B028-16D1747DD381}"/>
    <cellStyle name="20% - Accent3 2 5 6" xfId="27338" xr:uid="{3662E1C6-EB5D-40DB-AC35-5428302C3152}"/>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9E6B1518-8746-443D-9696-33B3B263E1C1}"/>
    <cellStyle name="20% - Accent3 2 6 2 2 3" xfId="25673" xr:uid="{3A361755-4243-484A-9894-627E4A62DE29}"/>
    <cellStyle name="20% - Accent3 2 6 2 2 4" xfId="34113" xr:uid="{6B7E4608-5490-4FFE-8923-804E3C802770}"/>
    <cellStyle name="20% - Accent3 2 6 2 3" xfId="13015" xr:uid="{69071AD3-AD97-43E7-B707-95F5AB1ED16B}"/>
    <cellStyle name="20% - Accent3 2 6 2 4" xfId="21456" xr:uid="{9C495BF7-EDB6-4EFB-978F-DFFF68D1A5C0}"/>
    <cellStyle name="20% - Accent3 2 6 2 5" xfId="29896" xr:uid="{2F535C5D-6345-402E-AB89-DB297C3884C3}"/>
    <cellStyle name="20% - Accent3 2 6 3" xfId="5761" xr:uid="{00000000-0005-0000-0000-00008A010000}"/>
    <cellStyle name="20% - Accent3 2 6 3 2" xfId="15087" xr:uid="{C3BECE75-0D8D-43EA-911C-145F196EA4EC}"/>
    <cellStyle name="20% - Accent3 2 6 3 3" xfId="23528" xr:uid="{7FF43A04-D02A-4080-BF1D-B0106A10BAEE}"/>
    <cellStyle name="20% - Accent3 2 6 3 4" xfId="31968" xr:uid="{F518FD7D-11EB-4A34-9C51-080050219AF6}"/>
    <cellStyle name="20% - Accent3 2 6 4" xfId="10870" xr:uid="{49C6C682-3395-4D99-AEBE-A34689C4465A}"/>
    <cellStyle name="20% - Accent3 2 6 5" xfId="19311" xr:uid="{AE6F91E8-62D3-48C9-B06E-8B4320DDFE74}"/>
    <cellStyle name="20% - Accent3 2 6 6" xfId="27751" xr:uid="{3F1AE47C-52F7-41EC-BC1E-A481BB5430FA}"/>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0B1A278D-F1F0-47E4-9417-259A81001787}"/>
    <cellStyle name="20% - Accent3 2 7 2 2 3" xfId="26086" xr:uid="{DC12B333-77BC-4554-86FE-553C70B070B4}"/>
    <cellStyle name="20% - Accent3 2 7 2 2 4" xfId="34526" xr:uid="{6E676D0C-23C2-4E52-997D-69D7F226B2C7}"/>
    <cellStyle name="20% - Accent3 2 7 2 3" xfId="13428" xr:uid="{29DE2E91-3D85-4271-B072-47DEA6230DB4}"/>
    <cellStyle name="20% - Accent3 2 7 2 4" xfId="21869" xr:uid="{2DEAB315-DBF7-40F3-874F-9F2A369452E7}"/>
    <cellStyle name="20% - Accent3 2 7 2 5" xfId="30309" xr:uid="{9B8EC758-F1D6-4330-955D-EE7191C779AF}"/>
    <cellStyle name="20% - Accent3 2 7 3" xfId="6174" xr:uid="{00000000-0005-0000-0000-00008E010000}"/>
    <cellStyle name="20% - Accent3 2 7 3 2" xfId="15500" xr:uid="{5F3A7D3A-0823-468D-A1DA-A38237903E89}"/>
    <cellStyle name="20% - Accent3 2 7 3 3" xfId="23941" xr:uid="{B403F287-16C5-4A6D-A560-2017464DD49F}"/>
    <cellStyle name="20% - Accent3 2 7 3 4" xfId="32381" xr:uid="{E58C1BEC-51AF-4E30-94DB-F110D1A4EE5D}"/>
    <cellStyle name="20% - Accent3 2 7 4" xfId="11283" xr:uid="{D737894E-81E0-470D-AE30-3C2B9CEFD98E}"/>
    <cellStyle name="20% - Accent3 2 7 5" xfId="19724" xr:uid="{F7CAB780-D27C-4500-AD04-1EA215EFC269}"/>
    <cellStyle name="20% - Accent3 2 7 6" xfId="28164" xr:uid="{9AD8F403-29D0-4CF0-9468-347622451C7A}"/>
    <cellStyle name="20% - Accent3 2 8" xfId="2281" xr:uid="{00000000-0005-0000-0000-00008F010000}"/>
    <cellStyle name="20% - Accent3 2 8 2" xfId="6587" xr:uid="{00000000-0005-0000-0000-000090010000}"/>
    <cellStyle name="20% - Accent3 2 8 2 2" xfId="15913" xr:uid="{36458F0D-DD41-46C1-A903-1FE9D337D761}"/>
    <cellStyle name="20% - Accent3 2 8 2 3" xfId="24354" xr:uid="{04ABA09D-B52F-4704-BC21-C4283F7643C8}"/>
    <cellStyle name="20% - Accent3 2 8 2 4" xfId="32794" xr:uid="{989944D6-557A-4CEB-8B4C-9AD44DD3B398}"/>
    <cellStyle name="20% - Accent3 2 8 3" xfId="11696" xr:uid="{BCE0499B-FE15-4541-81BC-1B03083A679F}"/>
    <cellStyle name="20% - Accent3 2 8 4" xfId="20137" xr:uid="{1EE9CA70-7AE4-4311-BFBF-D566A591894D}"/>
    <cellStyle name="20% - Accent3 2 8 5" xfId="28577" xr:uid="{9F1A3BD0-CA56-4179-A3C7-68F9AF0D3991}"/>
    <cellStyle name="20% - Accent3 2 9" xfId="4521" xr:uid="{00000000-0005-0000-0000-000091010000}"/>
    <cellStyle name="20% - Accent3 2 9 2" xfId="13847" xr:uid="{682CF4B7-52E7-4E87-BE0B-076FC9D9BF9D}"/>
    <cellStyle name="20% - Accent3 2 9 3" xfId="22288" xr:uid="{8E21E45E-0C79-4530-A47B-488F77E9ACEC}"/>
    <cellStyle name="20% - Accent3 2 9 4" xfId="30728" xr:uid="{E5177AFF-1526-4B36-BFCB-4C4A6FA090B8}"/>
    <cellStyle name="20% - Accent3 3" xfId="22" xr:uid="{00000000-0005-0000-0000-000092010000}"/>
    <cellStyle name="20% - Accent3 3 10" xfId="9634" xr:uid="{FB5E7F77-1E76-4D78-BB6F-E42C9499EF12}"/>
    <cellStyle name="20% - Accent3 3 11" xfId="18075" xr:uid="{2636981F-A1A5-4FBE-B4DD-9F525A250C6D}"/>
    <cellStyle name="20% - Accent3 3 12" xfId="26515" xr:uid="{7E41F9B3-A6E9-4058-BFCA-31116F24E645}"/>
    <cellStyle name="20% - Accent3 3 2" xfId="23" xr:uid="{00000000-0005-0000-0000-000093010000}"/>
    <cellStyle name="20% - Accent3 3 2 10" xfId="18076" xr:uid="{34446B40-2BE4-404A-B1C4-C6A7D834026A}"/>
    <cellStyle name="20% - Accent3 3 2 11" xfId="26516" xr:uid="{F08058D5-8C44-4185-9C20-D455B75E1256}"/>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7B58488C-3534-460E-AAEF-F9114D915574}"/>
    <cellStyle name="20% - Accent3 3 2 2 2 2 3" xfId="24852" xr:uid="{133B1042-89E1-4368-BC45-BDEE073D345D}"/>
    <cellStyle name="20% - Accent3 3 2 2 2 2 4" xfId="33292" xr:uid="{05D15413-25A2-4FBD-8E71-6FD0FE53AB1A}"/>
    <cellStyle name="20% - Accent3 3 2 2 2 3" xfId="12194" xr:uid="{30C3A37B-11DF-4AA6-A92C-7412FA1F1D21}"/>
    <cellStyle name="20% - Accent3 3 2 2 2 4" xfId="20635" xr:uid="{2870AC07-AD6D-4B3E-B657-E84227478471}"/>
    <cellStyle name="20% - Accent3 3 2 2 2 5" xfId="29075" xr:uid="{32E540E1-7C58-47F5-8DE2-F0AC2B423474}"/>
    <cellStyle name="20% - Accent3 3 2 2 3" xfId="4940" xr:uid="{00000000-0005-0000-0000-000097010000}"/>
    <cellStyle name="20% - Accent3 3 2 2 3 2" xfId="14266" xr:uid="{9962FD3E-80F5-4155-A7BE-72549FF159C7}"/>
    <cellStyle name="20% - Accent3 3 2 2 3 3" xfId="22707" xr:uid="{0DCB321C-4608-4D00-84CB-3020E846E76B}"/>
    <cellStyle name="20% - Accent3 3 2 2 3 4" xfId="31147" xr:uid="{9F8F3D26-F8E3-4E0B-9284-C83F6F4E9D58}"/>
    <cellStyle name="20% - Accent3 3 2 2 4" xfId="9497" xr:uid="{43A0E151-F418-49A1-AF18-121DEB02B6D4}"/>
    <cellStyle name="20% - Accent3 3 2 2 5" xfId="10049" xr:uid="{04C78C2F-3994-448D-9C2B-5A0F7E702ED4}"/>
    <cellStyle name="20% - Accent3 3 2 2 6" xfId="18490" xr:uid="{358568AB-CB4E-42CF-9C7C-D6981963AF4A}"/>
    <cellStyle name="20% - Accent3 3 2 2 7" xfId="26930" xr:uid="{1D511761-67CF-49EA-B774-450B119D2C5B}"/>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6DCA9863-7154-45E7-9ABE-92EF4AABA8DD}"/>
    <cellStyle name="20% - Accent3 3 2 3 2 2 3" xfId="25265" xr:uid="{88D9D534-3DCE-4358-AB79-984F0E871D2D}"/>
    <cellStyle name="20% - Accent3 3 2 3 2 2 4" xfId="33705" xr:uid="{CF40387A-85C1-43EA-A2BA-3A4F76B4D55D}"/>
    <cellStyle name="20% - Accent3 3 2 3 2 3" xfId="12607" xr:uid="{C88B026C-87A1-42E7-BC49-D04B2626A6BC}"/>
    <cellStyle name="20% - Accent3 3 2 3 2 4" xfId="21048" xr:uid="{A3EF63A3-125E-4CE4-9E4E-352D384D33E7}"/>
    <cellStyle name="20% - Accent3 3 2 3 2 5" xfId="29488" xr:uid="{63D8454A-40FF-427C-A95C-895A8EB88433}"/>
    <cellStyle name="20% - Accent3 3 2 3 3" xfId="5353" xr:uid="{00000000-0005-0000-0000-00009B010000}"/>
    <cellStyle name="20% - Accent3 3 2 3 3 2" xfId="14679" xr:uid="{EEF1A8F3-14B6-40F5-AECE-BDFE86717CED}"/>
    <cellStyle name="20% - Accent3 3 2 3 3 3" xfId="23120" xr:uid="{CB88F0C3-BE7A-4BFE-AA58-EFBD9BD93F04}"/>
    <cellStyle name="20% - Accent3 3 2 3 3 4" xfId="31560" xr:uid="{C91D880F-74C3-4115-8A3F-D6F32F5E4771}"/>
    <cellStyle name="20% - Accent3 3 2 3 4" xfId="10462" xr:uid="{AB43E1A6-695B-4856-AF17-58292D8E822B}"/>
    <cellStyle name="20% - Accent3 3 2 3 5" xfId="18903" xr:uid="{8DEFE7DD-1127-4B66-8DD7-2F5175C9C022}"/>
    <cellStyle name="20% - Accent3 3 2 3 6" xfId="27343" xr:uid="{3FF99F0D-8771-4EB5-B670-2B89B9731BE6}"/>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83C34D62-8708-46AD-8DEB-025F285ED12C}"/>
    <cellStyle name="20% - Accent3 3 2 4 2 2 3" xfId="25678" xr:uid="{44B27844-E54A-41DD-9BE8-AF40F02D46E4}"/>
    <cellStyle name="20% - Accent3 3 2 4 2 2 4" xfId="34118" xr:uid="{3A644A6A-A46D-470E-A041-40F8B53DFC55}"/>
    <cellStyle name="20% - Accent3 3 2 4 2 3" xfId="13020" xr:uid="{0EF7C51B-BD56-452F-B397-609C70BB8D7C}"/>
    <cellStyle name="20% - Accent3 3 2 4 2 4" xfId="21461" xr:uid="{62D12AF7-6D71-407F-8481-5B5BD22EAD36}"/>
    <cellStyle name="20% - Accent3 3 2 4 2 5" xfId="29901" xr:uid="{FDC49C88-3E6F-4640-B3C7-64517B4D3883}"/>
    <cellStyle name="20% - Accent3 3 2 4 3" xfId="5766" xr:uid="{00000000-0005-0000-0000-00009F010000}"/>
    <cellStyle name="20% - Accent3 3 2 4 3 2" xfId="15092" xr:uid="{E19B42A7-FF85-4B23-887D-3B739F9E88E6}"/>
    <cellStyle name="20% - Accent3 3 2 4 3 3" xfId="23533" xr:uid="{7DF63165-23B8-478D-A47E-2A403819F79F}"/>
    <cellStyle name="20% - Accent3 3 2 4 3 4" xfId="31973" xr:uid="{42E574BE-DE61-4B0A-B944-F55B2001900A}"/>
    <cellStyle name="20% - Accent3 3 2 4 4" xfId="10875" xr:uid="{E47659DF-D12B-4214-A2DF-32DF7AB2F2DC}"/>
    <cellStyle name="20% - Accent3 3 2 4 5" xfId="19316" xr:uid="{28060611-9833-446E-BEED-0B2743D82194}"/>
    <cellStyle name="20% - Accent3 3 2 4 6" xfId="27756" xr:uid="{BEB8E228-8832-4A68-9718-308ABD7981F7}"/>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04C10E47-2B65-4770-B1EF-55DCA31ADC40}"/>
    <cellStyle name="20% - Accent3 3 2 5 2 2 3" xfId="26091" xr:uid="{BC305F07-B1ED-4242-B77E-9549B31AEE6A}"/>
    <cellStyle name="20% - Accent3 3 2 5 2 2 4" xfId="34531" xr:uid="{AAD9910B-6425-423C-AF4E-6567D82FD12E}"/>
    <cellStyle name="20% - Accent3 3 2 5 2 3" xfId="13433" xr:uid="{69879141-9B3A-40F9-876C-A07B6B40029B}"/>
    <cellStyle name="20% - Accent3 3 2 5 2 4" xfId="21874" xr:uid="{6A0BCF49-A963-49E4-AEBB-77F35889ECAA}"/>
    <cellStyle name="20% - Accent3 3 2 5 2 5" xfId="30314" xr:uid="{C4C3A876-6C1E-43A5-80E9-CBD2824342BD}"/>
    <cellStyle name="20% - Accent3 3 2 5 3" xfId="6179" xr:uid="{00000000-0005-0000-0000-0000A3010000}"/>
    <cellStyle name="20% - Accent3 3 2 5 3 2" xfId="15505" xr:uid="{6AB97339-23AB-4919-BB12-5A368E7D1CAF}"/>
    <cellStyle name="20% - Accent3 3 2 5 3 3" xfId="23946" xr:uid="{46EB1D80-B3FD-44C7-B8B5-B93DA1A5C305}"/>
    <cellStyle name="20% - Accent3 3 2 5 3 4" xfId="32386" xr:uid="{57296084-B108-4CEE-B933-E2FDEDCEF4F1}"/>
    <cellStyle name="20% - Accent3 3 2 5 4" xfId="11288" xr:uid="{DF8BF98E-B467-499C-AEC6-D66D4894EB5F}"/>
    <cellStyle name="20% - Accent3 3 2 5 5" xfId="19729" xr:uid="{5925D4D1-4EF5-4047-97B0-9A7458E8DE9D}"/>
    <cellStyle name="20% - Accent3 3 2 5 6" xfId="28169" xr:uid="{66B35518-8593-49F1-A527-06BF945321AB}"/>
    <cellStyle name="20% - Accent3 3 2 6" xfId="2286" xr:uid="{00000000-0005-0000-0000-0000A4010000}"/>
    <cellStyle name="20% - Accent3 3 2 6 2" xfId="6592" xr:uid="{00000000-0005-0000-0000-0000A5010000}"/>
    <cellStyle name="20% - Accent3 3 2 6 2 2" xfId="15918" xr:uid="{086FEF95-149F-4B38-AE50-C2280117168F}"/>
    <cellStyle name="20% - Accent3 3 2 6 2 3" xfId="24359" xr:uid="{F9CF2590-7E66-437C-A159-B5847E3DA83C}"/>
    <cellStyle name="20% - Accent3 3 2 6 2 4" xfId="32799" xr:uid="{C89F193E-664A-447A-96F0-E6EB5037DB44}"/>
    <cellStyle name="20% - Accent3 3 2 6 3" xfId="11701" xr:uid="{FA7F1B29-E568-40B0-A6CE-6F587EFFA534}"/>
    <cellStyle name="20% - Accent3 3 2 6 4" xfId="20142" xr:uid="{B1B73575-8E36-4152-BA0E-5F4F3F97359E}"/>
    <cellStyle name="20% - Accent3 3 2 6 5" xfId="28582" xr:uid="{06ABEC4D-4C83-45ED-826D-CEAB2626406F}"/>
    <cellStyle name="20% - Accent3 3 2 7" xfId="4526" xr:uid="{00000000-0005-0000-0000-0000A6010000}"/>
    <cellStyle name="20% - Accent3 3 2 7 2" xfId="13852" xr:uid="{B8D6CEB8-7279-4884-92EF-F23EFD764263}"/>
    <cellStyle name="20% - Accent3 3 2 7 3" xfId="22293" xr:uid="{565FAB17-94AE-460D-A19E-6C535F42E4D9}"/>
    <cellStyle name="20% - Accent3 3 2 7 4" xfId="30733" xr:uid="{771561CD-ECEB-4630-BF93-BEC091214DC9}"/>
    <cellStyle name="20% - Accent3 3 2 8" xfId="9072" xr:uid="{422EC144-F6F8-460E-8B93-316BBF9707FB}"/>
    <cellStyle name="20% - Accent3 3 2 9" xfId="9635" xr:uid="{8FBF7214-570E-4C02-ADCB-ABDE4BB18F0C}"/>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1CB80472-F862-4FA2-902E-867DCE7D9CD6}"/>
    <cellStyle name="20% - Accent3 3 3 2 2 3" xfId="24851" xr:uid="{B5F5F873-B2FD-44D9-90BD-7BD92593BA11}"/>
    <cellStyle name="20% - Accent3 3 3 2 2 4" xfId="33291" xr:uid="{7174CFEA-FFBF-4AB6-A27E-3BAC496AAEEE}"/>
    <cellStyle name="20% - Accent3 3 3 2 3" xfId="12193" xr:uid="{3FDC4B08-E9F0-44C3-9FF4-8B4D5F25DAD6}"/>
    <cellStyle name="20% - Accent3 3 3 2 4" xfId="20634" xr:uid="{E7EE1F50-1D25-455D-A7DC-F9E92274F499}"/>
    <cellStyle name="20% - Accent3 3 3 2 5" xfId="29074" xr:uid="{AED8BF3B-872C-4FAD-BFEF-C1FC48C2FD7E}"/>
    <cellStyle name="20% - Accent3 3 3 3" xfId="4939" xr:uid="{00000000-0005-0000-0000-0000AA010000}"/>
    <cellStyle name="20% - Accent3 3 3 3 2" xfId="14265" xr:uid="{52253A69-EB45-4141-9052-C9F9D6C1F443}"/>
    <cellStyle name="20% - Accent3 3 3 3 3" xfId="22706" xr:uid="{0D170E21-F565-4144-A4A2-256440D6920E}"/>
    <cellStyle name="20% - Accent3 3 3 3 4" xfId="31146" xr:uid="{D2E8F380-A179-449F-9668-45B230FA45EA}"/>
    <cellStyle name="20% - Accent3 3 3 4" xfId="9290" xr:uid="{8511D0A3-BAF4-4D49-BFEA-2ED828678819}"/>
    <cellStyle name="20% - Accent3 3 3 5" xfId="10048" xr:uid="{507F6391-47AA-4662-AF47-27BD91436EA2}"/>
    <cellStyle name="20% - Accent3 3 3 6" xfId="18489" xr:uid="{CAF6F533-3679-4076-A45E-33A28C90CCBE}"/>
    <cellStyle name="20% - Accent3 3 3 7" xfId="26929" xr:uid="{7225399D-769F-4CA1-BF4F-0B0296D9C492}"/>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1D9152AD-EBAE-4582-97DA-7A5FA4EE5B06}"/>
    <cellStyle name="20% - Accent3 3 4 2 2 3" xfId="25264" xr:uid="{1A770CB7-90A5-4DBE-92B4-6C425076C35E}"/>
    <cellStyle name="20% - Accent3 3 4 2 2 4" xfId="33704" xr:uid="{69D95695-13AD-409E-B568-AEC4515CBAB8}"/>
    <cellStyle name="20% - Accent3 3 4 2 3" xfId="12606" xr:uid="{90E62E7E-D1AE-4EBE-997D-A9D6BE4E0A3F}"/>
    <cellStyle name="20% - Accent3 3 4 2 4" xfId="21047" xr:uid="{60D9C2C9-7BEE-44DA-80F1-C5A199AE3CE5}"/>
    <cellStyle name="20% - Accent3 3 4 2 5" xfId="29487" xr:uid="{EF894CD4-89E7-42DE-8D90-1CE5C4D9B162}"/>
    <cellStyle name="20% - Accent3 3 4 3" xfId="5352" xr:uid="{00000000-0005-0000-0000-0000AE010000}"/>
    <cellStyle name="20% - Accent3 3 4 3 2" xfId="14678" xr:uid="{EB83B824-FA66-457D-959F-5BF0194C1DDC}"/>
    <cellStyle name="20% - Accent3 3 4 3 3" xfId="23119" xr:uid="{C36ED01A-F0A2-449A-99F4-8135E920398C}"/>
    <cellStyle name="20% - Accent3 3 4 3 4" xfId="31559" xr:uid="{7FBD7180-05FE-482E-8F99-4DEBD1C1E626}"/>
    <cellStyle name="20% - Accent3 3 4 4" xfId="10461" xr:uid="{B36D5E03-3F78-4833-B638-3500E0812F93}"/>
    <cellStyle name="20% - Accent3 3 4 5" xfId="18902" xr:uid="{188A70D6-804D-40F7-B1DE-CA6FB7FAFE89}"/>
    <cellStyle name="20% - Accent3 3 4 6" xfId="27342" xr:uid="{BFA8A161-F510-4B28-A16E-F422ACAFB490}"/>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131858AB-54D1-45AF-B7D0-7F97989A9989}"/>
    <cellStyle name="20% - Accent3 3 5 2 2 3" xfId="25677" xr:uid="{6E85D614-EDA4-4F7D-9217-336516FA6FE6}"/>
    <cellStyle name="20% - Accent3 3 5 2 2 4" xfId="34117" xr:uid="{A9DD92A0-3EB5-4DCE-9E19-2C5BCDFB6445}"/>
    <cellStyle name="20% - Accent3 3 5 2 3" xfId="13019" xr:uid="{13CFC310-4CDB-494E-9228-601627697A90}"/>
    <cellStyle name="20% - Accent3 3 5 2 4" xfId="21460" xr:uid="{C2115D7A-C878-4714-A20B-FFA82C64AF76}"/>
    <cellStyle name="20% - Accent3 3 5 2 5" xfId="29900" xr:uid="{B90231DA-A973-4E46-AF42-CD901617CD09}"/>
    <cellStyle name="20% - Accent3 3 5 3" xfId="5765" xr:uid="{00000000-0005-0000-0000-0000B2010000}"/>
    <cellStyle name="20% - Accent3 3 5 3 2" xfId="15091" xr:uid="{DAE911B3-2C86-4A38-BA9F-4EDBFF311BC6}"/>
    <cellStyle name="20% - Accent3 3 5 3 3" xfId="23532" xr:uid="{11AD992F-782B-47A7-9CDB-1583C0F06CEA}"/>
    <cellStyle name="20% - Accent3 3 5 3 4" xfId="31972" xr:uid="{78378849-36EC-4000-9E4F-E2E346F71541}"/>
    <cellStyle name="20% - Accent3 3 5 4" xfId="10874" xr:uid="{E4151B44-5CED-4249-966C-23CA9834DD14}"/>
    <cellStyle name="20% - Accent3 3 5 5" xfId="19315" xr:uid="{B887C496-9498-4F98-89D0-3E67105A2359}"/>
    <cellStyle name="20% - Accent3 3 5 6" xfId="27755" xr:uid="{8DE0210A-ECDB-4538-8CB5-92729665FAF8}"/>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6E49D4E5-6963-4132-B5CF-8A0DCF5A4A79}"/>
    <cellStyle name="20% - Accent3 3 6 2 2 3" xfId="26090" xr:uid="{92D5AFA4-1E60-4873-92ED-882E548A06DA}"/>
    <cellStyle name="20% - Accent3 3 6 2 2 4" xfId="34530" xr:uid="{21489E97-4D7F-43C3-9916-8312B9498CEF}"/>
    <cellStyle name="20% - Accent3 3 6 2 3" xfId="13432" xr:uid="{2A964BFD-34D9-4631-B878-A8D5EDD5E0ED}"/>
    <cellStyle name="20% - Accent3 3 6 2 4" xfId="21873" xr:uid="{7E7D5F3C-63B8-4EA8-B4B9-3F245849D8B6}"/>
    <cellStyle name="20% - Accent3 3 6 2 5" xfId="30313" xr:uid="{89807D7A-9399-45C5-AB9D-481F9D7FE736}"/>
    <cellStyle name="20% - Accent3 3 6 3" xfId="6178" xr:uid="{00000000-0005-0000-0000-0000B6010000}"/>
    <cellStyle name="20% - Accent3 3 6 3 2" xfId="15504" xr:uid="{2CCE243A-2AA7-4F3C-95AE-FCE8A8221875}"/>
    <cellStyle name="20% - Accent3 3 6 3 3" xfId="23945" xr:uid="{3FAC950C-B7FA-4734-A095-E058CBC5ECB9}"/>
    <cellStyle name="20% - Accent3 3 6 3 4" xfId="32385" xr:uid="{0919C166-8A95-4856-8C7F-342F6B6CEA0F}"/>
    <cellStyle name="20% - Accent3 3 6 4" xfId="11287" xr:uid="{7D53850D-34CE-48C7-B435-5FF2EAE6A0D3}"/>
    <cellStyle name="20% - Accent3 3 6 5" xfId="19728" xr:uid="{F2A4BDE0-C3A6-4618-833F-37710D96ED80}"/>
    <cellStyle name="20% - Accent3 3 6 6" xfId="28168" xr:uid="{AFB41A65-2B3B-45BF-9253-6D7BA9046AFD}"/>
    <cellStyle name="20% - Accent3 3 7" xfId="2285" xr:uid="{00000000-0005-0000-0000-0000B7010000}"/>
    <cellStyle name="20% - Accent3 3 7 2" xfId="6591" xr:uid="{00000000-0005-0000-0000-0000B8010000}"/>
    <cellStyle name="20% - Accent3 3 7 2 2" xfId="15917" xr:uid="{E570A12F-1C04-4EF2-A11D-8FA8283C355A}"/>
    <cellStyle name="20% - Accent3 3 7 2 3" xfId="24358" xr:uid="{78C1DAF3-ACFA-4AC6-822C-DCFE848EE8B5}"/>
    <cellStyle name="20% - Accent3 3 7 2 4" xfId="32798" xr:uid="{EBD771BE-2BE0-49F2-8972-DA20C47D9463}"/>
    <cellStyle name="20% - Accent3 3 7 3" xfId="11700" xr:uid="{6D03E373-AB71-4C5B-9AB1-DD66AC66F7CA}"/>
    <cellStyle name="20% - Accent3 3 7 4" xfId="20141" xr:uid="{D9183249-5BF3-43BB-9D7F-5AD87D6AC204}"/>
    <cellStyle name="20% - Accent3 3 7 5" xfId="28581" xr:uid="{CDCD4A31-ADFF-4FAC-BD36-5232EA5796A0}"/>
    <cellStyle name="20% - Accent3 3 8" xfId="4525" xr:uid="{00000000-0005-0000-0000-0000B9010000}"/>
    <cellStyle name="20% - Accent3 3 8 2" xfId="13851" xr:uid="{F5B3BA24-53F5-4BEF-B3F8-0AE1B633F085}"/>
    <cellStyle name="20% - Accent3 3 8 3" xfId="22292" xr:uid="{72BF6206-58F0-4430-AD63-4F95B9A1DA56}"/>
    <cellStyle name="20% - Accent3 3 8 4" xfId="30732" xr:uid="{1C4979E9-7CBE-4334-913E-57108B0DEA2A}"/>
    <cellStyle name="20% - Accent3 3 9" xfId="8865" xr:uid="{FFA3EBA3-F40D-47A2-8AA1-A3A9E7BB9A8E}"/>
    <cellStyle name="20% - Accent3 4" xfId="24" xr:uid="{00000000-0005-0000-0000-0000BA010000}"/>
    <cellStyle name="20% - Accent3 4 10" xfId="18077" xr:uid="{944B49AF-6CF5-4D74-A787-AA9CE641218B}"/>
    <cellStyle name="20% - Accent3 4 11" xfId="26517" xr:uid="{976CEA9F-C973-43EF-8BCF-B8F14DDA0ABC}"/>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C67C9DB9-7D9C-4E83-A9DA-72C50EA22CFC}"/>
    <cellStyle name="20% - Accent3 4 2 2 2 3" xfId="24853" xr:uid="{E0ABC29B-A6C9-443F-A657-75B9F2399CB5}"/>
    <cellStyle name="20% - Accent3 4 2 2 2 4" xfId="33293" xr:uid="{08D139F2-CBF6-4102-AF23-26BC93F6BE38}"/>
    <cellStyle name="20% - Accent3 4 2 2 3" xfId="12195" xr:uid="{D0860B14-7BA6-4560-B222-719EC48C4F63}"/>
    <cellStyle name="20% - Accent3 4 2 2 4" xfId="20636" xr:uid="{1463B28A-F0DB-48A3-A77C-91FB6C17BEBC}"/>
    <cellStyle name="20% - Accent3 4 2 2 5" xfId="29076" xr:uid="{D0E0B7E5-F30F-47A4-9E4B-39ADCCB5361F}"/>
    <cellStyle name="20% - Accent3 4 2 3" xfId="4941" xr:uid="{00000000-0005-0000-0000-0000BE010000}"/>
    <cellStyle name="20% - Accent3 4 2 3 2" xfId="14267" xr:uid="{8AEA38D1-E6EC-42E2-BD82-A50D52B59CE4}"/>
    <cellStyle name="20% - Accent3 4 2 3 3" xfId="22708" xr:uid="{736C469C-B3A3-48BB-9FE7-929E3068D1B8}"/>
    <cellStyle name="20% - Accent3 4 2 3 4" xfId="31148" xr:uid="{1A7D1339-12C5-4FB6-BA88-EE54AC6C39BA}"/>
    <cellStyle name="20% - Accent3 4 2 4" xfId="9376" xr:uid="{92AC27CA-0B0B-4AFE-8457-D3F19BE2837F}"/>
    <cellStyle name="20% - Accent3 4 2 5" xfId="10050" xr:uid="{F506597F-6CAD-462C-89B0-164B238977E5}"/>
    <cellStyle name="20% - Accent3 4 2 6" xfId="18491" xr:uid="{C57927F9-E792-47F6-A998-EE5041705B68}"/>
    <cellStyle name="20% - Accent3 4 2 7" xfId="26931" xr:uid="{94611342-170C-4092-B62C-891455B95F55}"/>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AFC5998B-BB0B-4FA9-A920-48CAB4CB7425}"/>
    <cellStyle name="20% - Accent3 4 3 2 2 3" xfId="25266" xr:uid="{7C676981-158C-47BD-A1DC-E8BBFD33AB30}"/>
    <cellStyle name="20% - Accent3 4 3 2 2 4" xfId="33706" xr:uid="{7D56862F-FEB2-45AD-BC93-39DF595F86B6}"/>
    <cellStyle name="20% - Accent3 4 3 2 3" xfId="12608" xr:uid="{86C38AF9-2AB6-4F7C-A32B-73EBB40267EF}"/>
    <cellStyle name="20% - Accent3 4 3 2 4" xfId="21049" xr:uid="{C8E0930D-A1A9-412B-ADC0-910355D753CB}"/>
    <cellStyle name="20% - Accent3 4 3 2 5" xfId="29489" xr:uid="{626E747D-E1D0-448F-8F85-2A5200E61ED8}"/>
    <cellStyle name="20% - Accent3 4 3 3" xfId="5354" xr:uid="{00000000-0005-0000-0000-0000C2010000}"/>
    <cellStyle name="20% - Accent3 4 3 3 2" xfId="14680" xr:uid="{C726183F-E8F9-4EF8-909C-B471C4B90ED6}"/>
    <cellStyle name="20% - Accent3 4 3 3 3" xfId="23121" xr:uid="{68F7CC41-A8FF-444B-9E64-CBAC04E7480E}"/>
    <cellStyle name="20% - Accent3 4 3 3 4" xfId="31561" xr:uid="{DB8827BA-D862-4112-AC45-B522CBDD991D}"/>
    <cellStyle name="20% - Accent3 4 3 4" xfId="10463" xr:uid="{756BC247-748D-417A-8A56-4404D4C74327}"/>
    <cellStyle name="20% - Accent3 4 3 5" xfId="18904" xr:uid="{F93D072A-9709-4CEC-AAE5-E5C506D793B5}"/>
    <cellStyle name="20% - Accent3 4 3 6" xfId="27344" xr:uid="{68A5F048-3228-4F16-8637-D0CC0523960C}"/>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AEC112FE-054B-4671-BB78-13F510F44A1B}"/>
    <cellStyle name="20% - Accent3 4 4 2 2 3" xfId="25679" xr:uid="{FFF61B90-86A2-4D5E-BC9E-2027768EC19E}"/>
    <cellStyle name="20% - Accent3 4 4 2 2 4" xfId="34119" xr:uid="{8E0484B7-ED88-4176-9F5C-CE79198C1DDB}"/>
    <cellStyle name="20% - Accent3 4 4 2 3" xfId="13021" xr:uid="{F5A8CC42-6C07-4418-BA29-6BB7B6D8D305}"/>
    <cellStyle name="20% - Accent3 4 4 2 4" xfId="21462" xr:uid="{98B493A9-241C-4568-BC69-9717B25B702D}"/>
    <cellStyle name="20% - Accent3 4 4 2 5" xfId="29902" xr:uid="{0B0B75C6-2C99-4D5E-8D98-AFE19427EFC3}"/>
    <cellStyle name="20% - Accent3 4 4 3" xfId="5767" xr:uid="{00000000-0005-0000-0000-0000C6010000}"/>
    <cellStyle name="20% - Accent3 4 4 3 2" xfId="15093" xr:uid="{9A11AAA9-C6A3-4C7B-A717-EAD6BC95C356}"/>
    <cellStyle name="20% - Accent3 4 4 3 3" xfId="23534" xr:uid="{0117F19A-BC8C-4F84-824E-D85B36D5345D}"/>
    <cellStyle name="20% - Accent3 4 4 3 4" xfId="31974" xr:uid="{C7ABE023-7797-43DA-A2B4-A91E0ED50D1C}"/>
    <cellStyle name="20% - Accent3 4 4 4" xfId="10876" xr:uid="{2A126BBB-AB2A-4AC0-BEB7-DC3C9E1B4169}"/>
    <cellStyle name="20% - Accent3 4 4 5" xfId="19317" xr:uid="{45C920FD-7F9D-43CE-9D23-0E13780C79BE}"/>
    <cellStyle name="20% - Accent3 4 4 6" xfId="27757" xr:uid="{8C9D7802-5C63-4094-9387-417B5480B371}"/>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128772AA-BD86-418A-B480-FACBEB5EEE77}"/>
    <cellStyle name="20% - Accent3 4 5 2 2 3" xfId="26092" xr:uid="{781518BF-51B8-45C6-AC30-FEF0D94F5750}"/>
    <cellStyle name="20% - Accent3 4 5 2 2 4" xfId="34532" xr:uid="{61356B82-05EC-4FDC-B99E-49B00474F494}"/>
    <cellStyle name="20% - Accent3 4 5 2 3" xfId="13434" xr:uid="{CC3865C1-5271-47FE-976D-9AF0984C28B2}"/>
    <cellStyle name="20% - Accent3 4 5 2 4" xfId="21875" xr:uid="{2523599F-AC71-4108-81FF-8DD4BB0C2737}"/>
    <cellStyle name="20% - Accent3 4 5 2 5" xfId="30315" xr:uid="{79C427DE-5151-4184-A876-0C6720909FCB}"/>
    <cellStyle name="20% - Accent3 4 5 3" xfId="6180" xr:uid="{00000000-0005-0000-0000-0000CA010000}"/>
    <cellStyle name="20% - Accent3 4 5 3 2" xfId="15506" xr:uid="{D23A08E4-41B0-468C-B11C-6305858612D2}"/>
    <cellStyle name="20% - Accent3 4 5 3 3" xfId="23947" xr:uid="{1AECDC8A-D702-4B75-9BFE-CF5DC6BDB7FD}"/>
    <cellStyle name="20% - Accent3 4 5 3 4" xfId="32387" xr:uid="{0A1789AA-1632-4007-BC5A-FC4F03878DBC}"/>
    <cellStyle name="20% - Accent3 4 5 4" xfId="11289" xr:uid="{4EFED70E-0AA8-423E-B59E-2191B465F4D6}"/>
    <cellStyle name="20% - Accent3 4 5 5" xfId="19730" xr:uid="{F74DD0A7-2C19-4DBF-ABC1-AE7143F7E95D}"/>
    <cellStyle name="20% - Accent3 4 5 6" xfId="28170" xr:uid="{45F7DEDE-4F69-4D34-BD48-C960E6183676}"/>
    <cellStyle name="20% - Accent3 4 6" xfId="2287" xr:uid="{00000000-0005-0000-0000-0000CB010000}"/>
    <cellStyle name="20% - Accent3 4 6 2" xfId="6593" xr:uid="{00000000-0005-0000-0000-0000CC010000}"/>
    <cellStyle name="20% - Accent3 4 6 2 2" xfId="15919" xr:uid="{172E0650-DD14-4775-82FC-8709B256BDC1}"/>
    <cellStyle name="20% - Accent3 4 6 2 3" xfId="24360" xr:uid="{B18F044B-B1E6-46D0-80EF-AA1F9318FE94}"/>
    <cellStyle name="20% - Accent3 4 6 2 4" xfId="32800" xr:uid="{B744B7D3-1281-43ED-9596-AD41D88C572A}"/>
    <cellStyle name="20% - Accent3 4 6 3" xfId="11702" xr:uid="{BFD49E74-E473-4A22-9798-7D77CA04D439}"/>
    <cellStyle name="20% - Accent3 4 6 4" xfId="20143" xr:uid="{4199B25A-0D06-42C1-8546-D9D2AC68EF4F}"/>
    <cellStyle name="20% - Accent3 4 6 5" xfId="28583" xr:uid="{DE04C2F6-5788-4BE5-AA69-D9F79473DCA3}"/>
    <cellStyle name="20% - Accent3 4 7" xfId="4527" xr:uid="{00000000-0005-0000-0000-0000CD010000}"/>
    <cellStyle name="20% - Accent3 4 7 2" xfId="13853" xr:uid="{A2A6748E-29FD-49FD-B93F-0949A4DB28ED}"/>
    <cellStyle name="20% - Accent3 4 7 3" xfId="22294" xr:uid="{8099B707-CA28-4F2A-A935-AABB9D806D9A}"/>
    <cellStyle name="20% - Accent3 4 7 4" xfId="30734" xr:uid="{C5281C83-C7B0-4096-AB45-C0B1FBD54F02}"/>
    <cellStyle name="20% - Accent3 4 8" xfId="8951" xr:uid="{3CB7770B-4F12-4C44-B65D-06C641FEE851}"/>
    <cellStyle name="20% - Accent3 4 9" xfId="9636" xr:uid="{5CF4215E-F4B9-452F-9613-3536D2E44ED0}"/>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CB65BEE3-DA0E-4B34-9279-91EDE6F1E633}"/>
    <cellStyle name="20% - Accent3 5 2 2 3" xfId="24846" xr:uid="{A1120BFA-74CA-4BE5-846A-9D6A05452D13}"/>
    <cellStyle name="20% - Accent3 5 2 2 4" xfId="33286" xr:uid="{0B04F169-8094-4AB2-B954-75F4AF34AA15}"/>
    <cellStyle name="20% - Accent3 5 2 3" xfId="12188" xr:uid="{6BE3D8F0-AF80-424E-84F2-3ED549A384E6}"/>
    <cellStyle name="20% - Accent3 5 2 4" xfId="20629" xr:uid="{0BB810CF-D5A7-440C-9AEB-1B847210A9DF}"/>
    <cellStyle name="20% - Accent3 5 2 5" xfId="29069" xr:uid="{17031B7D-19BC-46BF-A9FC-7DCEDCD03709}"/>
    <cellStyle name="20% - Accent3 5 3" xfId="4934" xr:uid="{00000000-0005-0000-0000-0000D1010000}"/>
    <cellStyle name="20% - Accent3 5 3 2" xfId="14260" xr:uid="{25F2B290-8E1F-4710-B9CE-9D1D84DBBBF8}"/>
    <cellStyle name="20% - Accent3 5 3 3" xfId="22701" xr:uid="{8702A7F3-83E3-42CF-9ABC-BB555D0B7D90}"/>
    <cellStyle name="20% - Accent3 5 3 4" xfId="31141" xr:uid="{972E839B-7B5C-487F-B741-41F37269948D}"/>
    <cellStyle name="20% - Accent3 5 4" xfId="9184" xr:uid="{F51B2D95-9593-4370-A6D2-AFEF087D7920}"/>
    <cellStyle name="20% - Accent3 5 5" xfId="10043" xr:uid="{40F401EA-4A83-4407-8217-3BD3A74FE0D4}"/>
    <cellStyle name="20% - Accent3 5 6" xfId="18484" xr:uid="{0832A64C-2E14-48A5-B905-6659063277CB}"/>
    <cellStyle name="20% - Accent3 5 7" xfId="26924" xr:uid="{EFE8D854-86A4-49F2-8EB0-D4C81B1790E9}"/>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0DD44509-7C3C-4B93-B18A-106751ABCF3C}"/>
    <cellStyle name="20% - Accent3 6 2 2 3" xfId="25259" xr:uid="{DDE0DD09-921E-4CD6-AE12-03068ECBC158}"/>
    <cellStyle name="20% - Accent3 6 2 2 4" xfId="33699" xr:uid="{A93091CD-627F-42E2-A5BE-41C4B0A22F7B}"/>
    <cellStyle name="20% - Accent3 6 2 3" xfId="12601" xr:uid="{204D8210-AA4D-4953-BB5B-C7C339168220}"/>
    <cellStyle name="20% - Accent3 6 2 4" xfId="21042" xr:uid="{918AD8BD-7CA8-4B1C-A83C-608573883B01}"/>
    <cellStyle name="20% - Accent3 6 2 5" xfId="29482" xr:uid="{E063FBC7-FD10-4348-8688-827119049B2F}"/>
    <cellStyle name="20% - Accent3 6 3" xfId="5347" xr:uid="{00000000-0005-0000-0000-0000D5010000}"/>
    <cellStyle name="20% - Accent3 6 3 2" xfId="14673" xr:uid="{469C0C44-A5E2-4979-9776-BF87C9D7C5ED}"/>
    <cellStyle name="20% - Accent3 6 3 3" xfId="23114" xr:uid="{62749E5F-8471-4243-8BE0-3981E5A8CFB9}"/>
    <cellStyle name="20% - Accent3 6 3 4" xfId="31554" xr:uid="{DEE83FD8-510F-4E58-9B62-208BE5C9E987}"/>
    <cellStyle name="20% - Accent3 6 4" xfId="10456" xr:uid="{8F0ED420-7DAF-4130-AB10-9411D0CED8B3}"/>
    <cellStyle name="20% - Accent3 6 5" xfId="18897" xr:uid="{250F6614-90B7-4923-9269-EF0894C159CD}"/>
    <cellStyle name="20% - Accent3 6 6" xfId="27337" xr:uid="{7C7F59E2-B72A-44E3-A5AE-70A71D018053}"/>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76C99CC2-0E82-4151-87D9-6356C98DD9B2}"/>
    <cellStyle name="20% - Accent3 7 2 2 3" xfId="25672" xr:uid="{86344D02-9291-41CA-9AE2-B9E93BABCE4A}"/>
    <cellStyle name="20% - Accent3 7 2 2 4" xfId="34112" xr:uid="{0F25D1CC-501D-486F-BA75-441D4E5602B9}"/>
    <cellStyle name="20% - Accent3 7 2 3" xfId="13014" xr:uid="{CCAE4CE3-4B2F-4A75-8753-C4E6FC4F7653}"/>
    <cellStyle name="20% - Accent3 7 2 4" xfId="21455" xr:uid="{536CE10A-989B-445B-BF3A-D9A0264966BB}"/>
    <cellStyle name="20% - Accent3 7 2 5" xfId="29895" xr:uid="{D29E3EC5-F0E6-4241-836C-177D46E2699A}"/>
    <cellStyle name="20% - Accent3 7 3" xfId="5760" xr:uid="{00000000-0005-0000-0000-0000D9010000}"/>
    <cellStyle name="20% - Accent3 7 3 2" xfId="15086" xr:uid="{FD5FC51D-E593-46E3-A0CB-D47C4D3FABE6}"/>
    <cellStyle name="20% - Accent3 7 3 3" xfId="23527" xr:uid="{41F7B77B-8AC0-457B-9654-A136B9580B9E}"/>
    <cellStyle name="20% - Accent3 7 3 4" xfId="31967" xr:uid="{D0173C69-CB1D-4013-B4A4-28A7CD80CA84}"/>
    <cellStyle name="20% - Accent3 7 4" xfId="10869" xr:uid="{ED822348-1DBB-4D4A-90DD-D97A10962B64}"/>
    <cellStyle name="20% - Accent3 7 5" xfId="19310" xr:uid="{C6A278D9-628F-459A-BB5D-9A09CA49D2BC}"/>
    <cellStyle name="20% - Accent3 7 6" xfId="27750" xr:uid="{0210AE8F-83EF-4361-86AC-0651085C5F1B}"/>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F6F3DECA-3073-4727-9376-F6D36558D02D}"/>
    <cellStyle name="20% - Accent3 8 2 2 3" xfId="26085" xr:uid="{16D48A8D-A9F3-48D5-BAF9-501C3A6C1AEE}"/>
    <cellStyle name="20% - Accent3 8 2 2 4" xfId="34525" xr:uid="{4CAF4099-EF9B-49C7-BBD8-20740479E5D1}"/>
    <cellStyle name="20% - Accent3 8 2 3" xfId="13427" xr:uid="{17D324B4-9C70-48A6-AC9A-E0D1554463B1}"/>
    <cellStyle name="20% - Accent3 8 2 4" xfId="21868" xr:uid="{1AF8A13B-2A82-497D-8CE1-2FB62A87E8A3}"/>
    <cellStyle name="20% - Accent3 8 2 5" xfId="30308" xr:uid="{2262CAB1-D955-4499-A865-384341682B1F}"/>
    <cellStyle name="20% - Accent3 8 3" xfId="6173" xr:uid="{00000000-0005-0000-0000-0000DD010000}"/>
    <cellStyle name="20% - Accent3 8 3 2" xfId="15499" xr:uid="{3CF32561-6860-432D-A382-285423AD2ECB}"/>
    <cellStyle name="20% - Accent3 8 3 3" xfId="23940" xr:uid="{7DE4B488-A8CA-47CA-A379-4222C819C3F4}"/>
    <cellStyle name="20% - Accent3 8 3 4" xfId="32380" xr:uid="{2F60DDAD-F8B1-4DCF-849F-691AFFEA65E5}"/>
    <cellStyle name="20% - Accent3 8 4" xfId="11282" xr:uid="{7BB799C7-64CF-461E-A8CC-4160792DD73E}"/>
    <cellStyle name="20% - Accent3 8 5" xfId="19723" xr:uid="{540C3586-8C46-4944-BE35-CD94DA87774F}"/>
    <cellStyle name="20% - Accent3 8 6" xfId="28163" xr:uid="{C3D9EF8B-6A2D-4473-8AB6-E5C0A53C3474}"/>
    <cellStyle name="20% - Accent3 9" xfId="2280" xr:uid="{00000000-0005-0000-0000-0000DE010000}"/>
    <cellStyle name="20% - Accent3 9 2" xfId="6586" xr:uid="{00000000-0005-0000-0000-0000DF010000}"/>
    <cellStyle name="20% - Accent3 9 2 2" xfId="15912" xr:uid="{FC9AEAEC-667D-4FBD-888C-25B5EA72748C}"/>
    <cellStyle name="20% - Accent3 9 2 3" xfId="24353" xr:uid="{038E999B-73E2-4BEB-B7B4-8959226DAAD7}"/>
    <cellStyle name="20% - Accent3 9 2 4" xfId="32793" xr:uid="{421EB056-3D34-4DAC-BF6D-1DAC028D27B4}"/>
    <cellStyle name="20% - Accent3 9 3" xfId="11695" xr:uid="{94C0F779-14D4-4ABD-AF60-E933CF6F58ED}"/>
    <cellStyle name="20% - Accent3 9 4" xfId="20136" xr:uid="{927E17AB-F23B-4878-B114-7722FC013CA6}"/>
    <cellStyle name="20% - Accent3 9 5" xfId="28576" xr:uid="{1FDF886D-5D15-4AF8-8E4C-37A2623F61A7}"/>
    <cellStyle name="20% - Accent4" xfId="25" builtinId="42" customBuiltin="1"/>
    <cellStyle name="20% - Accent4 10" xfId="4528" xr:uid="{00000000-0005-0000-0000-0000E1010000}"/>
    <cellStyle name="20% - Accent4 10 2" xfId="13854" xr:uid="{3EFE704D-F54A-47CD-8050-D872075D5F6C}"/>
    <cellStyle name="20% - Accent4 10 3" xfId="22295" xr:uid="{814D6479-30E9-4F9A-8DE3-C9873B899CE8}"/>
    <cellStyle name="20% - Accent4 10 4" xfId="30735" xr:uid="{FD476968-3162-4172-9464-F604FDBC04B9}"/>
    <cellStyle name="20% - Accent4 11" xfId="8764" xr:uid="{4A9BF508-806C-496D-AEC5-5842E4A62892}"/>
    <cellStyle name="20% - Accent4 12" xfId="9637" xr:uid="{2DDBBE67-E45D-4E02-9A9E-48D32C4934E6}"/>
    <cellStyle name="20% - Accent4 13" xfId="18078" xr:uid="{26378322-0E17-43F8-8FE1-000F6BB8C890}"/>
    <cellStyle name="20% - Accent4 14" xfId="26518" xr:uid="{6D759FE1-8B41-4F63-B51D-E385C1A6D2EA}"/>
    <cellStyle name="20% - Accent4 2" xfId="26" xr:uid="{00000000-0005-0000-0000-0000E2010000}"/>
    <cellStyle name="20% - Accent4 2 10" xfId="8794" xr:uid="{31A2F477-5237-45C2-B43F-25AC049A95FF}"/>
    <cellStyle name="20% - Accent4 2 11" xfId="9638" xr:uid="{5B1619B6-45FA-4706-8C65-062E64D227A9}"/>
    <cellStyle name="20% - Accent4 2 12" xfId="18079" xr:uid="{003D60EF-EE64-4A03-8AF0-9F28188422A7}"/>
    <cellStyle name="20% - Accent4 2 13" xfId="26519" xr:uid="{F7AE71FF-E565-4702-9472-06D7AEC7E91C}"/>
    <cellStyle name="20% - Accent4 2 2" xfId="27" xr:uid="{00000000-0005-0000-0000-0000E3010000}"/>
    <cellStyle name="20% - Accent4 2 2 10" xfId="9639" xr:uid="{6325B2E9-5CA2-40C8-9506-824CC5B6EED6}"/>
    <cellStyle name="20% - Accent4 2 2 11" xfId="18080" xr:uid="{CB467BE4-0F51-4BF5-8B8F-E0177BCF25C3}"/>
    <cellStyle name="20% - Accent4 2 2 12" xfId="26520" xr:uid="{1B7D014F-8BD5-447F-BECD-187F4361E5F9}"/>
    <cellStyle name="20% - Accent4 2 2 2" xfId="28" xr:uid="{00000000-0005-0000-0000-0000E4010000}"/>
    <cellStyle name="20% - Accent4 2 2 2 10" xfId="18081" xr:uid="{61434061-293E-4451-8109-B316448DEA01}"/>
    <cellStyle name="20% - Accent4 2 2 2 11" xfId="26521" xr:uid="{CFCE22C3-00FE-4DAE-B18D-F39A7FC7FE7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9E6E6BD1-612E-47C9-BC1B-662F3B0AF60C}"/>
    <cellStyle name="20% - Accent4 2 2 2 2 2 2 3" xfId="24857" xr:uid="{99302E92-EA98-4056-B748-BAE600F0E3CF}"/>
    <cellStyle name="20% - Accent4 2 2 2 2 2 2 4" xfId="33297" xr:uid="{A15BDDC0-6BBA-408D-84E2-E4210CD64A6C}"/>
    <cellStyle name="20% - Accent4 2 2 2 2 2 3" xfId="12199" xr:uid="{28321A78-0015-4BF0-8C76-556F209953B1}"/>
    <cellStyle name="20% - Accent4 2 2 2 2 2 4" xfId="20640" xr:uid="{CDDF8E56-6577-4728-9315-4739F0195C62}"/>
    <cellStyle name="20% - Accent4 2 2 2 2 2 5" xfId="29080" xr:uid="{2125AFF4-C187-424D-9AE7-A53A3D07DE3A}"/>
    <cellStyle name="20% - Accent4 2 2 2 2 3" xfId="4945" xr:uid="{00000000-0005-0000-0000-0000E8010000}"/>
    <cellStyle name="20% - Accent4 2 2 2 2 3 2" xfId="14271" xr:uid="{D06570BD-51C5-4AAA-A819-13D26A78FA92}"/>
    <cellStyle name="20% - Accent4 2 2 2 2 3 3" xfId="22712" xr:uid="{34FEA751-18FE-43FA-908B-7F3641466028}"/>
    <cellStyle name="20% - Accent4 2 2 2 2 3 4" xfId="31152" xr:uid="{F481ACEF-42DE-483E-913F-0F637063D51B}"/>
    <cellStyle name="20% - Accent4 2 2 2 2 4" xfId="9529" xr:uid="{0C40CE19-1873-4316-818D-CC943AAFBB7B}"/>
    <cellStyle name="20% - Accent4 2 2 2 2 5" xfId="10054" xr:uid="{F4911AD7-A389-421E-A9AF-A41ADE117DFE}"/>
    <cellStyle name="20% - Accent4 2 2 2 2 6" xfId="18495" xr:uid="{4B9ABA33-5598-4D98-81DE-E0D4A47DC915}"/>
    <cellStyle name="20% - Accent4 2 2 2 2 7" xfId="26935" xr:uid="{582D67FF-A1A7-4316-A632-84BE62C0CA45}"/>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5CDD6F45-180C-481E-B3AA-BF0423EE8150}"/>
    <cellStyle name="20% - Accent4 2 2 2 3 2 2 3" xfId="25270" xr:uid="{57E8C5E6-CED8-436E-891A-DD4A4A42CBD4}"/>
    <cellStyle name="20% - Accent4 2 2 2 3 2 2 4" xfId="33710" xr:uid="{435975A8-5F6C-4490-9A56-8CB44FFA8DE4}"/>
    <cellStyle name="20% - Accent4 2 2 2 3 2 3" xfId="12612" xr:uid="{87FD2B6C-09A6-4F03-98E2-FA4C3ED4D03B}"/>
    <cellStyle name="20% - Accent4 2 2 2 3 2 4" xfId="21053" xr:uid="{B634892F-0FDA-46A8-B065-DE145593BD7A}"/>
    <cellStyle name="20% - Accent4 2 2 2 3 2 5" xfId="29493" xr:uid="{71477B39-A445-470D-98B1-4F43F085823D}"/>
    <cellStyle name="20% - Accent4 2 2 2 3 3" xfId="5358" xr:uid="{00000000-0005-0000-0000-0000EC010000}"/>
    <cellStyle name="20% - Accent4 2 2 2 3 3 2" xfId="14684" xr:uid="{AB92CE7E-E7AA-48D5-B87D-0E050D978E94}"/>
    <cellStyle name="20% - Accent4 2 2 2 3 3 3" xfId="23125" xr:uid="{AE8D87D7-254B-491A-8056-13DCA70EDAD3}"/>
    <cellStyle name="20% - Accent4 2 2 2 3 3 4" xfId="31565" xr:uid="{F476BD1C-A79C-4E43-9AB9-56EF17F098B9}"/>
    <cellStyle name="20% - Accent4 2 2 2 3 4" xfId="10467" xr:uid="{B9D996C7-C833-455B-8F81-7DE0AD119321}"/>
    <cellStyle name="20% - Accent4 2 2 2 3 5" xfId="18908" xr:uid="{09D84672-6E91-4035-BE53-8FCC1222057D}"/>
    <cellStyle name="20% - Accent4 2 2 2 3 6" xfId="27348" xr:uid="{8A0DA59E-08E7-41EB-8E3E-A2A1E175ADE4}"/>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B4814FC7-3AD5-42D2-A68D-CF6F8A6A41D5}"/>
    <cellStyle name="20% - Accent4 2 2 2 4 2 2 3" xfId="25683" xr:uid="{9F58B794-C1FE-49BC-985A-D50491B06474}"/>
    <cellStyle name="20% - Accent4 2 2 2 4 2 2 4" xfId="34123" xr:uid="{7A6D85B6-194B-42F0-9327-5E39D65AEEAD}"/>
    <cellStyle name="20% - Accent4 2 2 2 4 2 3" xfId="13025" xr:uid="{188C0219-C11F-44AE-ADAE-BB3BCBE71309}"/>
    <cellStyle name="20% - Accent4 2 2 2 4 2 4" xfId="21466" xr:uid="{AD62BE3A-2CCF-4136-9B60-0A36A629A022}"/>
    <cellStyle name="20% - Accent4 2 2 2 4 2 5" xfId="29906" xr:uid="{467D54A8-D9A8-4488-8EDD-DF5DBB341A99}"/>
    <cellStyle name="20% - Accent4 2 2 2 4 3" xfId="5771" xr:uid="{00000000-0005-0000-0000-0000F0010000}"/>
    <cellStyle name="20% - Accent4 2 2 2 4 3 2" xfId="15097" xr:uid="{EDC69BB2-53FF-47F2-822A-861213FE37FE}"/>
    <cellStyle name="20% - Accent4 2 2 2 4 3 3" xfId="23538" xr:uid="{36F904C9-C40D-4223-AF0E-75CF89BA22C7}"/>
    <cellStyle name="20% - Accent4 2 2 2 4 3 4" xfId="31978" xr:uid="{8DF3D296-BFCB-4265-927B-1945EBD6029C}"/>
    <cellStyle name="20% - Accent4 2 2 2 4 4" xfId="10880" xr:uid="{218CF1BD-4509-4CA0-A0D4-5403058991C5}"/>
    <cellStyle name="20% - Accent4 2 2 2 4 5" xfId="19321" xr:uid="{7E737788-5AC5-460E-A2A0-A1016E70E741}"/>
    <cellStyle name="20% - Accent4 2 2 2 4 6" xfId="27761" xr:uid="{71072B7D-9055-4DA2-BCA9-A5FB567789EE}"/>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AC65A69D-22BB-4EA2-98CD-E82941E3C418}"/>
    <cellStyle name="20% - Accent4 2 2 2 5 2 2 3" xfId="26096" xr:uid="{4B932A56-2D56-47DA-9791-C2184FFD2E71}"/>
    <cellStyle name="20% - Accent4 2 2 2 5 2 2 4" xfId="34536" xr:uid="{AE8600F4-A356-4B50-A7E2-926FA6FC18DA}"/>
    <cellStyle name="20% - Accent4 2 2 2 5 2 3" xfId="13438" xr:uid="{052C9DBE-925B-4B34-8503-22C58A431A5D}"/>
    <cellStyle name="20% - Accent4 2 2 2 5 2 4" xfId="21879" xr:uid="{8F23E118-67B1-49BE-9741-6DEFB3010ACA}"/>
    <cellStyle name="20% - Accent4 2 2 2 5 2 5" xfId="30319" xr:uid="{A7FECD2C-9259-41B0-89CB-FCA79014A3DD}"/>
    <cellStyle name="20% - Accent4 2 2 2 5 3" xfId="6184" xr:uid="{00000000-0005-0000-0000-0000F4010000}"/>
    <cellStyle name="20% - Accent4 2 2 2 5 3 2" xfId="15510" xr:uid="{4BEABF1F-F808-43C0-A6B7-DE4214B8CAAD}"/>
    <cellStyle name="20% - Accent4 2 2 2 5 3 3" xfId="23951" xr:uid="{D6149195-0670-4E07-BD55-D49C1D39FCFC}"/>
    <cellStyle name="20% - Accent4 2 2 2 5 3 4" xfId="32391" xr:uid="{D0D49311-DA28-41D5-848A-FF9509B849D4}"/>
    <cellStyle name="20% - Accent4 2 2 2 5 4" xfId="11293" xr:uid="{87019C80-2EB1-4600-8DF1-24FB849DB838}"/>
    <cellStyle name="20% - Accent4 2 2 2 5 5" xfId="19734" xr:uid="{024828EB-8BB8-45C9-97B3-48E2099C1FBE}"/>
    <cellStyle name="20% - Accent4 2 2 2 5 6" xfId="28174" xr:uid="{11A70472-ED86-4324-B7B2-D845F951CA85}"/>
    <cellStyle name="20% - Accent4 2 2 2 6" xfId="2291" xr:uid="{00000000-0005-0000-0000-0000F5010000}"/>
    <cellStyle name="20% - Accent4 2 2 2 6 2" xfId="6597" xr:uid="{00000000-0005-0000-0000-0000F6010000}"/>
    <cellStyle name="20% - Accent4 2 2 2 6 2 2" xfId="15923" xr:uid="{32D32186-4671-416C-B4E7-FF4D21231930}"/>
    <cellStyle name="20% - Accent4 2 2 2 6 2 3" xfId="24364" xr:uid="{60147B89-A3FC-4D10-9B0C-2242BE9AA8D1}"/>
    <cellStyle name="20% - Accent4 2 2 2 6 2 4" xfId="32804" xr:uid="{958AB482-322D-45B0-BFD3-0283968A3D0C}"/>
    <cellStyle name="20% - Accent4 2 2 2 6 3" xfId="11706" xr:uid="{70E2EAB3-1E3C-4ABB-B9DB-082927104CBE}"/>
    <cellStyle name="20% - Accent4 2 2 2 6 4" xfId="20147" xr:uid="{79FF750E-6FB9-42F2-80C3-48F2E95B72AC}"/>
    <cellStyle name="20% - Accent4 2 2 2 6 5" xfId="28587" xr:uid="{F0EF596B-C2BE-43D7-82C1-D3D454494850}"/>
    <cellStyle name="20% - Accent4 2 2 2 7" xfId="4531" xr:uid="{00000000-0005-0000-0000-0000F7010000}"/>
    <cellStyle name="20% - Accent4 2 2 2 7 2" xfId="13857" xr:uid="{F55232F5-144A-4AE1-BD63-B205CF8983DF}"/>
    <cellStyle name="20% - Accent4 2 2 2 7 3" xfId="22298" xr:uid="{D94B8552-5A9F-44E3-98B7-594B3BF0BD55}"/>
    <cellStyle name="20% - Accent4 2 2 2 7 4" xfId="30738" xr:uid="{BAB94B16-E65A-4B03-BC5A-17583F6B9947}"/>
    <cellStyle name="20% - Accent4 2 2 2 8" xfId="9104" xr:uid="{526BE306-22BA-4A85-81B2-34AEB56F0D90}"/>
    <cellStyle name="20% - Accent4 2 2 2 9" xfId="9640" xr:uid="{A2DD786D-1D67-4E91-841E-2E0EF02FA2A6}"/>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DCE553D0-D6D4-4440-B740-DBE9A56690BF}"/>
    <cellStyle name="20% - Accent4 2 2 3 2 2 3" xfId="24856" xr:uid="{3551C307-8D51-43A8-AFA5-2B835373CD11}"/>
    <cellStyle name="20% - Accent4 2 2 3 2 2 4" xfId="33296" xr:uid="{AF3B4CE6-96A0-40F5-B326-108A699C7DFB}"/>
    <cellStyle name="20% - Accent4 2 2 3 2 3" xfId="12198" xr:uid="{C98FEEFA-A7AA-49D1-AADF-82C908C0B5C1}"/>
    <cellStyle name="20% - Accent4 2 2 3 2 4" xfId="20639" xr:uid="{8CF4D00D-703B-4A0D-ABDB-4DB08EBBE872}"/>
    <cellStyle name="20% - Accent4 2 2 3 2 5" xfId="29079" xr:uid="{F072B9A6-35BE-4C4B-ABA6-192EE8F89E6E}"/>
    <cellStyle name="20% - Accent4 2 2 3 3" xfId="4944" xr:uid="{00000000-0005-0000-0000-0000FB010000}"/>
    <cellStyle name="20% - Accent4 2 2 3 3 2" xfId="14270" xr:uid="{B9071E85-86AD-4774-8BD6-4A1EC7DB88CB}"/>
    <cellStyle name="20% - Accent4 2 2 3 3 3" xfId="22711" xr:uid="{422A001C-2861-4623-8541-45DDD5C4928F}"/>
    <cellStyle name="20% - Accent4 2 2 3 3 4" xfId="31151" xr:uid="{7310F3AD-BBC3-4E78-9263-3FDCD5EFAFEC}"/>
    <cellStyle name="20% - Accent4 2 2 3 4" xfId="9322" xr:uid="{003BBE99-27AA-4036-A373-4475953A88F4}"/>
    <cellStyle name="20% - Accent4 2 2 3 5" xfId="10053" xr:uid="{07888C25-477C-4DE4-8B37-8774183A6305}"/>
    <cellStyle name="20% - Accent4 2 2 3 6" xfId="18494" xr:uid="{4EB2883E-6E5B-4F53-83CD-0593EF43FEFD}"/>
    <cellStyle name="20% - Accent4 2 2 3 7" xfId="26934" xr:uid="{BFF065CB-8E1D-44F8-9907-FC69410A1FC8}"/>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0C370513-CA81-403C-A488-990F09553073}"/>
    <cellStyle name="20% - Accent4 2 2 4 2 2 3" xfId="25269" xr:uid="{F77E8DF1-3E08-4C2D-88E5-69B0737A0D48}"/>
    <cellStyle name="20% - Accent4 2 2 4 2 2 4" xfId="33709" xr:uid="{32AFAC1A-405B-40A3-ABD3-7F207C71FAFB}"/>
    <cellStyle name="20% - Accent4 2 2 4 2 3" xfId="12611" xr:uid="{260E66C0-8D80-4B49-8E15-09D862A102E9}"/>
    <cellStyle name="20% - Accent4 2 2 4 2 4" xfId="21052" xr:uid="{85AAFBF4-9CC8-4F77-A835-40BA1D783AD5}"/>
    <cellStyle name="20% - Accent4 2 2 4 2 5" xfId="29492" xr:uid="{C93558AE-4647-4D3F-BD1E-B91111E5E5E6}"/>
    <cellStyle name="20% - Accent4 2 2 4 3" xfId="5357" xr:uid="{00000000-0005-0000-0000-0000FF010000}"/>
    <cellStyle name="20% - Accent4 2 2 4 3 2" xfId="14683" xr:uid="{1D6CBE0E-C827-4D43-A0FA-C7DB1C20FD36}"/>
    <cellStyle name="20% - Accent4 2 2 4 3 3" xfId="23124" xr:uid="{063AF61B-E77B-4C30-B2A4-4E1EE0F9FE6C}"/>
    <cellStyle name="20% - Accent4 2 2 4 3 4" xfId="31564" xr:uid="{A441E558-5544-43F5-807B-72613C0ECA81}"/>
    <cellStyle name="20% - Accent4 2 2 4 4" xfId="10466" xr:uid="{065DCA54-2275-42B6-8E38-7FB70B6B55C9}"/>
    <cellStyle name="20% - Accent4 2 2 4 5" xfId="18907" xr:uid="{424946D1-3959-46B3-90E8-75982399F3EA}"/>
    <cellStyle name="20% - Accent4 2 2 4 6" xfId="27347" xr:uid="{EC2828FC-8F77-4B42-BDE7-6390774B2D72}"/>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DF490C91-D846-4036-8BC2-8D79AB3E2FBE}"/>
    <cellStyle name="20% - Accent4 2 2 5 2 2 3" xfId="25682" xr:uid="{0FD6A17F-9058-4C63-A27B-D170655322E2}"/>
    <cellStyle name="20% - Accent4 2 2 5 2 2 4" xfId="34122" xr:uid="{CEFCBAE5-7B98-453C-A977-F897D8834D65}"/>
    <cellStyle name="20% - Accent4 2 2 5 2 3" xfId="13024" xr:uid="{7256D6A7-C3FA-460C-9D1B-AFF5F2ED3C9E}"/>
    <cellStyle name="20% - Accent4 2 2 5 2 4" xfId="21465" xr:uid="{B03870B9-3D55-4191-9025-E9F679CB27A8}"/>
    <cellStyle name="20% - Accent4 2 2 5 2 5" xfId="29905" xr:uid="{B6F4970F-5E6C-4BC5-A02A-80BE3BABC726}"/>
    <cellStyle name="20% - Accent4 2 2 5 3" xfId="5770" xr:uid="{00000000-0005-0000-0000-000003020000}"/>
    <cellStyle name="20% - Accent4 2 2 5 3 2" xfId="15096" xr:uid="{0D7B23B6-A132-4C69-93B5-7B8309B48634}"/>
    <cellStyle name="20% - Accent4 2 2 5 3 3" xfId="23537" xr:uid="{61291C09-1063-4B22-ACF2-6A9AC8C71331}"/>
    <cellStyle name="20% - Accent4 2 2 5 3 4" xfId="31977" xr:uid="{6314B83C-7BDD-48FD-AF24-C1B7C073F804}"/>
    <cellStyle name="20% - Accent4 2 2 5 4" xfId="10879" xr:uid="{C3194214-3487-4AF0-841C-5EA9B1AA8639}"/>
    <cellStyle name="20% - Accent4 2 2 5 5" xfId="19320" xr:uid="{2B0AD27E-B468-48CC-B137-BF93571DA009}"/>
    <cellStyle name="20% - Accent4 2 2 5 6" xfId="27760" xr:uid="{1D0C1E03-03B8-4787-AFBF-7846454EEE6F}"/>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363F2B9E-C59D-4F20-AF15-D351EC93C3DD}"/>
    <cellStyle name="20% - Accent4 2 2 6 2 2 3" xfId="26095" xr:uid="{D0291816-66AC-4C03-BEBC-D53112D9FE7E}"/>
    <cellStyle name="20% - Accent4 2 2 6 2 2 4" xfId="34535" xr:uid="{81E9C539-7913-4B17-A056-BC2A2E18E012}"/>
    <cellStyle name="20% - Accent4 2 2 6 2 3" xfId="13437" xr:uid="{DC70A6EE-0277-4C66-8380-7F064E80BF73}"/>
    <cellStyle name="20% - Accent4 2 2 6 2 4" xfId="21878" xr:uid="{6DB99766-0881-4205-B6E9-A5D0B502B260}"/>
    <cellStyle name="20% - Accent4 2 2 6 2 5" xfId="30318" xr:uid="{A5D2260F-5A57-4875-BF16-2CE5240D619A}"/>
    <cellStyle name="20% - Accent4 2 2 6 3" xfId="6183" xr:uid="{00000000-0005-0000-0000-000007020000}"/>
    <cellStyle name="20% - Accent4 2 2 6 3 2" xfId="15509" xr:uid="{A2B9CEF7-BF39-406F-B467-C1D4243ABF0E}"/>
    <cellStyle name="20% - Accent4 2 2 6 3 3" xfId="23950" xr:uid="{98B8096A-3023-4443-9D50-0FD291AC8C8F}"/>
    <cellStyle name="20% - Accent4 2 2 6 3 4" xfId="32390" xr:uid="{78020C99-BCD3-48C2-A348-FE547A2F2391}"/>
    <cellStyle name="20% - Accent4 2 2 6 4" xfId="11292" xr:uid="{8A3D6779-8E8B-43A3-B85D-1DCF8F13A1CD}"/>
    <cellStyle name="20% - Accent4 2 2 6 5" xfId="19733" xr:uid="{0C462857-C528-4B23-8736-16FBAE7C337A}"/>
    <cellStyle name="20% - Accent4 2 2 6 6" xfId="28173" xr:uid="{59CD2254-B00D-42CF-827F-E5484631A237}"/>
    <cellStyle name="20% - Accent4 2 2 7" xfId="2290" xr:uid="{00000000-0005-0000-0000-000008020000}"/>
    <cellStyle name="20% - Accent4 2 2 7 2" xfId="6596" xr:uid="{00000000-0005-0000-0000-000009020000}"/>
    <cellStyle name="20% - Accent4 2 2 7 2 2" xfId="15922" xr:uid="{CE03BCA7-DDDB-4192-BB39-D75C1977ECC3}"/>
    <cellStyle name="20% - Accent4 2 2 7 2 3" xfId="24363" xr:uid="{DBC4859A-EFBE-4BEA-9EF2-760AA2E89515}"/>
    <cellStyle name="20% - Accent4 2 2 7 2 4" xfId="32803" xr:uid="{80773FA9-8BAB-45A1-AEB1-05F901127F3A}"/>
    <cellStyle name="20% - Accent4 2 2 7 3" xfId="11705" xr:uid="{E1E89A7A-A8CF-48C9-87D0-E2BBB76E5B02}"/>
    <cellStyle name="20% - Accent4 2 2 7 4" xfId="20146" xr:uid="{4C4AF360-AF45-4261-B441-30A663DDE085}"/>
    <cellStyle name="20% - Accent4 2 2 7 5" xfId="28586" xr:uid="{4CC8FEE4-9BBB-4792-BB27-FDF55D507609}"/>
    <cellStyle name="20% - Accent4 2 2 8" xfId="4530" xr:uid="{00000000-0005-0000-0000-00000A020000}"/>
    <cellStyle name="20% - Accent4 2 2 8 2" xfId="13856" xr:uid="{66DF0BC5-6DDE-4F82-9237-14703D8FD5FE}"/>
    <cellStyle name="20% - Accent4 2 2 8 3" xfId="22297" xr:uid="{D582A0A2-7524-4254-B47C-A04EF2291522}"/>
    <cellStyle name="20% - Accent4 2 2 8 4" xfId="30737" xr:uid="{F608EE2D-59A0-4C08-B6F8-AEED44E73E74}"/>
    <cellStyle name="20% - Accent4 2 2 9" xfId="8897" xr:uid="{3A58A73C-0193-4EAC-8E12-5BF8743CE9BA}"/>
    <cellStyle name="20% - Accent4 2 3" xfId="29" xr:uid="{00000000-0005-0000-0000-00000B020000}"/>
    <cellStyle name="20% - Accent4 2 3 10" xfId="18082" xr:uid="{67B64F82-FD68-4947-9593-34041BBF4DA3}"/>
    <cellStyle name="20% - Accent4 2 3 11" xfId="26522" xr:uid="{A4101161-BECA-45FF-BDA3-D1AE40C40ACA}"/>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4B132C19-2617-43E3-A159-9BF20256908C}"/>
    <cellStyle name="20% - Accent4 2 3 2 2 2 3" xfId="24858" xr:uid="{BB2CAD48-A0DC-42D0-8290-9061461A8583}"/>
    <cellStyle name="20% - Accent4 2 3 2 2 2 4" xfId="33298" xr:uid="{B3B98AF9-B6AB-4AD6-93E4-38A7E0B4F85A}"/>
    <cellStyle name="20% - Accent4 2 3 2 2 3" xfId="12200" xr:uid="{67709BD3-4752-4AB0-845E-E851F43462F9}"/>
    <cellStyle name="20% - Accent4 2 3 2 2 4" xfId="20641" xr:uid="{747A1156-2860-4A4F-9AF7-E84E43DA0EC5}"/>
    <cellStyle name="20% - Accent4 2 3 2 2 5" xfId="29081" xr:uid="{7B816E63-C456-438C-B556-989433B347F2}"/>
    <cellStyle name="20% - Accent4 2 3 2 3" xfId="4946" xr:uid="{00000000-0005-0000-0000-00000F020000}"/>
    <cellStyle name="20% - Accent4 2 3 2 3 2" xfId="14272" xr:uid="{2A70D4C5-1124-40D8-8AFC-A983CE702D2F}"/>
    <cellStyle name="20% - Accent4 2 3 2 3 3" xfId="22713" xr:uid="{A358BB92-52F7-488D-A635-0F0B207BD311}"/>
    <cellStyle name="20% - Accent4 2 3 2 3 4" xfId="31153" xr:uid="{3E238761-E33B-4268-8CEA-11374E0323B0}"/>
    <cellStyle name="20% - Accent4 2 3 2 4" xfId="9426" xr:uid="{5B247D51-FBFD-4799-8395-E3F1C04297B8}"/>
    <cellStyle name="20% - Accent4 2 3 2 5" xfId="10055" xr:uid="{D1860333-9D55-43EC-B155-FCD312F08001}"/>
    <cellStyle name="20% - Accent4 2 3 2 6" xfId="18496" xr:uid="{52AD249E-C783-468C-A375-025075C46A52}"/>
    <cellStyle name="20% - Accent4 2 3 2 7" xfId="26936" xr:uid="{302C3634-989A-43D1-A940-E899DDF32076}"/>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A7A56307-368F-4DF7-AD79-53D790BA899B}"/>
    <cellStyle name="20% - Accent4 2 3 3 2 2 3" xfId="25271" xr:uid="{1EC03BE6-AF31-4082-9557-7481B990D035}"/>
    <cellStyle name="20% - Accent4 2 3 3 2 2 4" xfId="33711" xr:uid="{82F898C6-DC42-4BAC-B00D-0CEE3317DB81}"/>
    <cellStyle name="20% - Accent4 2 3 3 2 3" xfId="12613" xr:uid="{E52C9CE3-371A-4C2D-B0D4-E34ED0F3175B}"/>
    <cellStyle name="20% - Accent4 2 3 3 2 4" xfId="21054" xr:uid="{2C9D2894-4822-40C3-B12F-25C111A3D367}"/>
    <cellStyle name="20% - Accent4 2 3 3 2 5" xfId="29494" xr:uid="{1F99075B-5B45-4A46-8E64-F2EAC469D374}"/>
    <cellStyle name="20% - Accent4 2 3 3 3" xfId="5359" xr:uid="{00000000-0005-0000-0000-000013020000}"/>
    <cellStyle name="20% - Accent4 2 3 3 3 2" xfId="14685" xr:uid="{673C7D00-04F4-4AA7-A14D-1D02779903DC}"/>
    <cellStyle name="20% - Accent4 2 3 3 3 3" xfId="23126" xr:uid="{3706138A-23B1-4DEE-BA63-8EB52B002E3D}"/>
    <cellStyle name="20% - Accent4 2 3 3 3 4" xfId="31566" xr:uid="{13F50170-181E-4400-9992-34E154BAE6C4}"/>
    <cellStyle name="20% - Accent4 2 3 3 4" xfId="10468" xr:uid="{26E73D3F-C590-410C-AEE1-D85F852DF852}"/>
    <cellStyle name="20% - Accent4 2 3 3 5" xfId="18909" xr:uid="{9E1847F1-7DF2-4BCF-94B4-A700462C8003}"/>
    <cellStyle name="20% - Accent4 2 3 3 6" xfId="27349" xr:uid="{0219FD3F-8657-46F5-95C7-868477F73B38}"/>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8CB5925A-E731-4358-8250-D5ED0FE2F555}"/>
    <cellStyle name="20% - Accent4 2 3 4 2 2 3" xfId="25684" xr:uid="{88FFE3DD-6334-4F8A-AF5A-014535F6F90C}"/>
    <cellStyle name="20% - Accent4 2 3 4 2 2 4" xfId="34124" xr:uid="{027EAE6D-7828-4434-8941-6AE287FCBF42}"/>
    <cellStyle name="20% - Accent4 2 3 4 2 3" xfId="13026" xr:uid="{41D52A4F-A268-469B-A590-7C50701E07B0}"/>
    <cellStyle name="20% - Accent4 2 3 4 2 4" xfId="21467" xr:uid="{A9A0C1C9-262E-4DC5-8954-0FAB242C902D}"/>
    <cellStyle name="20% - Accent4 2 3 4 2 5" xfId="29907" xr:uid="{626AE0B3-DA09-43E6-9E40-73C64D8F4D9F}"/>
    <cellStyle name="20% - Accent4 2 3 4 3" xfId="5772" xr:uid="{00000000-0005-0000-0000-000017020000}"/>
    <cellStyle name="20% - Accent4 2 3 4 3 2" xfId="15098" xr:uid="{BAA445A8-6107-4A20-9BA4-275D46C888A7}"/>
    <cellStyle name="20% - Accent4 2 3 4 3 3" xfId="23539" xr:uid="{1A7180DF-79BD-4E09-945E-959287BC7FAF}"/>
    <cellStyle name="20% - Accent4 2 3 4 3 4" xfId="31979" xr:uid="{11A63BCB-19CA-4B00-A494-BC78BEDFA1AF}"/>
    <cellStyle name="20% - Accent4 2 3 4 4" xfId="10881" xr:uid="{AFFE57D8-27B6-4D37-8E28-EB5DAA11EF3C}"/>
    <cellStyle name="20% - Accent4 2 3 4 5" xfId="19322" xr:uid="{681B8AAD-D7E7-4AE5-B39B-49280E5CC311}"/>
    <cellStyle name="20% - Accent4 2 3 4 6" xfId="27762" xr:uid="{DF3EBE5B-3F72-440C-9078-3C95B4EA52D8}"/>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4D16D0C6-88E1-4AB9-B382-65CF62367C53}"/>
    <cellStyle name="20% - Accent4 2 3 5 2 2 3" xfId="26097" xr:uid="{00E39BE2-09FC-4D36-96C0-7BF6CBA0C5FD}"/>
    <cellStyle name="20% - Accent4 2 3 5 2 2 4" xfId="34537" xr:uid="{BA117AB7-622C-471C-A58C-92E8E3205410}"/>
    <cellStyle name="20% - Accent4 2 3 5 2 3" xfId="13439" xr:uid="{00D997E4-BA7F-4B4F-8378-4C446FE2E106}"/>
    <cellStyle name="20% - Accent4 2 3 5 2 4" xfId="21880" xr:uid="{D065F07B-977C-4DF0-8DCD-C6F1B3C8C045}"/>
    <cellStyle name="20% - Accent4 2 3 5 2 5" xfId="30320" xr:uid="{8753AB87-A362-467B-85C5-F6E5CDA35867}"/>
    <cellStyle name="20% - Accent4 2 3 5 3" xfId="6185" xr:uid="{00000000-0005-0000-0000-00001B020000}"/>
    <cellStyle name="20% - Accent4 2 3 5 3 2" xfId="15511" xr:uid="{82BCA657-23F1-4E71-A516-2CBE8670834B}"/>
    <cellStyle name="20% - Accent4 2 3 5 3 3" xfId="23952" xr:uid="{DD5D7EF5-DDFB-48DD-8ADF-2BF0C7BE83BB}"/>
    <cellStyle name="20% - Accent4 2 3 5 3 4" xfId="32392" xr:uid="{77686200-FD32-4FE8-8872-603EB2977317}"/>
    <cellStyle name="20% - Accent4 2 3 5 4" xfId="11294" xr:uid="{17454065-E5B6-49A2-B8FC-5434ADFEBE8E}"/>
    <cellStyle name="20% - Accent4 2 3 5 5" xfId="19735" xr:uid="{A2F14A6C-48DF-4E99-83EE-AA0B782A7DA5}"/>
    <cellStyle name="20% - Accent4 2 3 5 6" xfId="28175" xr:uid="{C2465E57-CD9E-4B4E-8723-C3135B1E6E92}"/>
    <cellStyle name="20% - Accent4 2 3 6" xfId="2292" xr:uid="{00000000-0005-0000-0000-00001C020000}"/>
    <cellStyle name="20% - Accent4 2 3 6 2" xfId="6598" xr:uid="{00000000-0005-0000-0000-00001D020000}"/>
    <cellStyle name="20% - Accent4 2 3 6 2 2" xfId="15924" xr:uid="{A73AA182-7AA2-4B21-A0E9-19C6BA5FD939}"/>
    <cellStyle name="20% - Accent4 2 3 6 2 3" xfId="24365" xr:uid="{04FE9B89-BA9E-4E47-8102-09D619349D65}"/>
    <cellStyle name="20% - Accent4 2 3 6 2 4" xfId="32805" xr:uid="{A29B9AE7-B9BA-40CE-8EFF-DBB6FF2BE06A}"/>
    <cellStyle name="20% - Accent4 2 3 6 3" xfId="11707" xr:uid="{69449F3A-651B-4C5E-94F5-BE89DE28DD7A}"/>
    <cellStyle name="20% - Accent4 2 3 6 4" xfId="20148" xr:uid="{0CE9835D-FF5C-4D47-8FDE-7218B705F3CD}"/>
    <cellStyle name="20% - Accent4 2 3 6 5" xfId="28588" xr:uid="{140BF8B6-4603-4B78-A8A2-B56224325001}"/>
    <cellStyle name="20% - Accent4 2 3 7" xfId="4532" xr:uid="{00000000-0005-0000-0000-00001E020000}"/>
    <cellStyle name="20% - Accent4 2 3 7 2" xfId="13858" xr:uid="{36088D99-9B2F-432F-B33E-C75733E2528A}"/>
    <cellStyle name="20% - Accent4 2 3 7 3" xfId="22299" xr:uid="{5642C178-9098-4BEC-903D-290F0AA31C75}"/>
    <cellStyle name="20% - Accent4 2 3 7 4" xfId="30739" xr:uid="{C31D5ED1-F5CE-40C7-ADF7-D0DD23645845}"/>
    <cellStyle name="20% - Accent4 2 3 8" xfId="9001" xr:uid="{B9DE6BBA-06E2-4FC8-B645-F20E60244072}"/>
    <cellStyle name="20% - Accent4 2 3 9" xfId="9641" xr:uid="{13E6D25D-0184-4EAE-ADE1-6F07A86FF70A}"/>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CC232A28-06DF-4A93-914D-E37953BC8F6F}"/>
    <cellStyle name="20% - Accent4 2 4 2 2 3" xfId="24855" xr:uid="{075FF028-6DAF-4253-9029-7DA6F9C4D59D}"/>
    <cellStyle name="20% - Accent4 2 4 2 2 4" xfId="33295" xr:uid="{2DACD1FE-762E-4387-8FAC-4E0DB5D60AA0}"/>
    <cellStyle name="20% - Accent4 2 4 2 3" xfId="12197" xr:uid="{B658EDD3-888F-4BDE-A79B-CE01349E4DCE}"/>
    <cellStyle name="20% - Accent4 2 4 2 4" xfId="20638" xr:uid="{761CC015-9414-402A-B025-78E0E504D8F0}"/>
    <cellStyle name="20% - Accent4 2 4 2 5" xfId="29078" xr:uid="{404D6827-93B6-403B-997A-E8564FA138FB}"/>
    <cellStyle name="20% - Accent4 2 4 3" xfId="4943" xr:uid="{00000000-0005-0000-0000-000022020000}"/>
    <cellStyle name="20% - Accent4 2 4 3 2" xfId="14269" xr:uid="{F75DAFA6-5603-4768-97BB-4AB33BCC5900}"/>
    <cellStyle name="20% - Accent4 2 4 3 3" xfId="22710" xr:uid="{159C98A1-6719-47C6-A1F5-5616DE9F25F9}"/>
    <cellStyle name="20% - Accent4 2 4 3 4" xfId="31150" xr:uid="{4B4758EE-1CFB-44CA-A86A-C4A1A8BFADFF}"/>
    <cellStyle name="20% - Accent4 2 4 4" xfId="9218" xr:uid="{EEA9CEE5-7B27-41EB-B571-13D0ADC44445}"/>
    <cellStyle name="20% - Accent4 2 4 5" xfId="10052" xr:uid="{343B315B-90B5-40B3-9273-5EDEA94ECC7F}"/>
    <cellStyle name="20% - Accent4 2 4 6" xfId="18493" xr:uid="{C93BDB08-B5CA-4CC1-9E42-0625188BC98C}"/>
    <cellStyle name="20% - Accent4 2 4 7" xfId="26933" xr:uid="{8E4A4C7F-644D-4D1D-B4AC-12CA8CC7B945}"/>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01CF82A5-92AA-4EB4-8225-53C29DEA3235}"/>
    <cellStyle name="20% - Accent4 2 5 2 2 3" xfId="25268" xr:uid="{7286D13E-C429-4CCE-98B2-1E70D4731653}"/>
    <cellStyle name="20% - Accent4 2 5 2 2 4" xfId="33708" xr:uid="{D412D7EA-0BC0-43AB-982C-3590D157FD8A}"/>
    <cellStyle name="20% - Accent4 2 5 2 3" xfId="12610" xr:uid="{A328735E-241E-4668-AAA1-7D99E82529F7}"/>
    <cellStyle name="20% - Accent4 2 5 2 4" xfId="21051" xr:uid="{59D24990-44AB-44A1-B882-4654F14B997D}"/>
    <cellStyle name="20% - Accent4 2 5 2 5" xfId="29491" xr:uid="{C11D9902-D093-49FF-9274-688442F23781}"/>
    <cellStyle name="20% - Accent4 2 5 3" xfId="5356" xr:uid="{00000000-0005-0000-0000-000026020000}"/>
    <cellStyle name="20% - Accent4 2 5 3 2" xfId="14682" xr:uid="{2325F2F0-A468-4DC9-8976-BF44F1FB53EC}"/>
    <cellStyle name="20% - Accent4 2 5 3 3" xfId="23123" xr:uid="{0FE5F2FB-17C5-4B5A-B61A-F7AC39A05157}"/>
    <cellStyle name="20% - Accent4 2 5 3 4" xfId="31563" xr:uid="{94D9AE20-A90B-4C4E-AAD8-59205C7B76B0}"/>
    <cellStyle name="20% - Accent4 2 5 4" xfId="10465" xr:uid="{66AFE22A-6A07-4692-A46A-C1DD77575275}"/>
    <cellStyle name="20% - Accent4 2 5 5" xfId="18906" xr:uid="{05DC1529-8344-4B5C-BF5E-B4E30722A9D1}"/>
    <cellStyle name="20% - Accent4 2 5 6" xfId="27346" xr:uid="{A8FED04E-C40D-4B72-9575-CF0BC1346A15}"/>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F3AF6CA5-253A-4DE6-B65F-9C0F878D5191}"/>
    <cellStyle name="20% - Accent4 2 6 2 2 3" xfId="25681" xr:uid="{41A7440E-57AF-4DA3-AA38-AC1F5742C376}"/>
    <cellStyle name="20% - Accent4 2 6 2 2 4" xfId="34121" xr:uid="{D5F011A5-B77B-4F19-865C-53C0D782E857}"/>
    <cellStyle name="20% - Accent4 2 6 2 3" xfId="13023" xr:uid="{DC594BAE-42F8-4C48-94D8-5D9FA6808CFA}"/>
    <cellStyle name="20% - Accent4 2 6 2 4" xfId="21464" xr:uid="{7EA637BA-71E4-4DF9-B714-37EF445F5E78}"/>
    <cellStyle name="20% - Accent4 2 6 2 5" xfId="29904" xr:uid="{3581FCE5-58A4-40E6-9E2B-3359293F8F20}"/>
    <cellStyle name="20% - Accent4 2 6 3" xfId="5769" xr:uid="{00000000-0005-0000-0000-00002A020000}"/>
    <cellStyle name="20% - Accent4 2 6 3 2" xfId="15095" xr:uid="{5B5A119C-582A-4836-B4C9-CCBC7AE97F16}"/>
    <cellStyle name="20% - Accent4 2 6 3 3" xfId="23536" xr:uid="{72B38CAA-6BA1-43EF-8277-A1A6517FF009}"/>
    <cellStyle name="20% - Accent4 2 6 3 4" xfId="31976" xr:uid="{7F2CD178-8B83-4D15-8556-684462B8471F}"/>
    <cellStyle name="20% - Accent4 2 6 4" xfId="10878" xr:uid="{C430C9CC-71C6-4F2C-B14C-EECDF84D947D}"/>
    <cellStyle name="20% - Accent4 2 6 5" xfId="19319" xr:uid="{D235803F-22F1-428A-89D7-6F586E395B63}"/>
    <cellStyle name="20% - Accent4 2 6 6" xfId="27759" xr:uid="{FD343876-BD60-4E18-8BD8-CAD7FC6FF9EC}"/>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6004BA8E-9BD2-49FE-95BD-9F2807EE63B7}"/>
    <cellStyle name="20% - Accent4 2 7 2 2 3" xfId="26094" xr:uid="{6691E2AE-7812-444B-BD62-270BF8CCE669}"/>
    <cellStyle name="20% - Accent4 2 7 2 2 4" xfId="34534" xr:uid="{E0CBA4CD-DC55-43AA-8BBD-973C021E0564}"/>
    <cellStyle name="20% - Accent4 2 7 2 3" xfId="13436" xr:uid="{41D360BB-63C1-46D2-AA03-33282FBEA430}"/>
    <cellStyle name="20% - Accent4 2 7 2 4" xfId="21877" xr:uid="{C4C38849-2042-4528-84F3-3DE3025BAE85}"/>
    <cellStyle name="20% - Accent4 2 7 2 5" xfId="30317" xr:uid="{49E091E5-FCBD-47DE-897B-6007DB64AADE}"/>
    <cellStyle name="20% - Accent4 2 7 3" xfId="6182" xr:uid="{00000000-0005-0000-0000-00002E020000}"/>
    <cellStyle name="20% - Accent4 2 7 3 2" xfId="15508" xr:uid="{FC5F31CD-C0B8-4EF7-8FA2-480110284B5A}"/>
    <cellStyle name="20% - Accent4 2 7 3 3" xfId="23949" xr:uid="{D69EFB74-EC25-4BF5-B207-A4D50CF5A1D5}"/>
    <cellStyle name="20% - Accent4 2 7 3 4" xfId="32389" xr:uid="{EA31A031-D88F-42AD-8D13-5CC3CE1FEB99}"/>
    <cellStyle name="20% - Accent4 2 7 4" xfId="11291" xr:uid="{33BF0CDD-D068-467D-8494-D1F663040155}"/>
    <cellStyle name="20% - Accent4 2 7 5" xfId="19732" xr:uid="{0B39088A-9832-408A-9764-B3BEF8A8561B}"/>
    <cellStyle name="20% - Accent4 2 7 6" xfId="28172" xr:uid="{973BE6A4-75B0-485E-AEBF-A480AECA98C1}"/>
    <cellStyle name="20% - Accent4 2 8" xfId="2289" xr:uid="{00000000-0005-0000-0000-00002F020000}"/>
    <cellStyle name="20% - Accent4 2 8 2" xfId="6595" xr:uid="{00000000-0005-0000-0000-000030020000}"/>
    <cellStyle name="20% - Accent4 2 8 2 2" xfId="15921" xr:uid="{8A2F6A19-D2A5-4F9D-BF88-8348522641FB}"/>
    <cellStyle name="20% - Accent4 2 8 2 3" xfId="24362" xr:uid="{BEAA52E7-3A4D-4DED-8DA6-8BDB9CAFB64A}"/>
    <cellStyle name="20% - Accent4 2 8 2 4" xfId="32802" xr:uid="{380B0EFA-BC74-4A9B-A90B-6C1097166F63}"/>
    <cellStyle name="20% - Accent4 2 8 3" xfId="11704" xr:uid="{AD8648A7-2985-4B45-8C2C-D45D39CF59DD}"/>
    <cellStyle name="20% - Accent4 2 8 4" xfId="20145" xr:uid="{45CC857E-0A66-47C3-8800-492789533D6C}"/>
    <cellStyle name="20% - Accent4 2 8 5" xfId="28585" xr:uid="{E0B9D069-C46C-48A0-80FB-863E59597E63}"/>
    <cellStyle name="20% - Accent4 2 9" xfId="4529" xr:uid="{00000000-0005-0000-0000-000031020000}"/>
    <cellStyle name="20% - Accent4 2 9 2" xfId="13855" xr:uid="{254C336F-4DEB-4154-945F-7385F7D8F7D7}"/>
    <cellStyle name="20% - Accent4 2 9 3" xfId="22296" xr:uid="{831A7539-CC2B-49F4-A706-A5EA221661EB}"/>
    <cellStyle name="20% - Accent4 2 9 4" xfId="30736" xr:uid="{8AC1C19F-C70D-443C-9E9E-1607F6819846}"/>
    <cellStyle name="20% - Accent4 3" xfId="30" xr:uid="{00000000-0005-0000-0000-000032020000}"/>
    <cellStyle name="20% - Accent4 3 10" xfId="9642" xr:uid="{3C14C6EF-79F2-425F-904D-5FBD78DCC1FC}"/>
    <cellStyle name="20% - Accent4 3 11" xfId="18083" xr:uid="{9487316A-447D-4577-A21E-77965DF0F8A2}"/>
    <cellStyle name="20% - Accent4 3 12" xfId="26523" xr:uid="{E87F61C0-AC11-40F2-9C8D-83E071ED9A99}"/>
    <cellStyle name="20% - Accent4 3 2" xfId="31" xr:uid="{00000000-0005-0000-0000-000033020000}"/>
    <cellStyle name="20% - Accent4 3 2 10" xfId="18084" xr:uid="{425DF666-FC93-4FBA-95DF-19BD32FAA35A}"/>
    <cellStyle name="20% - Accent4 3 2 11" xfId="26524" xr:uid="{4BD4C94A-45FF-4DD9-B3FA-CF1C6745F208}"/>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2877C350-77B7-4164-BAD3-F31BDD6B8FC8}"/>
    <cellStyle name="20% - Accent4 3 2 2 2 2 3" xfId="24860" xr:uid="{DC7F8601-85F7-4E9E-978A-95AE3FD5CBBE}"/>
    <cellStyle name="20% - Accent4 3 2 2 2 2 4" xfId="33300" xr:uid="{8C2E1AC3-2AB9-4AA8-B431-15DCA786728C}"/>
    <cellStyle name="20% - Accent4 3 2 2 2 3" xfId="12202" xr:uid="{307A78D2-F04E-4F8E-AAB5-4BAF6F25014C}"/>
    <cellStyle name="20% - Accent4 3 2 2 2 4" xfId="20643" xr:uid="{155ACBCB-3022-4E4A-8622-3598983F6896}"/>
    <cellStyle name="20% - Accent4 3 2 2 2 5" xfId="29083" xr:uid="{576913A0-A7B4-4ED6-8C31-05FDD18D31F6}"/>
    <cellStyle name="20% - Accent4 3 2 2 3" xfId="4948" xr:uid="{00000000-0005-0000-0000-000037020000}"/>
    <cellStyle name="20% - Accent4 3 2 2 3 2" xfId="14274" xr:uid="{DEAA6298-CAE3-4DE8-9E83-9947FA018E14}"/>
    <cellStyle name="20% - Accent4 3 2 2 3 3" xfId="22715" xr:uid="{316FE9CD-8648-4A91-8E2B-7AC160B7E20E}"/>
    <cellStyle name="20% - Accent4 3 2 2 3 4" xfId="31155" xr:uid="{80525348-2CCC-439C-BFBE-4228C1E0B86D}"/>
    <cellStyle name="20% - Accent4 3 2 2 4" xfId="9499" xr:uid="{019308F4-938B-408B-A627-483AF94276A0}"/>
    <cellStyle name="20% - Accent4 3 2 2 5" xfId="10057" xr:uid="{EE26CEFF-DEF2-4D6D-86D3-EC157F40F17E}"/>
    <cellStyle name="20% - Accent4 3 2 2 6" xfId="18498" xr:uid="{53E15D38-3396-42B5-98FD-CC3643D43BE5}"/>
    <cellStyle name="20% - Accent4 3 2 2 7" xfId="26938" xr:uid="{4EDAAA2E-FDDE-4ED7-827A-3A3230F56661}"/>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8D225485-3749-4F92-94A6-7E368AC65860}"/>
    <cellStyle name="20% - Accent4 3 2 3 2 2 3" xfId="25273" xr:uid="{7B9E75CF-E6D6-4864-AB44-49A58C58B977}"/>
    <cellStyle name="20% - Accent4 3 2 3 2 2 4" xfId="33713" xr:uid="{4FEB18F3-EEEB-44C6-A8BE-75057C3A0221}"/>
    <cellStyle name="20% - Accent4 3 2 3 2 3" xfId="12615" xr:uid="{919F44DD-6D8A-4AF2-B887-A22D0BFF0CFB}"/>
    <cellStyle name="20% - Accent4 3 2 3 2 4" xfId="21056" xr:uid="{78CB041A-0CDE-4829-A0A0-F267599AD01F}"/>
    <cellStyle name="20% - Accent4 3 2 3 2 5" xfId="29496" xr:uid="{7A790C0F-0352-4899-92B4-0891E794CFA6}"/>
    <cellStyle name="20% - Accent4 3 2 3 3" xfId="5361" xr:uid="{00000000-0005-0000-0000-00003B020000}"/>
    <cellStyle name="20% - Accent4 3 2 3 3 2" xfId="14687" xr:uid="{8C54396E-F1A9-4BAA-9CA5-00D7BCD4D8EB}"/>
    <cellStyle name="20% - Accent4 3 2 3 3 3" xfId="23128" xr:uid="{1DEEE350-ADEC-42CC-91FD-861F10E90121}"/>
    <cellStyle name="20% - Accent4 3 2 3 3 4" xfId="31568" xr:uid="{D63988A1-C7B3-46F3-A287-D60934200AAA}"/>
    <cellStyle name="20% - Accent4 3 2 3 4" xfId="10470" xr:uid="{5FC735AF-0CDA-4944-BB82-115BB8AEB7AE}"/>
    <cellStyle name="20% - Accent4 3 2 3 5" xfId="18911" xr:uid="{1DA37A8C-DBF9-43FC-BB3A-0D56205C07E4}"/>
    <cellStyle name="20% - Accent4 3 2 3 6" xfId="27351" xr:uid="{CD34E73F-961E-4CCF-9268-2C02344204DF}"/>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EDD7B649-BE08-4C99-867B-149CC3A66BB0}"/>
    <cellStyle name="20% - Accent4 3 2 4 2 2 3" xfId="25686" xr:uid="{335C9737-CF55-4225-8412-1055AAE15D11}"/>
    <cellStyle name="20% - Accent4 3 2 4 2 2 4" xfId="34126" xr:uid="{58F6D91A-DC7F-4346-B6CC-910E5B58BB11}"/>
    <cellStyle name="20% - Accent4 3 2 4 2 3" xfId="13028" xr:uid="{DA52467B-BC72-44D5-8986-766AE5CA32E2}"/>
    <cellStyle name="20% - Accent4 3 2 4 2 4" xfId="21469" xr:uid="{5B812B79-E825-427C-8C78-EC74D7767D43}"/>
    <cellStyle name="20% - Accent4 3 2 4 2 5" xfId="29909" xr:uid="{45169DEC-DC34-4CEC-8862-B05B04675E9F}"/>
    <cellStyle name="20% - Accent4 3 2 4 3" xfId="5774" xr:uid="{00000000-0005-0000-0000-00003F020000}"/>
    <cellStyle name="20% - Accent4 3 2 4 3 2" xfId="15100" xr:uid="{84D2FC99-55DC-43CD-B5CE-2281F2410E3C}"/>
    <cellStyle name="20% - Accent4 3 2 4 3 3" xfId="23541" xr:uid="{36502E38-B4B3-4973-92CE-108556042113}"/>
    <cellStyle name="20% - Accent4 3 2 4 3 4" xfId="31981" xr:uid="{AF4B66FA-CB1F-494E-A237-177A478BE43A}"/>
    <cellStyle name="20% - Accent4 3 2 4 4" xfId="10883" xr:uid="{6234228D-70CB-4917-B0AB-EF19068E0C51}"/>
    <cellStyle name="20% - Accent4 3 2 4 5" xfId="19324" xr:uid="{B4190EA1-43FE-4555-96BC-DB819B1AA549}"/>
    <cellStyle name="20% - Accent4 3 2 4 6" xfId="27764" xr:uid="{53759496-75AF-4760-A75D-6CFA17886BA3}"/>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ACE4DAE0-0496-4597-B08E-4D155034430F}"/>
    <cellStyle name="20% - Accent4 3 2 5 2 2 3" xfId="26099" xr:uid="{C9A8C758-D62B-4F00-BBF3-9D7F9C13C813}"/>
    <cellStyle name="20% - Accent4 3 2 5 2 2 4" xfId="34539" xr:uid="{43E4B5CC-14CB-4E53-819E-940A037FB11C}"/>
    <cellStyle name="20% - Accent4 3 2 5 2 3" xfId="13441" xr:uid="{FDEA80EC-8E51-4F02-991D-9C4650ED708B}"/>
    <cellStyle name="20% - Accent4 3 2 5 2 4" xfId="21882" xr:uid="{8C8A7EF8-1CCA-4A99-B870-A2BB95126A2F}"/>
    <cellStyle name="20% - Accent4 3 2 5 2 5" xfId="30322" xr:uid="{45A3D12B-0CC8-4D17-8894-F0C11A49CEF7}"/>
    <cellStyle name="20% - Accent4 3 2 5 3" xfId="6187" xr:uid="{00000000-0005-0000-0000-000043020000}"/>
    <cellStyle name="20% - Accent4 3 2 5 3 2" xfId="15513" xr:uid="{A1CA96E1-90E6-4290-8C63-B7C7945630D8}"/>
    <cellStyle name="20% - Accent4 3 2 5 3 3" xfId="23954" xr:uid="{8D5C8102-62D9-4DA3-8F82-9B417B40D4B7}"/>
    <cellStyle name="20% - Accent4 3 2 5 3 4" xfId="32394" xr:uid="{DF9E369D-61FF-409E-942B-9EF7D90D8C23}"/>
    <cellStyle name="20% - Accent4 3 2 5 4" xfId="11296" xr:uid="{F6E1D1F5-2D35-48B3-A86A-5BE8E8A22C0E}"/>
    <cellStyle name="20% - Accent4 3 2 5 5" xfId="19737" xr:uid="{4364B812-C406-41B8-9265-8B15877946EF}"/>
    <cellStyle name="20% - Accent4 3 2 5 6" xfId="28177" xr:uid="{845D51BF-0FE5-43E7-AB75-18A4C2765B76}"/>
    <cellStyle name="20% - Accent4 3 2 6" xfId="2294" xr:uid="{00000000-0005-0000-0000-000044020000}"/>
    <cellStyle name="20% - Accent4 3 2 6 2" xfId="6600" xr:uid="{00000000-0005-0000-0000-000045020000}"/>
    <cellStyle name="20% - Accent4 3 2 6 2 2" xfId="15926" xr:uid="{DB71FA75-B56D-4523-85F5-391B9EA362D7}"/>
    <cellStyle name="20% - Accent4 3 2 6 2 3" xfId="24367" xr:uid="{EAA691EA-5E23-4DEE-9D0B-C2D52B25FDC8}"/>
    <cellStyle name="20% - Accent4 3 2 6 2 4" xfId="32807" xr:uid="{D8FC4D33-FC6F-4C12-93D8-012F0FE72D05}"/>
    <cellStyle name="20% - Accent4 3 2 6 3" xfId="11709" xr:uid="{F85EB47E-0AC1-40D6-B36E-51604E85E959}"/>
    <cellStyle name="20% - Accent4 3 2 6 4" xfId="20150" xr:uid="{1DE5B930-200E-4FFC-BE3B-708DB46609AB}"/>
    <cellStyle name="20% - Accent4 3 2 6 5" xfId="28590" xr:uid="{EB64FE7D-FE1F-468C-B329-F1ABE9A80F2A}"/>
    <cellStyle name="20% - Accent4 3 2 7" xfId="4534" xr:uid="{00000000-0005-0000-0000-000046020000}"/>
    <cellStyle name="20% - Accent4 3 2 7 2" xfId="13860" xr:uid="{500AC9FF-38B0-4C58-907D-2907A571CFE7}"/>
    <cellStyle name="20% - Accent4 3 2 7 3" xfId="22301" xr:uid="{29873810-F101-48E4-BB74-C8214DDCBB0E}"/>
    <cellStyle name="20% - Accent4 3 2 7 4" xfId="30741" xr:uid="{3430B3D7-B3EE-495F-989E-C87E4C83EFCD}"/>
    <cellStyle name="20% - Accent4 3 2 8" xfId="9074" xr:uid="{BA25EAA8-2B5F-4309-91A3-FC61FCEF209C}"/>
    <cellStyle name="20% - Accent4 3 2 9" xfId="9643" xr:uid="{9233B7FE-FA75-437F-A698-28B7181D3B07}"/>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151A4DE4-536A-45F3-90A1-BC149FBA9FFB}"/>
    <cellStyle name="20% - Accent4 3 3 2 2 3" xfId="24859" xr:uid="{6FE6A4B9-B063-4498-92C7-4EC50A392FE3}"/>
    <cellStyle name="20% - Accent4 3 3 2 2 4" xfId="33299" xr:uid="{B53B0614-2B5C-41A9-9F33-D68D16115BA7}"/>
    <cellStyle name="20% - Accent4 3 3 2 3" xfId="12201" xr:uid="{5A571AF1-72C9-4546-9E12-F918FA281218}"/>
    <cellStyle name="20% - Accent4 3 3 2 4" xfId="20642" xr:uid="{358609B5-FFDD-4430-8D80-9AC91C66E037}"/>
    <cellStyle name="20% - Accent4 3 3 2 5" xfId="29082" xr:uid="{CFAA38D3-14D6-4EA4-98E2-F7051017BF65}"/>
    <cellStyle name="20% - Accent4 3 3 3" xfId="4947" xr:uid="{00000000-0005-0000-0000-00004A020000}"/>
    <cellStyle name="20% - Accent4 3 3 3 2" xfId="14273" xr:uid="{BFE436D7-9DE4-4E82-8BA8-FF89C4A7C9A3}"/>
    <cellStyle name="20% - Accent4 3 3 3 3" xfId="22714" xr:uid="{DA4FE0F2-4013-4672-BC92-8DD09F6D633E}"/>
    <cellStyle name="20% - Accent4 3 3 3 4" xfId="31154" xr:uid="{A529AD50-5424-4F75-9E8D-6E2C69866F6D}"/>
    <cellStyle name="20% - Accent4 3 3 4" xfId="9292" xr:uid="{E33AB5E9-A8F9-45CB-AD95-0E461E901C30}"/>
    <cellStyle name="20% - Accent4 3 3 5" xfId="10056" xr:uid="{80A4F924-B788-4058-97FD-E2539EE43964}"/>
    <cellStyle name="20% - Accent4 3 3 6" xfId="18497" xr:uid="{AFF35203-7D7C-4D3F-9959-9771FCC03E40}"/>
    <cellStyle name="20% - Accent4 3 3 7" xfId="26937" xr:uid="{4DA8AF83-8F5B-4593-8242-2E67DA70AAF5}"/>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47A5FF06-9784-4DEA-9361-622A3F81F803}"/>
    <cellStyle name="20% - Accent4 3 4 2 2 3" xfId="25272" xr:uid="{7D078800-8ED1-4267-A803-8A80D1B799B5}"/>
    <cellStyle name="20% - Accent4 3 4 2 2 4" xfId="33712" xr:uid="{D5FCFE5A-A4A3-4C58-9FBE-2429AB820668}"/>
    <cellStyle name="20% - Accent4 3 4 2 3" xfId="12614" xr:uid="{5BB4F6D9-5F40-4DAB-B274-20638AC410DB}"/>
    <cellStyle name="20% - Accent4 3 4 2 4" xfId="21055" xr:uid="{84390738-A765-4CB4-9A00-1CE5C65580CF}"/>
    <cellStyle name="20% - Accent4 3 4 2 5" xfId="29495" xr:uid="{A6EF68AF-1C59-441C-B193-530D3A1DCD78}"/>
    <cellStyle name="20% - Accent4 3 4 3" xfId="5360" xr:uid="{00000000-0005-0000-0000-00004E020000}"/>
    <cellStyle name="20% - Accent4 3 4 3 2" xfId="14686" xr:uid="{C8B4A7C5-67A6-41D4-9A24-0A5B9998C3C9}"/>
    <cellStyle name="20% - Accent4 3 4 3 3" xfId="23127" xr:uid="{1740583E-3719-40DA-8C4D-C3D910750927}"/>
    <cellStyle name="20% - Accent4 3 4 3 4" xfId="31567" xr:uid="{F90B42D9-1CE9-44F5-9BB5-3CB50B5757EC}"/>
    <cellStyle name="20% - Accent4 3 4 4" xfId="10469" xr:uid="{4C54E883-FC24-4C49-B689-D7217FE4A898}"/>
    <cellStyle name="20% - Accent4 3 4 5" xfId="18910" xr:uid="{EAC9F59B-C7C4-469B-82B2-2BCA766E9556}"/>
    <cellStyle name="20% - Accent4 3 4 6" xfId="27350" xr:uid="{FCBEBA2E-CE40-4E76-B4A5-D90901AD24A4}"/>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FFD9B5E2-641D-41ED-83E7-F7AB88569CA2}"/>
    <cellStyle name="20% - Accent4 3 5 2 2 3" xfId="25685" xr:uid="{54AA4E80-9BAE-4FA9-BF64-DC3754131026}"/>
    <cellStyle name="20% - Accent4 3 5 2 2 4" xfId="34125" xr:uid="{38AE5B2F-3DC2-47C7-9B71-8309E6EFDD0B}"/>
    <cellStyle name="20% - Accent4 3 5 2 3" xfId="13027" xr:uid="{E8797A91-CB13-48A9-B26C-FC695AB88D9C}"/>
    <cellStyle name="20% - Accent4 3 5 2 4" xfId="21468" xr:uid="{EE6CFAA0-60E5-486B-80BF-0BB1339C2F56}"/>
    <cellStyle name="20% - Accent4 3 5 2 5" xfId="29908" xr:uid="{4576566D-DB09-4FBE-83D9-41424EDBA105}"/>
    <cellStyle name="20% - Accent4 3 5 3" xfId="5773" xr:uid="{00000000-0005-0000-0000-000052020000}"/>
    <cellStyle name="20% - Accent4 3 5 3 2" xfId="15099" xr:uid="{6C37808C-DF82-4E61-BEF2-1453B16D8152}"/>
    <cellStyle name="20% - Accent4 3 5 3 3" xfId="23540" xr:uid="{021B2465-3196-4D01-B062-787C97FCC954}"/>
    <cellStyle name="20% - Accent4 3 5 3 4" xfId="31980" xr:uid="{F38693B6-A1AB-4C7A-A3D0-F62B96116CD5}"/>
    <cellStyle name="20% - Accent4 3 5 4" xfId="10882" xr:uid="{1F6F32D7-A5FB-42A6-AB79-390D1B42E0CD}"/>
    <cellStyle name="20% - Accent4 3 5 5" xfId="19323" xr:uid="{1B7143F7-83AB-4E0F-85F1-1B2759B0318F}"/>
    <cellStyle name="20% - Accent4 3 5 6" xfId="27763" xr:uid="{A7E8E8E4-DEDF-4209-BDEE-0DA5DA32CEA6}"/>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3E9C6816-5253-4EB2-8DE3-1125B5082853}"/>
    <cellStyle name="20% - Accent4 3 6 2 2 3" xfId="26098" xr:uid="{84ADBB00-EBF1-4D91-B434-D52873634A17}"/>
    <cellStyle name="20% - Accent4 3 6 2 2 4" xfId="34538" xr:uid="{48192213-C214-435B-88FF-89E9FC9089A6}"/>
    <cellStyle name="20% - Accent4 3 6 2 3" xfId="13440" xr:uid="{1F8B16EB-ED9D-48CF-97B0-E5B3460C6A59}"/>
    <cellStyle name="20% - Accent4 3 6 2 4" xfId="21881" xr:uid="{5A6C77D7-CF48-49FB-99D2-75008FA0E366}"/>
    <cellStyle name="20% - Accent4 3 6 2 5" xfId="30321" xr:uid="{F0D40165-E950-48EB-BE6B-501AD10C52A8}"/>
    <cellStyle name="20% - Accent4 3 6 3" xfId="6186" xr:uid="{00000000-0005-0000-0000-000056020000}"/>
    <cellStyle name="20% - Accent4 3 6 3 2" xfId="15512" xr:uid="{470FAFD2-A178-465B-BB93-99C58E804F84}"/>
    <cellStyle name="20% - Accent4 3 6 3 3" xfId="23953" xr:uid="{3B70E03B-CAB4-4035-8316-EA71B59E888B}"/>
    <cellStyle name="20% - Accent4 3 6 3 4" xfId="32393" xr:uid="{3A4ABCB0-4936-4C37-A70A-F40DC02FB513}"/>
    <cellStyle name="20% - Accent4 3 6 4" xfId="11295" xr:uid="{226CB057-E3B0-4FB4-AE33-93C934D9580A}"/>
    <cellStyle name="20% - Accent4 3 6 5" xfId="19736" xr:uid="{1010B810-DE49-43DF-A6CE-448FC3FF52E1}"/>
    <cellStyle name="20% - Accent4 3 6 6" xfId="28176" xr:uid="{4EE3EB30-3C05-4CC7-985D-52CD201A4F90}"/>
    <cellStyle name="20% - Accent4 3 7" xfId="2293" xr:uid="{00000000-0005-0000-0000-000057020000}"/>
    <cellStyle name="20% - Accent4 3 7 2" xfId="6599" xr:uid="{00000000-0005-0000-0000-000058020000}"/>
    <cellStyle name="20% - Accent4 3 7 2 2" xfId="15925" xr:uid="{3BA808AE-57DD-4E97-A64A-4B89F27C8355}"/>
    <cellStyle name="20% - Accent4 3 7 2 3" xfId="24366" xr:uid="{D64EAD97-F689-4C8C-A155-97545922C2EB}"/>
    <cellStyle name="20% - Accent4 3 7 2 4" xfId="32806" xr:uid="{1239B162-2218-48AB-A86A-C996D77860DF}"/>
    <cellStyle name="20% - Accent4 3 7 3" xfId="11708" xr:uid="{7FB51830-5D11-4720-B587-981F1F41FF45}"/>
    <cellStyle name="20% - Accent4 3 7 4" xfId="20149" xr:uid="{1AAA2DFC-DA31-426C-89BF-AA3CA192ACCE}"/>
    <cellStyle name="20% - Accent4 3 7 5" xfId="28589" xr:uid="{4907EB3F-3F92-4129-9AD4-1A3BCC36CC80}"/>
    <cellStyle name="20% - Accent4 3 8" xfId="4533" xr:uid="{00000000-0005-0000-0000-000059020000}"/>
    <cellStyle name="20% - Accent4 3 8 2" xfId="13859" xr:uid="{144A79B5-5E8E-45A5-99B5-0539CC6C9D8F}"/>
    <cellStyle name="20% - Accent4 3 8 3" xfId="22300" xr:uid="{FC8DD285-E349-4FD8-8D74-A73BA7793433}"/>
    <cellStyle name="20% - Accent4 3 8 4" xfId="30740" xr:uid="{FDCD1C63-8FEE-4A93-883A-37F772543D02}"/>
    <cellStyle name="20% - Accent4 3 9" xfId="8867" xr:uid="{27FB4CEF-7F56-4AEC-B5AC-6B6A1477FBD8}"/>
    <cellStyle name="20% - Accent4 4" xfId="32" xr:uid="{00000000-0005-0000-0000-00005A020000}"/>
    <cellStyle name="20% - Accent4 4 10" xfId="18085" xr:uid="{581A3113-540B-4844-B997-15EBACC17E4E}"/>
    <cellStyle name="20% - Accent4 4 11" xfId="26525" xr:uid="{96365FBC-5363-4DE8-8499-8C43E14B5F59}"/>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D0AD1407-01C3-465C-8299-E49C01ADFCA2}"/>
    <cellStyle name="20% - Accent4 4 2 2 2 3" xfId="24861" xr:uid="{020DB0EF-2A85-423E-BFB0-7C2219BA9195}"/>
    <cellStyle name="20% - Accent4 4 2 2 2 4" xfId="33301" xr:uid="{8C0AEC89-64BC-4179-ACF1-32C4B5AF9684}"/>
    <cellStyle name="20% - Accent4 4 2 2 3" xfId="12203" xr:uid="{BD7DCAED-E1D0-42BC-B664-01E84B5A9221}"/>
    <cellStyle name="20% - Accent4 4 2 2 4" xfId="20644" xr:uid="{3C8A6436-C4AA-48A8-8000-F0FAF2DE2683}"/>
    <cellStyle name="20% - Accent4 4 2 2 5" xfId="29084" xr:uid="{CCB3F7CA-685D-4761-B9E8-781FF20BC672}"/>
    <cellStyle name="20% - Accent4 4 2 3" xfId="4949" xr:uid="{00000000-0005-0000-0000-00005E020000}"/>
    <cellStyle name="20% - Accent4 4 2 3 2" xfId="14275" xr:uid="{D624FB8E-80AE-4658-ADE3-DBA67A9DE9D2}"/>
    <cellStyle name="20% - Accent4 4 2 3 3" xfId="22716" xr:uid="{D43ACAEF-95CF-4891-9C40-95031FF98809}"/>
    <cellStyle name="20% - Accent4 4 2 3 4" xfId="31156" xr:uid="{0C08FA6E-788C-48E5-BA1E-3B714AF8DF1A}"/>
    <cellStyle name="20% - Accent4 4 2 4" xfId="9378" xr:uid="{761B3D4A-2751-4646-8A50-05A0DD408525}"/>
    <cellStyle name="20% - Accent4 4 2 5" xfId="10058" xr:uid="{80BD603A-C7D7-4651-8A0C-D320CD37BE55}"/>
    <cellStyle name="20% - Accent4 4 2 6" xfId="18499" xr:uid="{9BEE9D91-69B5-4F47-AE77-2D86EF3B3538}"/>
    <cellStyle name="20% - Accent4 4 2 7" xfId="26939" xr:uid="{C7626757-02A2-4395-881B-61C8D18476DF}"/>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CA946B2F-2E48-4193-9A5F-028254F43B65}"/>
    <cellStyle name="20% - Accent4 4 3 2 2 3" xfId="25274" xr:uid="{50080511-F002-4E3A-AA3D-DA25733900C5}"/>
    <cellStyle name="20% - Accent4 4 3 2 2 4" xfId="33714" xr:uid="{9F8158B7-C51D-4166-B721-C9427FF97583}"/>
    <cellStyle name="20% - Accent4 4 3 2 3" xfId="12616" xr:uid="{F738725D-9B36-4A2A-9BB0-815AB74F7161}"/>
    <cellStyle name="20% - Accent4 4 3 2 4" xfId="21057" xr:uid="{60A0CD9F-4CF2-4FAA-BB62-66E79376521D}"/>
    <cellStyle name="20% - Accent4 4 3 2 5" xfId="29497" xr:uid="{227D9FEC-D6C6-41E9-8B07-FB69DDFE6C14}"/>
    <cellStyle name="20% - Accent4 4 3 3" xfId="5362" xr:uid="{00000000-0005-0000-0000-000062020000}"/>
    <cellStyle name="20% - Accent4 4 3 3 2" xfId="14688" xr:uid="{DEA6046C-1D27-4C64-A0B8-5F19C486E1F3}"/>
    <cellStyle name="20% - Accent4 4 3 3 3" xfId="23129" xr:uid="{D55C1256-920D-49B4-9C59-4B42F6C0DE6A}"/>
    <cellStyle name="20% - Accent4 4 3 3 4" xfId="31569" xr:uid="{8B097807-BA76-4F37-82BD-9CE0918641EA}"/>
    <cellStyle name="20% - Accent4 4 3 4" xfId="10471" xr:uid="{D22EE829-CE88-49B7-ADA1-B62BE5029CE1}"/>
    <cellStyle name="20% - Accent4 4 3 5" xfId="18912" xr:uid="{81A7E305-9CC6-454D-A08F-6A04870B7603}"/>
    <cellStyle name="20% - Accent4 4 3 6" xfId="27352" xr:uid="{3B0D669C-BA77-4521-9C15-74D72E6CFC72}"/>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A595F120-AC8E-4B3C-803B-FD9E52964F75}"/>
    <cellStyle name="20% - Accent4 4 4 2 2 3" xfId="25687" xr:uid="{71440A6F-4CB2-42BC-A5C5-3BD07A450D3E}"/>
    <cellStyle name="20% - Accent4 4 4 2 2 4" xfId="34127" xr:uid="{7154AF7E-AD8D-4A6C-B6D5-EA1265D34EC4}"/>
    <cellStyle name="20% - Accent4 4 4 2 3" xfId="13029" xr:uid="{C074D45B-B571-4C77-B196-7061B00D40EE}"/>
    <cellStyle name="20% - Accent4 4 4 2 4" xfId="21470" xr:uid="{7E0097E0-698E-45A5-86AA-40096683326A}"/>
    <cellStyle name="20% - Accent4 4 4 2 5" xfId="29910" xr:uid="{9E3FF1B5-51BB-4B72-B263-B7380494D00C}"/>
    <cellStyle name="20% - Accent4 4 4 3" xfId="5775" xr:uid="{00000000-0005-0000-0000-000066020000}"/>
    <cellStyle name="20% - Accent4 4 4 3 2" xfId="15101" xr:uid="{26580530-3EC9-4BF5-9DB3-8A49CA4BB64E}"/>
    <cellStyle name="20% - Accent4 4 4 3 3" xfId="23542" xr:uid="{DB389498-D274-4A8B-9D56-800D29C95A0F}"/>
    <cellStyle name="20% - Accent4 4 4 3 4" xfId="31982" xr:uid="{C3E40F49-4722-491C-BF19-25CAFAB80F51}"/>
    <cellStyle name="20% - Accent4 4 4 4" xfId="10884" xr:uid="{BE6C1FDD-161C-4BBF-B49B-85DE8F07EF8F}"/>
    <cellStyle name="20% - Accent4 4 4 5" xfId="19325" xr:uid="{AD1004A2-16D4-4618-BBD3-71776FD1F8F5}"/>
    <cellStyle name="20% - Accent4 4 4 6" xfId="27765" xr:uid="{57675398-E84A-499E-92AE-08FA36C3DF9A}"/>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68D5C9E2-CB93-4B52-B7B8-8AF1334D134D}"/>
    <cellStyle name="20% - Accent4 4 5 2 2 3" xfId="26100" xr:uid="{FFCA9F8F-DB82-44D3-A976-EB02056E7117}"/>
    <cellStyle name="20% - Accent4 4 5 2 2 4" xfId="34540" xr:uid="{E48CDFC6-3390-4782-B34C-55042D040CBD}"/>
    <cellStyle name="20% - Accent4 4 5 2 3" xfId="13442" xr:uid="{947C5C54-BF24-46CA-83F6-6131AAA520D2}"/>
    <cellStyle name="20% - Accent4 4 5 2 4" xfId="21883" xr:uid="{83058D9C-0DBA-4A8D-BBB2-2AA43D4B9FBE}"/>
    <cellStyle name="20% - Accent4 4 5 2 5" xfId="30323" xr:uid="{54A14CF4-404A-47DE-A1C1-599DEDAC5E17}"/>
    <cellStyle name="20% - Accent4 4 5 3" xfId="6188" xr:uid="{00000000-0005-0000-0000-00006A020000}"/>
    <cellStyle name="20% - Accent4 4 5 3 2" xfId="15514" xr:uid="{15AB0EF3-B57B-4A35-8B2E-E06F13594AD7}"/>
    <cellStyle name="20% - Accent4 4 5 3 3" xfId="23955" xr:uid="{21DD2B14-1F6F-4EC9-852A-8D4E24AD1197}"/>
    <cellStyle name="20% - Accent4 4 5 3 4" xfId="32395" xr:uid="{8162CF5C-6737-488B-945A-84EFC1ADE40C}"/>
    <cellStyle name="20% - Accent4 4 5 4" xfId="11297" xr:uid="{B15A207C-F94B-4966-BD3B-C4DE525C6B2B}"/>
    <cellStyle name="20% - Accent4 4 5 5" xfId="19738" xr:uid="{D4065256-EAE7-4545-94CE-0E4D6C4B9645}"/>
    <cellStyle name="20% - Accent4 4 5 6" xfId="28178" xr:uid="{83CCE420-159E-479B-B157-82B84277B07A}"/>
    <cellStyle name="20% - Accent4 4 6" xfId="2295" xr:uid="{00000000-0005-0000-0000-00006B020000}"/>
    <cellStyle name="20% - Accent4 4 6 2" xfId="6601" xr:uid="{00000000-0005-0000-0000-00006C020000}"/>
    <cellStyle name="20% - Accent4 4 6 2 2" xfId="15927" xr:uid="{E7B7B975-D17F-4E4B-8CCB-6125C25A843D}"/>
    <cellStyle name="20% - Accent4 4 6 2 3" xfId="24368" xr:uid="{EE9EC928-27CB-41C9-B363-A4CADD720847}"/>
    <cellStyle name="20% - Accent4 4 6 2 4" xfId="32808" xr:uid="{DF6181FF-F207-4BBE-A77D-86B8CC6F7CBB}"/>
    <cellStyle name="20% - Accent4 4 6 3" xfId="11710" xr:uid="{C2A8FD0D-2033-4F2D-B018-5A48C11A6419}"/>
    <cellStyle name="20% - Accent4 4 6 4" xfId="20151" xr:uid="{2D0E29EF-6271-4A0F-AF21-025717C1D9AD}"/>
    <cellStyle name="20% - Accent4 4 6 5" xfId="28591" xr:uid="{D41F6690-5ABF-42F2-B57A-D38A5224B221}"/>
    <cellStyle name="20% - Accent4 4 7" xfId="4535" xr:uid="{00000000-0005-0000-0000-00006D020000}"/>
    <cellStyle name="20% - Accent4 4 7 2" xfId="13861" xr:uid="{C0BAA0BB-41D9-4B64-A7E0-A4858722F1F9}"/>
    <cellStyle name="20% - Accent4 4 7 3" xfId="22302" xr:uid="{C351543B-A530-4726-8D02-08F4526D8AC7}"/>
    <cellStyle name="20% - Accent4 4 7 4" xfId="30742" xr:uid="{3CFD3455-B197-4CDE-A8D4-CC2715C3AF03}"/>
    <cellStyle name="20% - Accent4 4 8" xfId="8953" xr:uid="{66D1590A-BB3A-4B79-BA94-169F97E79370}"/>
    <cellStyle name="20% - Accent4 4 9" xfId="9644" xr:uid="{71C461A0-ED8E-46FC-8B11-16E2EFCCB967}"/>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2BF4BBCD-A06C-4D46-A596-110306EB3874}"/>
    <cellStyle name="20% - Accent4 5 2 2 3" xfId="24854" xr:uid="{0247FF1F-38FA-4ABD-BD31-859C9FF2758E}"/>
    <cellStyle name="20% - Accent4 5 2 2 4" xfId="33294" xr:uid="{FA03E26D-8730-4212-9B7B-3A25D6ACF79F}"/>
    <cellStyle name="20% - Accent4 5 2 3" xfId="12196" xr:uid="{6A1A5AF8-6B16-4BDA-9867-72C9D742073C}"/>
    <cellStyle name="20% - Accent4 5 2 4" xfId="20637" xr:uid="{485AB682-6B70-4B6D-9C30-F5FBB4AB7306}"/>
    <cellStyle name="20% - Accent4 5 2 5" xfId="29077" xr:uid="{8A79BEAE-4AEF-4F7C-B31C-BA7DD5600802}"/>
    <cellStyle name="20% - Accent4 5 3" xfId="4942" xr:uid="{00000000-0005-0000-0000-000071020000}"/>
    <cellStyle name="20% - Accent4 5 3 2" xfId="14268" xr:uid="{F27EEB58-5F4D-4BBC-9F7C-2C56802815B3}"/>
    <cellStyle name="20% - Accent4 5 3 3" xfId="22709" xr:uid="{24A5E356-84E3-41F2-BB47-4727E7041A78}"/>
    <cellStyle name="20% - Accent4 5 3 4" xfId="31149" xr:uid="{07A54A62-FDB3-44CB-9326-C897C931B585}"/>
    <cellStyle name="20% - Accent4 5 4" xfId="9186" xr:uid="{E62ED282-F767-404B-ADA1-4F8E5B4D01EB}"/>
    <cellStyle name="20% - Accent4 5 5" xfId="10051" xr:uid="{ABAD7A8F-1487-4766-96FF-2F0FDE24CC90}"/>
    <cellStyle name="20% - Accent4 5 6" xfId="18492" xr:uid="{95326A76-22E4-42CD-9319-D949D5AC7DF6}"/>
    <cellStyle name="20% - Accent4 5 7" xfId="26932" xr:uid="{C492267B-663F-4124-AEE9-2EAE99493FC7}"/>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C2F9E279-B5D7-4D02-BAFB-CDB00B9C15BA}"/>
    <cellStyle name="20% - Accent4 6 2 2 3" xfId="25267" xr:uid="{78EF3117-743E-4B53-8DD8-A3336012EC69}"/>
    <cellStyle name="20% - Accent4 6 2 2 4" xfId="33707" xr:uid="{59DC2E33-12BE-4914-8537-378D289347AA}"/>
    <cellStyle name="20% - Accent4 6 2 3" xfId="12609" xr:uid="{9DCFED5D-5380-40DD-9A26-307961DE9561}"/>
    <cellStyle name="20% - Accent4 6 2 4" xfId="21050" xr:uid="{E7BC2F4E-FC3D-4D40-91F4-D4827DD2DF80}"/>
    <cellStyle name="20% - Accent4 6 2 5" xfId="29490" xr:uid="{2B50F837-199C-4C2D-8442-B8BD5EFDB3A4}"/>
    <cellStyle name="20% - Accent4 6 3" xfId="5355" xr:uid="{00000000-0005-0000-0000-000075020000}"/>
    <cellStyle name="20% - Accent4 6 3 2" xfId="14681" xr:uid="{97BB34E5-D2D4-4F18-8EFE-6F2084C2104C}"/>
    <cellStyle name="20% - Accent4 6 3 3" xfId="23122" xr:uid="{053B9560-29F3-4B44-AAB0-1B5F3867873D}"/>
    <cellStyle name="20% - Accent4 6 3 4" xfId="31562" xr:uid="{D6C74D23-9680-4DFD-B151-639E1DEAEA30}"/>
    <cellStyle name="20% - Accent4 6 4" xfId="10464" xr:uid="{BE751944-9F0A-4BC7-8F97-ECB4A0BF886A}"/>
    <cellStyle name="20% - Accent4 6 5" xfId="18905" xr:uid="{4FC49073-F836-4D80-9FA7-04E0DD0F2731}"/>
    <cellStyle name="20% - Accent4 6 6" xfId="27345" xr:uid="{D0EF8FB2-58D8-4D88-A1C6-1EC4D1DAF191}"/>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23CA07FA-DF04-437A-90F5-05AD1F0F8BE9}"/>
    <cellStyle name="20% - Accent4 7 2 2 3" xfId="25680" xr:uid="{70891FDA-9DD1-41D5-8E98-9D22221E6009}"/>
    <cellStyle name="20% - Accent4 7 2 2 4" xfId="34120" xr:uid="{BB18EBB5-4645-4531-AFA0-4BF53803A511}"/>
    <cellStyle name="20% - Accent4 7 2 3" xfId="13022" xr:uid="{05DD8B99-A325-4371-9549-63EBFDBF94AA}"/>
    <cellStyle name="20% - Accent4 7 2 4" xfId="21463" xr:uid="{130BECC7-7872-497E-9FD0-68BF8B82DBF1}"/>
    <cellStyle name="20% - Accent4 7 2 5" xfId="29903" xr:uid="{F9D4C1E4-E2E1-43DD-91C0-71B829AF9823}"/>
    <cellStyle name="20% - Accent4 7 3" xfId="5768" xr:uid="{00000000-0005-0000-0000-000079020000}"/>
    <cellStyle name="20% - Accent4 7 3 2" xfId="15094" xr:uid="{A0EFA52F-3DF0-4BA9-A3B4-EA2DC3DB5F97}"/>
    <cellStyle name="20% - Accent4 7 3 3" xfId="23535" xr:uid="{7D1E3DBB-178B-4910-B6A0-C379EE2D9791}"/>
    <cellStyle name="20% - Accent4 7 3 4" xfId="31975" xr:uid="{35E1DFCA-69B2-4D48-AB9D-0C66156C5DBB}"/>
    <cellStyle name="20% - Accent4 7 4" xfId="10877" xr:uid="{6822CB8D-04B8-4ACE-AB45-9EEDD8710CC0}"/>
    <cellStyle name="20% - Accent4 7 5" xfId="19318" xr:uid="{74FEBB5A-A3CB-4C7A-A34D-15AB17C5DE48}"/>
    <cellStyle name="20% - Accent4 7 6" xfId="27758" xr:uid="{47045947-B5B0-46CC-9DD2-2EA2D9EE41EA}"/>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D0C4430C-9DDC-4C9B-9665-521BC3576778}"/>
    <cellStyle name="20% - Accent4 8 2 2 3" xfId="26093" xr:uid="{0D03C51A-530F-40BC-8BCF-1FF748B1CD59}"/>
    <cellStyle name="20% - Accent4 8 2 2 4" xfId="34533" xr:uid="{09093FB3-3AC6-4CF5-868B-EBA21F33694F}"/>
    <cellStyle name="20% - Accent4 8 2 3" xfId="13435" xr:uid="{BDADBACF-DADD-496D-8992-77DD2D98F928}"/>
    <cellStyle name="20% - Accent4 8 2 4" xfId="21876" xr:uid="{AF3E5BCC-450C-4494-8F88-94A22D313B24}"/>
    <cellStyle name="20% - Accent4 8 2 5" xfId="30316" xr:uid="{ED523B9E-6354-41A8-BA31-0DCDD6FDBA44}"/>
    <cellStyle name="20% - Accent4 8 3" xfId="6181" xr:uid="{00000000-0005-0000-0000-00007D020000}"/>
    <cellStyle name="20% - Accent4 8 3 2" xfId="15507" xr:uid="{083006A2-8F3A-4FAE-B7FF-9B94D02F03F2}"/>
    <cellStyle name="20% - Accent4 8 3 3" xfId="23948" xr:uid="{A627327F-9C19-45B5-9EE7-ADF97E23E31F}"/>
    <cellStyle name="20% - Accent4 8 3 4" xfId="32388" xr:uid="{BBF6158B-6901-4CA6-BFD8-997066F2BFEA}"/>
    <cellStyle name="20% - Accent4 8 4" xfId="11290" xr:uid="{783BD9CB-1608-4AAA-9CD0-CCF25B5106AA}"/>
    <cellStyle name="20% - Accent4 8 5" xfId="19731" xr:uid="{C65CA48E-6478-4B39-9A0C-EF52F9C86E4E}"/>
    <cellStyle name="20% - Accent4 8 6" xfId="28171" xr:uid="{CAC9BA57-6465-4B89-A9C0-D4BF6EA8D0A9}"/>
    <cellStyle name="20% - Accent4 9" xfId="2288" xr:uid="{00000000-0005-0000-0000-00007E020000}"/>
    <cellStyle name="20% - Accent4 9 2" xfId="6594" xr:uid="{00000000-0005-0000-0000-00007F020000}"/>
    <cellStyle name="20% - Accent4 9 2 2" xfId="15920" xr:uid="{A679697D-999E-45C2-95B1-AAF13E43BD48}"/>
    <cellStyle name="20% - Accent4 9 2 3" xfId="24361" xr:uid="{0A840185-FA88-4B27-A94E-C13F4EDC1F51}"/>
    <cellStyle name="20% - Accent4 9 2 4" xfId="32801" xr:uid="{D4AFEB12-89F4-4D86-BF5A-53EAEF4F8F7E}"/>
    <cellStyle name="20% - Accent4 9 3" xfId="11703" xr:uid="{C24A43D0-BFAF-4893-B7AB-A8326A500305}"/>
    <cellStyle name="20% - Accent4 9 4" xfId="20144" xr:uid="{18DD597D-63B8-4E84-8016-6E24097A472A}"/>
    <cellStyle name="20% - Accent4 9 5" xfId="28584" xr:uid="{483DC0A7-0153-4856-B027-C0C611433477}"/>
    <cellStyle name="20% - Accent5" xfId="33" builtinId="46" customBuiltin="1"/>
    <cellStyle name="20% - Accent5 10" xfId="4536" xr:uid="{00000000-0005-0000-0000-000081020000}"/>
    <cellStyle name="20% - Accent5 10 2" xfId="13862" xr:uid="{97465025-0ECA-4603-9737-8BD8C901C081}"/>
    <cellStyle name="20% - Accent5 10 3" xfId="22303" xr:uid="{219BE386-6EB4-4B4E-BFE1-A3CE9FB1F0DA}"/>
    <cellStyle name="20% - Accent5 10 4" xfId="30743" xr:uid="{8A559C99-CA17-437D-816F-8379D3D90593}"/>
    <cellStyle name="20% - Accent5 11" xfId="8766" xr:uid="{A87C980D-48BC-4AA3-98F7-53B2F02F228C}"/>
    <cellStyle name="20% - Accent5 12" xfId="9645" xr:uid="{B8D2D98B-0E27-4F2F-92C0-89B70154A57F}"/>
    <cellStyle name="20% - Accent5 13" xfId="18086" xr:uid="{404E44DC-4C67-4FE2-9B48-DD27BD647959}"/>
    <cellStyle name="20% - Accent5 14" xfId="26526" xr:uid="{D81FD2DA-925C-4D76-93C7-5C8B992D8C0F}"/>
    <cellStyle name="20% - Accent5 2" xfId="34" xr:uid="{00000000-0005-0000-0000-000082020000}"/>
    <cellStyle name="20% - Accent5 2 10" xfId="8796" xr:uid="{5BBF4372-A7B1-47A0-AC3D-4A60EDC1A5F8}"/>
    <cellStyle name="20% - Accent5 2 11" xfId="9646" xr:uid="{7E7538BC-0A5A-4CDF-BE74-91E81E7E94D2}"/>
    <cellStyle name="20% - Accent5 2 12" xfId="18087" xr:uid="{FCE54D64-3E59-420B-A76D-2A97775528F7}"/>
    <cellStyle name="20% - Accent5 2 13" xfId="26527" xr:uid="{154A71F6-B3AE-4AA5-A8A9-4191F714BC12}"/>
    <cellStyle name="20% - Accent5 2 2" xfId="35" xr:uid="{00000000-0005-0000-0000-000083020000}"/>
    <cellStyle name="20% - Accent5 2 2 10" xfId="9647" xr:uid="{E2E852EC-3C00-4CBC-94D8-AA38D9AD52E6}"/>
    <cellStyle name="20% - Accent5 2 2 11" xfId="18088" xr:uid="{CE7ADC03-E852-4E59-9D8A-1D74695353EE}"/>
    <cellStyle name="20% - Accent5 2 2 12" xfId="26528" xr:uid="{5D682FE0-559D-4ECC-A926-5D427BFAC95B}"/>
    <cellStyle name="20% - Accent5 2 2 2" xfId="36" xr:uid="{00000000-0005-0000-0000-000084020000}"/>
    <cellStyle name="20% - Accent5 2 2 2 10" xfId="18089" xr:uid="{429F0C71-09D5-4EB7-99BC-A5F23C34F984}"/>
    <cellStyle name="20% - Accent5 2 2 2 11" xfId="26529" xr:uid="{2326C4B7-18FF-4377-9366-5A59A6722ADF}"/>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D3990101-A26C-4683-9163-FAC47C863F22}"/>
    <cellStyle name="20% - Accent5 2 2 2 2 2 2 3" xfId="24865" xr:uid="{EBE0CA4E-E4E9-4452-B9ED-413342E10A40}"/>
    <cellStyle name="20% - Accent5 2 2 2 2 2 2 4" xfId="33305" xr:uid="{42CD4C5D-56C6-4F62-87CE-947E86F46633}"/>
    <cellStyle name="20% - Accent5 2 2 2 2 2 3" xfId="12207" xr:uid="{DA92F7D6-BEBA-481C-B24B-A6DDF8BDAA9C}"/>
    <cellStyle name="20% - Accent5 2 2 2 2 2 4" xfId="20648" xr:uid="{83F42122-D482-4931-A541-35DEB0577C7A}"/>
    <cellStyle name="20% - Accent5 2 2 2 2 2 5" xfId="29088" xr:uid="{6AE5F7F8-4548-4AA7-BD3D-3F2531F53570}"/>
    <cellStyle name="20% - Accent5 2 2 2 2 3" xfId="4953" xr:uid="{00000000-0005-0000-0000-000088020000}"/>
    <cellStyle name="20% - Accent5 2 2 2 2 3 2" xfId="14279" xr:uid="{8A68C78A-EE8F-47CE-B5B0-F78642CD79FB}"/>
    <cellStyle name="20% - Accent5 2 2 2 2 3 3" xfId="22720" xr:uid="{F9CC2B5E-DDF5-4E1B-A0E4-6E10ABD8EAE2}"/>
    <cellStyle name="20% - Accent5 2 2 2 2 3 4" xfId="31160" xr:uid="{FD21F789-28DC-4859-B677-7AAA1541E249}"/>
    <cellStyle name="20% - Accent5 2 2 2 2 4" xfId="9531" xr:uid="{5DC5F027-F767-49FB-B9DE-2ACABCF8AC5A}"/>
    <cellStyle name="20% - Accent5 2 2 2 2 5" xfId="10062" xr:uid="{04C29783-A16D-4F31-A65F-5303A2E264CB}"/>
    <cellStyle name="20% - Accent5 2 2 2 2 6" xfId="18503" xr:uid="{902F3FAE-A0D1-4D67-868C-10A733E1D042}"/>
    <cellStyle name="20% - Accent5 2 2 2 2 7" xfId="26943" xr:uid="{621EAE8C-26FF-4B0C-97A6-3731A462BE64}"/>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BDF2F003-31F0-436D-AF5C-6588A77CBCCE}"/>
    <cellStyle name="20% - Accent5 2 2 2 3 2 2 3" xfId="25278" xr:uid="{5210AD88-09D3-4858-B80E-3D1358D4FCC0}"/>
    <cellStyle name="20% - Accent5 2 2 2 3 2 2 4" xfId="33718" xr:uid="{BA2919C4-CCEF-4B4E-83FC-A8490DE5C970}"/>
    <cellStyle name="20% - Accent5 2 2 2 3 2 3" xfId="12620" xr:uid="{FB8C5E76-4352-45DF-8203-33CB93F76F87}"/>
    <cellStyle name="20% - Accent5 2 2 2 3 2 4" xfId="21061" xr:uid="{D0CD34E1-C3BD-4919-A98F-21FBD7B6D4CA}"/>
    <cellStyle name="20% - Accent5 2 2 2 3 2 5" xfId="29501" xr:uid="{57F7E43A-EF56-4CE4-897D-B0936A4526CA}"/>
    <cellStyle name="20% - Accent5 2 2 2 3 3" xfId="5366" xr:uid="{00000000-0005-0000-0000-00008C020000}"/>
    <cellStyle name="20% - Accent5 2 2 2 3 3 2" xfId="14692" xr:uid="{3BBB8153-5C75-4E0B-99C7-475CF1BA04DC}"/>
    <cellStyle name="20% - Accent5 2 2 2 3 3 3" xfId="23133" xr:uid="{0241A2D5-C1E7-481C-ADDF-DEA869BEB904}"/>
    <cellStyle name="20% - Accent5 2 2 2 3 3 4" xfId="31573" xr:uid="{81068AAD-B5A4-40E2-8FD3-3842ADB9F09F}"/>
    <cellStyle name="20% - Accent5 2 2 2 3 4" xfId="10475" xr:uid="{7B71A008-7250-4D4D-862B-518427A52C0D}"/>
    <cellStyle name="20% - Accent5 2 2 2 3 5" xfId="18916" xr:uid="{236328AC-D176-486E-983F-8D990DAE35BA}"/>
    <cellStyle name="20% - Accent5 2 2 2 3 6" xfId="27356" xr:uid="{A00C6A0B-AC79-4128-BC54-34B016595F61}"/>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F812C242-286C-4EB4-A5E6-C6A6C55495DB}"/>
    <cellStyle name="20% - Accent5 2 2 2 4 2 2 3" xfId="25691" xr:uid="{B619A017-F0E0-4D77-A0D1-9E620A70583E}"/>
    <cellStyle name="20% - Accent5 2 2 2 4 2 2 4" xfId="34131" xr:uid="{54036BEB-8FD1-461F-8EE5-BD9794E70F04}"/>
    <cellStyle name="20% - Accent5 2 2 2 4 2 3" xfId="13033" xr:uid="{BBB8CA7E-2887-4118-B92F-9F19D72953A4}"/>
    <cellStyle name="20% - Accent5 2 2 2 4 2 4" xfId="21474" xr:uid="{42C88B26-23A5-480A-805F-2C3DB3932000}"/>
    <cellStyle name="20% - Accent5 2 2 2 4 2 5" xfId="29914" xr:uid="{5DEE6EA5-A12D-4B41-8F7B-9DEB877687FD}"/>
    <cellStyle name="20% - Accent5 2 2 2 4 3" xfId="5779" xr:uid="{00000000-0005-0000-0000-000090020000}"/>
    <cellStyle name="20% - Accent5 2 2 2 4 3 2" xfId="15105" xr:uid="{EAA8621A-8E74-43F7-8A2D-E1F4969F6064}"/>
    <cellStyle name="20% - Accent5 2 2 2 4 3 3" xfId="23546" xr:uid="{0E82BF21-E308-4BE6-8AFE-9DBA7716F8C4}"/>
    <cellStyle name="20% - Accent5 2 2 2 4 3 4" xfId="31986" xr:uid="{3C4A666B-2E80-44E5-8487-0C15D2983F5B}"/>
    <cellStyle name="20% - Accent5 2 2 2 4 4" xfId="10888" xr:uid="{AF5D83DE-CA49-4019-922B-83FAF7C08B77}"/>
    <cellStyle name="20% - Accent5 2 2 2 4 5" xfId="19329" xr:uid="{E367FF4E-C4EB-4D86-A2CE-09ECFF3C2DBF}"/>
    <cellStyle name="20% - Accent5 2 2 2 4 6" xfId="27769" xr:uid="{F4E21113-212B-4CE6-8B0D-1A31BB98DEC8}"/>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A248CA58-B663-43F4-9B9B-BA9A2A7C7207}"/>
    <cellStyle name="20% - Accent5 2 2 2 5 2 2 3" xfId="26104" xr:uid="{67622D18-AAA5-4C86-A4F3-F0DCF029E7DB}"/>
    <cellStyle name="20% - Accent5 2 2 2 5 2 2 4" xfId="34544" xr:uid="{E4BAF604-D643-44E7-AAA9-181F79BA8F54}"/>
    <cellStyle name="20% - Accent5 2 2 2 5 2 3" xfId="13446" xr:uid="{F86EBB5F-670B-419E-84CD-8736834CC997}"/>
    <cellStyle name="20% - Accent5 2 2 2 5 2 4" xfId="21887" xr:uid="{360F8AA8-DAE5-46D2-84F9-DA8762ED4857}"/>
    <cellStyle name="20% - Accent5 2 2 2 5 2 5" xfId="30327" xr:uid="{B42E6406-5FC5-4201-BE5C-EB2D1A3BD866}"/>
    <cellStyle name="20% - Accent5 2 2 2 5 3" xfId="6192" xr:uid="{00000000-0005-0000-0000-000094020000}"/>
    <cellStyle name="20% - Accent5 2 2 2 5 3 2" xfId="15518" xr:uid="{B6A72284-9767-473E-B30C-9CB3B7272BF7}"/>
    <cellStyle name="20% - Accent5 2 2 2 5 3 3" xfId="23959" xr:uid="{47D2DEC2-66C1-41CE-9EA4-1A786E0BC2DC}"/>
    <cellStyle name="20% - Accent5 2 2 2 5 3 4" xfId="32399" xr:uid="{AA1CED61-9E7A-401A-8010-886FCE0AE80A}"/>
    <cellStyle name="20% - Accent5 2 2 2 5 4" xfId="11301" xr:uid="{846613A9-C6A3-4505-A6CD-D86FDBB89CE6}"/>
    <cellStyle name="20% - Accent5 2 2 2 5 5" xfId="19742" xr:uid="{A0DA371A-308B-43F5-AB49-42E3EB12038B}"/>
    <cellStyle name="20% - Accent5 2 2 2 5 6" xfId="28182" xr:uid="{608EEC3B-E9BC-4205-A1C2-B8E811E6B5A7}"/>
    <cellStyle name="20% - Accent5 2 2 2 6" xfId="2299" xr:uid="{00000000-0005-0000-0000-000095020000}"/>
    <cellStyle name="20% - Accent5 2 2 2 6 2" xfId="6605" xr:uid="{00000000-0005-0000-0000-000096020000}"/>
    <cellStyle name="20% - Accent5 2 2 2 6 2 2" xfId="15931" xr:uid="{0C88CCB3-E6A1-4283-AAF5-EE8C10BF7E35}"/>
    <cellStyle name="20% - Accent5 2 2 2 6 2 3" xfId="24372" xr:uid="{3ED443FE-6017-4C78-961F-9DAB24EC0D1E}"/>
    <cellStyle name="20% - Accent5 2 2 2 6 2 4" xfId="32812" xr:uid="{D8C0F2BD-57D3-48B2-A9CC-06C52CF8D962}"/>
    <cellStyle name="20% - Accent5 2 2 2 6 3" xfId="11714" xr:uid="{4DBB2AB8-5397-408D-9355-9C225743792C}"/>
    <cellStyle name="20% - Accent5 2 2 2 6 4" xfId="20155" xr:uid="{75CAFC26-AA0B-4362-850D-3A1A0358B4A8}"/>
    <cellStyle name="20% - Accent5 2 2 2 6 5" xfId="28595" xr:uid="{0D54B02D-71FD-442A-AB9B-B476DE8B4119}"/>
    <cellStyle name="20% - Accent5 2 2 2 7" xfId="4539" xr:uid="{00000000-0005-0000-0000-000097020000}"/>
    <cellStyle name="20% - Accent5 2 2 2 7 2" xfId="13865" xr:uid="{ACC4D4C0-EC77-4BDC-AC99-EDBFF13157B6}"/>
    <cellStyle name="20% - Accent5 2 2 2 7 3" xfId="22306" xr:uid="{FE51536A-E182-4C06-B8C4-FDAF5D4EF4D5}"/>
    <cellStyle name="20% - Accent5 2 2 2 7 4" xfId="30746" xr:uid="{75AA6A85-9701-425D-B2F4-D380FEF00784}"/>
    <cellStyle name="20% - Accent5 2 2 2 8" xfId="9106" xr:uid="{E7B219CB-83A9-494A-83ED-783719A0F1D9}"/>
    <cellStyle name="20% - Accent5 2 2 2 9" xfId="9648" xr:uid="{6D25552E-C941-4D21-9015-FF53334DB8EC}"/>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3EA3179D-E167-4708-B71A-5B33068A1348}"/>
    <cellStyle name="20% - Accent5 2 2 3 2 2 3" xfId="24864" xr:uid="{7C883B20-7105-48B3-B00D-B17FDAABBF57}"/>
    <cellStyle name="20% - Accent5 2 2 3 2 2 4" xfId="33304" xr:uid="{241459D7-F286-417C-9B45-51C6E1D2C22D}"/>
    <cellStyle name="20% - Accent5 2 2 3 2 3" xfId="12206" xr:uid="{F866983C-A8B9-4D29-B997-E765A9D45841}"/>
    <cellStyle name="20% - Accent5 2 2 3 2 4" xfId="20647" xr:uid="{14E1C399-BC51-44B8-B331-0D5305E93534}"/>
    <cellStyle name="20% - Accent5 2 2 3 2 5" xfId="29087" xr:uid="{93320592-F114-4AEA-B91C-6F1D2BD9525E}"/>
    <cellStyle name="20% - Accent5 2 2 3 3" xfId="4952" xr:uid="{00000000-0005-0000-0000-00009B020000}"/>
    <cellStyle name="20% - Accent5 2 2 3 3 2" xfId="14278" xr:uid="{46E43546-FA7C-44FA-BD2A-CE6BB062D306}"/>
    <cellStyle name="20% - Accent5 2 2 3 3 3" xfId="22719" xr:uid="{C9B30F6F-CF23-4C8D-AD69-767F7C17E25D}"/>
    <cellStyle name="20% - Accent5 2 2 3 3 4" xfId="31159" xr:uid="{76817F1A-42BA-44A8-9992-71DB38B4F460}"/>
    <cellStyle name="20% - Accent5 2 2 3 4" xfId="9324" xr:uid="{6094FEE1-8E2A-466F-9CDF-43EB9EE581FF}"/>
    <cellStyle name="20% - Accent5 2 2 3 5" xfId="10061" xr:uid="{D42421AC-B4FD-4AB0-8C12-869D1DA09F64}"/>
    <cellStyle name="20% - Accent5 2 2 3 6" xfId="18502" xr:uid="{7788450C-227B-4A74-8C19-258F35D1CFBB}"/>
    <cellStyle name="20% - Accent5 2 2 3 7" xfId="26942" xr:uid="{A8976287-D204-446C-A9C3-A593E251353B}"/>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656C0F6A-A3F3-41A9-A56C-19202173D2FF}"/>
    <cellStyle name="20% - Accent5 2 2 4 2 2 3" xfId="25277" xr:uid="{4BEEA361-35D6-4CBE-900B-207F8C22C320}"/>
    <cellStyle name="20% - Accent5 2 2 4 2 2 4" xfId="33717" xr:uid="{B0A3F2A1-834A-4CFC-A0DC-0D80111C2B9D}"/>
    <cellStyle name="20% - Accent5 2 2 4 2 3" xfId="12619" xr:uid="{3B26516D-E83A-48C0-A751-3CF97055183A}"/>
    <cellStyle name="20% - Accent5 2 2 4 2 4" xfId="21060" xr:uid="{4D9E5823-C482-4CEB-B2CC-53A6E83602BE}"/>
    <cellStyle name="20% - Accent5 2 2 4 2 5" xfId="29500" xr:uid="{4CD1AB5D-B2B2-4F2E-B697-3FD447D29F33}"/>
    <cellStyle name="20% - Accent5 2 2 4 3" xfId="5365" xr:uid="{00000000-0005-0000-0000-00009F020000}"/>
    <cellStyle name="20% - Accent5 2 2 4 3 2" xfId="14691" xr:uid="{AC8D9C1D-4567-4F36-8D0C-F44E711FE8C4}"/>
    <cellStyle name="20% - Accent5 2 2 4 3 3" xfId="23132" xr:uid="{7DC23FE0-8977-40B3-BDA1-01666DDA2C7E}"/>
    <cellStyle name="20% - Accent5 2 2 4 3 4" xfId="31572" xr:uid="{1189A1BB-9F8A-4DB2-884C-4822F1A4F155}"/>
    <cellStyle name="20% - Accent5 2 2 4 4" xfId="10474" xr:uid="{CFA67F56-2D6A-428D-9494-0539E692A6AF}"/>
    <cellStyle name="20% - Accent5 2 2 4 5" xfId="18915" xr:uid="{13D4569E-2857-4465-9DB3-8460995F8E59}"/>
    <cellStyle name="20% - Accent5 2 2 4 6" xfId="27355" xr:uid="{CBA403F3-AC98-4F72-8AB5-2983C3CBD88B}"/>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F62F39A9-4A54-40E6-B8C5-045F73142159}"/>
    <cellStyle name="20% - Accent5 2 2 5 2 2 3" xfId="25690" xr:uid="{0A4076A9-2803-4CAC-B56A-773755B4712A}"/>
    <cellStyle name="20% - Accent5 2 2 5 2 2 4" xfId="34130" xr:uid="{94734A94-CE20-41F8-8C9C-4AD567B3E312}"/>
    <cellStyle name="20% - Accent5 2 2 5 2 3" xfId="13032" xr:uid="{A9A1AE48-B882-4F8D-974D-22A65C607ECB}"/>
    <cellStyle name="20% - Accent5 2 2 5 2 4" xfId="21473" xr:uid="{D42DAE90-BD4D-4463-B9AC-BF0EA548AB7E}"/>
    <cellStyle name="20% - Accent5 2 2 5 2 5" xfId="29913" xr:uid="{E2F15D9E-9B3B-44AA-BD3D-C6ADCE67016D}"/>
    <cellStyle name="20% - Accent5 2 2 5 3" xfId="5778" xr:uid="{00000000-0005-0000-0000-0000A3020000}"/>
    <cellStyle name="20% - Accent5 2 2 5 3 2" xfId="15104" xr:uid="{1474192F-635A-4285-B297-55A2D251042C}"/>
    <cellStyle name="20% - Accent5 2 2 5 3 3" xfId="23545" xr:uid="{8B4404D0-6A8F-457D-B44E-28368AF46623}"/>
    <cellStyle name="20% - Accent5 2 2 5 3 4" xfId="31985" xr:uid="{C7F70FDF-4D58-4ADB-B5D6-AB7A85AD7F8D}"/>
    <cellStyle name="20% - Accent5 2 2 5 4" xfId="10887" xr:uid="{F102D6AA-884D-43C1-840B-9BD62D276D73}"/>
    <cellStyle name="20% - Accent5 2 2 5 5" xfId="19328" xr:uid="{AC67175F-D042-41A0-8D4A-EB663414F103}"/>
    <cellStyle name="20% - Accent5 2 2 5 6" xfId="27768" xr:uid="{EE9B54EB-3067-4134-9893-2847450C53FB}"/>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0140F8D1-4ACC-422E-A7E6-CA7C62E945EB}"/>
    <cellStyle name="20% - Accent5 2 2 6 2 2 3" xfId="26103" xr:uid="{F9C95F8B-FE54-4AF5-B6B4-E1814E9DC92F}"/>
    <cellStyle name="20% - Accent5 2 2 6 2 2 4" xfId="34543" xr:uid="{67D1F911-7DCE-4719-8905-D020FA982BF9}"/>
    <cellStyle name="20% - Accent5 2 2 6 2 3" xfId="13445" xr:uid="{AF8C483D-296B-4A9C-9E42-E74F8F65B2E5}"/>
    <cellStyle name="20% - Accent5 2 2 6 2 4" xfId="21886" xr:uid="{CD1DA829-9100-49C3-AAE0-53CE426C7207}"/>
    <cellStyle name="20% - Accent5 2 2 6 2 5" xfId="30326" xr:uid="{B9C95F13-4826-46BE-9B55-81714174709B}"/>
    <cellStyle name="20% - Accent5 2 2 6 3" xfId="6191" xr:uid="{00000000-0005-0000-0000-0000A7020000}"/>
    <cellStyle name="20% - Accent5 2 2 6 3 2" xfId="15517" xr:uid="{FEE98490-9EE8-424B-AE45-DBDA3F02A3E6}"/>
    <cellStyle name="20% - Accent5 2 2 6 3 3" xfId="23958" xr:uid="{A72D88F4-2722-4E5C-BC26-5E81537FB20F}"/>
    <cellStyle name="20% - Accent5 2 2 6 3 4" xfId="32398" xr:uid="{0FD8D9DC-BB71-4EA9-8EF8-BD28DCD7153C}"/>
    <cellStyle name="20% - Accent5 2 2 6 4" xfId="11300" xr:uid="{290A6B5E-C02A-4FD0-8F47-881150FA8336}"/>
    <cellStyle name="20% - Accent5 2 2 6 5" xfId="19741" xr:uid="{3E1F6681-672B-42CA-9C6F-6CE9D5315146}"/>
    <cellStyle name="20% - Accent5 2 2 6 6" xfId="28181" xr:uid="{5FEA5F97-66A2-4E01-BCD7-407E350D5B98}"/>
    <cellStyle name="20% - Accent5 2 2 7" xfId="2298" xr:uid="{00000000-0005-0000-0000-0000A8020000}"/>
    <cellStyle name="20% - Accent5 2 2 7 2" xfId="6604" xr:uid="{00000000-0005-0000-0000-0000A9020000}"/>
    <cellStyle name="20% - Accent5 2 2 7 2 2" xfId="15930" xr:uid="{2F675648-717B-485D-89CD-28AB65EDB29F}"/>
    <cellStyle name="20% - Accent5 2 2 7 2 3" xfId="24371" xr:uid="{A939B404-F283-4F33-AEAB-D1D6528D1241}"/>
    <cellStyle name="20% - Accent5 2 2 7 2 4" xfId="32811" xr:uid="{2BC6E377-AAE1-420B-B43C-EC286FA1C34E}"/>
    <cellStyle name="20% - Accent5 2 2 7 3" xfId="11713" xr:uid="{F7F9BCDD-E731-4768-BB78-88503B1BC381}"/>
    <cellStyle name="20% - Accent5 2 2 7 4" xfId="20154" xr:uid="{CEB130E3-3928-4C50-8F28-40FB41DE2D54}"/>
    <cellStyle name="20% - Accent5 2 2 7 5" xfId="28594" xr:uid="{971E93D6-5016-468E-BFEB-002849FD0A11}"/>
    <cellStyle name="20% - Accent5 2 2 8" xfId="4538" xr:uid="{00000000-0005-0000-0000-0000AA020000}"/>
    <cellStyle name="20% - Accent5 2 2 8 2" xfId="13864" xr:uid="{9AA28042-9A45-4AE4-8D86-FBE6D95CAF00}"/>
    <cellStyle name="20% - Accent5 2 2 8 3" xfId="22305" xr:uid="{162E340F-5657-4B73-AFBC-37F81ED957E9}"/>
    <cellStyle name="20% - Accent5 2 2 8 4" xfId="30745" xr:uid="{69271672-4D1A-4FC5-A8D4-A6F584981DAF}"/>
    <cellStyle name="20% - Accent5 2 2 9" xfId="8899" xr:uid="{0E8F9EC8-D565-41C9-B716-FF597FFF35B9}"/>
    <cellStyle name="20% - Accent5 2 3" xfId="37" xr:uid="{00000000-0005-0000-0000-0000AB020000}"/>
    <cellStyle name="20% - Accent5 2 3 10" xfId="18090" xr:uid="{C740F3B4-39B2-4220-8E5F-7AADDCD437B1}"/>
    <cellStyle name="20% - Accent5 2 3 11" xfId="26530" xr:uid="{0388C59C-C59C-4123-9025-625C039F2BCF}"/>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D6661590-A492-448E-9DEF-B95BE1A18662}"/>
    <cellStyle name="20% - Accent5 2 3 2 2 2 3" xfId="24866" xr:uid="{83022EF0-DA19-441F-B574-4820EC475734}"/>
    <cellStyle name="20% - Accent5 2 3 2 2 2 4" xfId="33306" xr:uid="{45E26BCA-5014-47E4-BF83-BE956044F4E7}"/>
    <cellStyle name="20% - Accent5 2 3 2 2 3" xfId="12208" xr:uid="{834EE201-96C1-4E20-AAC2-78A16DEF55D6}"/>
    <cellStyle name="20% - Accent5 2 3 2 2 4" xfId="20649" xr:uid="{48B42FE6-573E-43AF-9B29-8513D56ACABB}"/>
    <cellStyle name="20% - Accent5 2 3 2 2 5" xfId="29089" xr:uid="{8ED8309A-3BE8-4B90-8F46-DA45792D0413}"/>
    <cellStyle name="20% - Accent5 2 3 2 3" xfId="4954" xr:uid="{00000000-0005-0000-0000-0000AF020000}"/>
    <cellStyle name="20% - Accent5 2 3 2 3 2" xfId="14280" xr:uid="{7CE04EE4-1959-406A-9E8C-D23E8CD4B4AF}"/>
    <cellStyle name="20% - Accent5 2 3 2 3 3" xfId="22721" xr:uid="{CF4CC1B2-FB03-4E7F-BCBF-7D55DD4F8AE9}"/>
    <cellStyle name="20% - Accent5 2 3 2 3 4" xfId="31161" xr:uid="{B65A1810-D181-4953-853F-0E903678D4BE}"/>
    <cellStyle name="20% - Accent5 2 3 2 4" xfId="9428" xr:uid="{B7820ACF-E1F3-4653-B5DD-FD829B169E84}"/>
    <cellStyle name="20% - Accent5 2 3 2 5" xfId="10063" xr:uid="{D54E94C9-F2E1-460A-9212-7000AEA320F2}"/>
    <cellStyle name="20% - Accent5 2 3 2 6" xfId="18504" xr:uid="{8CD54B18-C6C6-4242-AFC0-0364CD0EB98A}"/>
    <cellStyle name="20% - Accent5 2 3 2 7" xfId="26944" xr:uid="{0AEBB08B-52A9-4AB2-82FF-C58525B4C75F}"/>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33D4E741-5126-4854-9326-765FDC0F7AD4}"/>
    <cellStyle name="20% - Accent5 2 3 3 2 2 3" xfId="25279" xr:uid="{0AC99BE8-9E21-43B3-9616-13001384F190}"/>
    <cellStyle name="20% - Accent5 2 3 3 2 2 4" xfId="33719" xr:uid="{3E9FF7C0-E83A-4DF0-B300-5BBD6C7E4003}"/>
    <cellStyle name="20% - Accent5 2 3 3 2 3" xfId="12621" xr:uid="{9E6FE5C4-C48E-4FA2-AC89-D92B0EA352FA}"/>
    <cellStyle name="20% - Accent5 2 3 3 2 4" xfId="21062" xr:uid="{F07253C4-FA3C-43DF-A5DE-D3BAFD8017C1}"/>
    <cellStyle name="20% - Accent5 2 3 3 2 5" xfId="29502" xr:uid="{604D8394-3609-49D9-B0A3-EF764C9BF3E1}"/>
    <cellStyle name="20% - Accent5 2 3 3 3" xfId="5367" xr:uid="{00000000-0005-0000-0000-0000B3020000}"/>
    <cellStyle name="20% - Accent5 2 3 3 3 2" xfId="14693" xr:uid="{807EC5FA-5650-47E4-9E8F-E980C76EF3CA}"/>
    <cellStyle name="20% - Accent5 2 3 3 3 3" xfId="23134" xr:uid="{636F7639-B17D-4EF9-81AE-7DDCE8DA11ED}"/>
    <cellStyle name="20% - Accent5 2 3 3 3 4" xfId="31574" xr:uid="{A98892CF-0196-4FB7-AABA-23CCD1C48133}"/>
    <cellStyle name="20% - Accent5 2 3 3 4" xfId="10476" xr:uid="{ADD7F088-82C3-44D1-8AB3-A57FD05A3F16}"/>
    <cellStyle name="20% - Accent5 2 3 3 5" xfId="18917" xr:uid="{D24CCA25-7E74-48FF-BA69-37E68ABB4C73}"/>
    <cellStyle name="20% - Accent5 2 3 3 6" xfId="27357" xr:uid="{A2083CEF-57F6-4566-886F-E3152A5AE9E9}"/>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581B25B5-0A55-4E98-B9F1-1643A194F9EA}"/>
    <cellStyle name="20% - Accent5 2 3 4 2 2 3" xfId="25692" xr:uid="{B0542C34-BF9C-4428-A1DE-E1939ABA9E51}"/>
    <cellStyle name="20% - Accent5 2 3 4 2 2 4" xfId="34132" xr:uid="{89CE8434-890C-4081-9C66-DE9DC0B58718}"/>
    <cellStyle name="20% - Accent5 2 3 4 2 3" xfId="13034" xr:uid="{75D81ED6-381F-4D03-A39B-0AB4C84C98DC}"/>
    <cellStyle name="20% - Accent5 2 3 4 2 4" xfId="21475" xr:uid="{BD357189-58E0-4452-8F6C-A9391857D2BF}"/>
    <cellStyle name="20% - Accent5 2 3 4 2 5" xfId="29915" xr:uid="{3EDD3F9A-5F3B-4464-9FA1-3F4E68FC4E73}"/>
    <cellStyle name="20% - Accent5 2 3 4 3" xfId="5780" xr:uid="{00000000-0005-0000-0000-0000B7020000}"/>
    <cellStyle name="20% - Accent5 2 3 4 3 2" xfId="15106" xr:uid="{516ADA3C-36FF-4C81-AFEB-75294B55FF4B}"/>
    <cellStyle name="20% - Accent5 2 3 4 3 3" xfId="23547" xr:uid="{5C617915-53B0-4CA9-9AB4-74FC098682A3}"/>
    <cellStyle name="20% - Accent5 2 3 4 3 4" xfId="31987" xr:uid="{EFB76FA4-1292-407D-888A-316157BE7845}"/>
    <cellStyle name="20% - Accent5 2 3 4 4" xfId="10889" xr:uid="{6A239ED9-4E86-4791-928B-966F52CCA709}"/>
    <cellStyle name="20% - Accent5 2 3 4 5" xfId="19330" xr:uid="{BE93531F-22C8-46A6-A1E7-834BB99B3189}"/>
    <cellStyle name="20% - Accent5 2 3 4 6" xfId="27770" xr:uid="{F8591733-8CCB-496E-AA7D-BF566EB236B9}"/>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668ECAFA-4A09-4ED0-838F-5CAF693EF911}"/>
    <cellStyle name="20% - Accent5 2 3 5 2 2 3" xfId="26105" xr:uid="{25C7859A-156C-43D8-9201-D03F77345775}"/>
    <cellStyle name="20% - Accent5 2 3 5 2 2 4" xfId="34545" xr:uid="{6BDBCA79-15B4-4278-BFBA-D097B48E113A}"/>
    <cellStyle name="20% - Accent5 2 3 5 2 3" xfId="13447" xr:uid="{E702ECE8-0631-4ECC-A881-1BB0CD7406E1}"/>
    <cellStyle name="20% - Accent5 2 3 5 2 4" xfId="21888" xr:uid="{71FDDD68-373E-4D93-B945-7F86D8815489}"/>
    <cellStyle name="20% - Accent5 2 3 5 2 5" xfId="30328" xr:uid="{C53ADD3B-C6C6-4910-8C4A-333E0333EC71}"/>
    <cellStyle name="20% - Accent5 2 3 5 3" xfId="6193" xr:uid="{00000000-0005-0000-0000-0000BB020000}"/>
    <cellStyle name="20% - Accent5 2 3 5 3 2" xfId="15519" xr:uid="{14D73DE1-5130-4516-A8D2-77AC1790A4BB}"/>
    <cellStyle name="20% - Accent5 2 3 5 3 3" xfId="23960" xr:uid="{1897C0F5-5174-4A00-8499-D6B5A3CB53E6}"/>
    <cellStyle name="20% - Accent5 2 3 5 3 4" xfId="32400" xr:uid="{068ED905-C2DA-4D9E-8E0C-04DD11DD19DE}"/>
    <cellStyle name="20% - Accent5 2 3 5 4" xfId="11302" xr:uid="{F5150338-8441-445E-9870-216706C3F279}"/>
    <cellStyle name="20% - Accent5 2 3 5 5" xfId="19743" xr:uid="{94FFF6BA-DE59-4220-8E20-BB6E5A915151}"/>
    <cellStyle name="20% - Accent5 2 3 5 6" xfId="28183" xr:uid="{FF0F21EC-FA81-4FDA-A130-A1178C528705}"/>
    <cellStyle name="20% - Accent5 2 3 6" xfId="2300" xr:uid="{00000000-0005-0000-0000-0000BC020000}"/>
    <cellStyle name="20% - Accent5 2 3 6 2" xfId="6606" xr:uid="{00000000-0005-0000-0000-0000BD020000}"/>
    <cellStyle name="20% - Accent5 2 3 6 2 2" xfId="15932" xr:uid="{8AB6B81A-C2EC-484C-A3A4-BCB0C2D46097}"/>
    <cellStyle name="20% - Accent5 2 3 6 2 3" xfId="24373" xr:uid="{E936E1AC-F15B-4699-B160-761C7BE840E4}"/>
    <cellStyle name="20% - Accent5 2 3 6 2 4" xfId="32813" xr:uid="{656AF067-86B4-4583-BEFE-D64DB1967E8E}"/>
    <cellStyle name="20% - Accent5 2 3 6 3" xfId="11715" xr:uid="{16EF0631-EB60-4644-AAFC-D116D0727760}"/>
    <cellStyle name="20% - Accent5 2 3 6 4" xfId="20156" xr:uid="{E096093C-57C4-424B-BE0B-0636B817AA5C}"/>
    <cellStyle name="20% - Accent5 2 3 6 5" xfId="28596" xr:uid="{B29C71BC-13BC-46E0-B0D0-1D8EB5DA973E}"/>
    <cellStyle name="20% - Accent5 2 3 7" xfId="4540" xr:uid="{00000000-0005-0000-0000-0000BE020000}"/>
    <cellStyle name="20% - Accent5 2 3 7 2" xfId="13866" xr:uid="{F487264A-FECD-4E37-85BB-1AB6D0138C6E}"/>
    <cellStyle name="20% - Accent5 2 3 7 3" xfId="22307" xr:uid="{88828A91-28F2-402C-9ABC-9C4CF8711961}"/>
    <cellStyle name="20% - Accent5 2 3 7 4" xfId="30747" xr:uid="{511C8CC5-0E2D-4CAD-B984-7DA2793F7912}"/>
    <cellStyle name="20% - Accent5 2 3 8" xfId="9003" xr:uid="{9830E7D1-E361-4BA3-A986-3DCE647EEF8E}"/>
    <cellStyle name="20% - Accent5 2 3 9" xfId="9649" xr:uid="{D418D313-1F2E-411B-A663-D051B2630780}"/>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34DA2066-A02E-48EB-A1EA-C21086D56A16}"/>
    <cellStyle name="20% - Accent5 2 4 2 2 3" xfId="24863" xr:uid="{7A97F7BC-6070-4A8C-AD8D-263ABD8BA7E5}"/>
    <cellStyle name="20% - Accent5 2 4 2 2 4" xfId="33303" xr:uid="{959773A8-C77C-413B-9E96-791D120C6400}"/>
    <cellStyle name="20% - Accent5 2 4 2 3" xfId="12205" xr:uid="{AB87293D-B4F4-457A-A6B5-48516E563F96}"/>
    <cellStyle name="20% - Accent5 2 4 2 4" xfId="20646" xr:uid="{8C3EBEFF-74D4-468D-AEBA-0B8D657D3976}"/>
    <cellStyle name="20% - Accent5 2 4 2 5" xfId="29086" xr:uid="{B4D7D75F-A1F9-439E-9047-8A6D47EC6A81}"/>
    <cellStyle name="20% - Accent5 2 4 3" xfId="4951" xr:uid="{00000000-0005-0000-0000-0000C2020000}"/>
    <cellStyle name="20% - Accent5 2 4 3 2" xfId="14277" xr:uid="{5F7E37EA-4C55-460C-8A7C-31F221E55EAA}"/>
    <cellStyle name="20% - Accent5 2 4 3 3" xfId="22718" xr:uid="{F06ED9CC-8E63-490B-AA37-192CEA4C4BAE}"/>
    <cellStyle name="20% - Accent5 2 4 3 4" xfId="31158" xr:uid="{166B7B9C-F138-4098-8E51-75717C273005}"/>
    <cellStyle name="20% - Accent5 2 4 4" xfId="9220" xr:uid="{A7B88928-FE72-4C1B-B74E-3CA76DBA84CC}"/>
    <cellStyle name="20% - Accent5 2 4 5" xfId="10060" xr:uid="{5D7F9FB7-4DEE-478C-AECC-209F37CE4736}"/>
    <cellStyle name="20% - Accent5 2 4 6" xfId="18501" xr:uid="{92E2CB9E-195C-4B9B-8373-EA1FFF8A4C9F}"/>
    <cellStyle name="20% - Accent5 2 4 7" xfId="26941" xr:uid="{54459CA4-AAB3-4F93-934C-02F7B716F0FF}"/>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9BEF2D98-A9F4-4AB3-9914-9A41041D9025}"/>
    <cellStyle name="20% - Accent5 2 5 2 2 3" xfId="25276" xr:uid="{67DA57B6-D8E5-40D5-81FA-C8F69EDE19C7}"/>
    <cellStyle name="20% - Accent5 2 5 2 2 4" xfId="33716" xr:uid="{4E4FB68E-1FE3-409B-8368-58696ED6ACE1}"/>
    <cellStyle name="20% - Accent5 2 5 2 3" xfId="12618" xr:uid="{F44A9139-FAE6-4F7C-B46A-7B4558B26A76}"/>
    <cellStyle name="20% - Accent5 2 5 2 4" xfId="21059" xr:uid="{42340B66-1D0C-42E0-81A8-4F45E032EB4E}"/>
    <cellStyle name="20% - Accent5 2 5 2 5" xfId="29499" xr:uid="{740EE4F4-EA0C-4E43-8200-A8D20380FDB8}"/>
    <cellStyle name="20% - Accent5 2 5 3" xfId="5364" xr:uid="{00000000-0005-0000-0000-0000C6020000}"/>
    <cellStyle name="20% - Accent5 2 5 3 2" xfId="14690" xr:uid="{72DF6359-0FA1-4CE3-A1EF-F80BBC701AD7}"/>
    <cellStyle name="20% - Accent5 2 5 3 3" xfId="23131" xr:uid="{CE070C74-1A23-45C9-8023-7EF2D83D64FF}"/>
    <cellStyle name="20% - Accent5 2 5 3 4" xfId="31571" xr:uid="{897CA7CD-5CC6-4F64-AD25-490DD61F95F7}"/>
    <cellStyle name="20% - Accent5 2 5 4" xfId="10473" xr:uid="{8F59E326-28CD-484F-8063-D341B43E1867}"/>
    <cellStyle name="20% - Accent5 2 5 5" xfId="18914" xr:uid="{F5A49502-7DCA-40D4-B1F9-D50D24B2DBDC}"/>
    <cellStyle name="20% - Accent5 2 5 6" xfId="27354" xr:uid="{DE52104F-94DA-41CF-82BF-A53AADC36F6B}"/>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ECA7753D-17B4-4DB8-BDAF-BD413EDB331B}"/>
    <cellStyle name="20% - Accent5 2 6 2 2 3" xfId="25689" xr:uid="{AD0314BD-7964-407B-B2BE-1FE11F2DC9A1}"/>
    <cellStyle name="20% - Accent5 2 6 2 2 4" xfId="34129" xr:uid="{99C0025C-66C6-4864-8122-68004F33D19E}"/>
    <cellStyle name="20% - Accent5 2 6 2 3" xfId="13031" xr:uid="{8563FBE5-21B0-46E0-99EB-208B9D998087}"/>
    <cellStyle name="20% - Accent5 2 6 2 4" xfId="21472" xr:uid="{3C99EA38-A182-40C6-9147-F648A15AF851}"/>
    <cellStyle name="20% - Accent5 2 6 2 5" xfId="29912" xr:uid="{D54DB438-411B-47FC-AFA9-13DF3B02BF89}"/>
    <cellStyle name="20% - Accent5 2 6 3" xfId="5777" xr:uid="{00000000-0005-0000-0000-0000CA020000}"/>
    <cellStyle name="20% - Accent5 2 6 3 2" xfId="15103" xr:uid="{5509497B-8211-427C-95FD-92613729989A}"/>
    <cellStyle name="20% - Accent5 2 6 3 3" xfId="23544" xr:uid="{D5BE9D80-DF85-409A-8D04-935A9F3C51C9}"/>
    <cellStyle name="20% - Accent5 2 6 3 4" xfId="31984" xr:uid="{24DD8760-9A1F-4202-8840-DC09E4FD8ECB}"/>
    <cellStyle name="20% - Accent5 2 6 4" xfId="10886" xr:uid="{56E7A083-89CC-401F-A687-FE19973A4B55}"/>
    <cellStyle name="20% - Accent5 2 6 5" xfId="19327" xr:uid="{12B94E1F-4EF4-4C1C-B946-A249F8F07558}"/>
    <cellStyle name="20% - Accent5 2 6 6" xfId="27767" xr:uid="{5155E5E9-4D0B-4F92-B422-D5A970EAF37E}"/>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D00A76E2-9BC1-4577-B30C-5A5A6EE201AF}"/>
    <cellStyle name="20% - Accent5 2 7 2 2 3" xfId="26102" xr:uid="{DB7DA454-52BF-4EFC-9FA3-5B4615B2AC47}"/>
    <cellStyle name="20% - Accent5 2 7 2 2 4" xfId="34542" xr:uid="{168F7B5E-4B03-48DF-9D97-AF5C475B0146}"/>
    <cellStyle name="20% - Accent5 2 7 2 3" xfId="13444" xr:uid="{45B53EDC-0AD6-4489-B79E-88F40A2C635B}"/>
    <cellStyle name="20% - Accent5 2 7 2 4" xfId="21885" xr:uid="{51D69061-B234-4DAD-A4FD-83A7B4E59AAE}"/>
    <cellStyle name="20% - Accent5 2 7 2 5" xfId="30325" xr:uid="{C5EBF141-E7F4-4953-AB27-1D18C5FB46C9}"/>
    <cellStyle name="20% - Accent5 2 7 3" xfId="6190" xr:uid="{00000000-0005-0000-0000-0000CE020000}"/>
    <cellStyle name="20% - Accent5 2 7 3 2" xfId="15516" xr:uid="{ABED042C-D59C-4022-A99A-9F1DF8DE8798}"/>
    <cellStyle name="20% - Accent5 2 7 3 3" xfId="23957" xr:uid="{BAC8D122-47A6-4816-9E22-DD601A124860}"/>
    <cellStyle name="20% - Accent5 2 7 3 4" xfId="32397" xr:uid="{048E7333-8152-41C4-90E5-3D21E54036B0}"/>
    <cellStyle name="20% - Accent5 2 7 4" xfId="11299" xr:uid="{FA9F8961-47A6-4847-879D-51AB62F29979}"/>
    <cellStyle name="20% - Accent5 2 7 5" xfId="19740" xr:uid="{2D20381D-69D9-4FDF-A893-67A4DD43A1AC}"/>
    <cellStyle name="20% - Accent5 2 7 6" xfId="28180" xr:uid="{8EF77636-0D86-4668-8593-3E907376896E}"/>
    <cellStyle name="20% - Accent5 2 8" xfId="2297" xr:uid="{00000000-0005-0000-0000-0000CF020000}"/>
    <cellStyle name="20% - Accent5 2 8 2" xfId="6603" xr:uid="{00000000-0005-0000-0000-0000D0020000}"/>
    <cellStyle name="20% - Accent5 2 8 2 2" xfId="15929" xr:uid="{761C54FF-B4DC-4D72-9BFB-FC76B3A5F7F3}"/>
    <cellStyle name="20% - Accent5 2 8 2 3" xfId="24370" xr:uid="{A5093934-1B12-418C-99CB-781743618DCB}"/>
    <cellStyle name="20% - Accent5 2 8 2 4" xfId="32810" xr:uid="{23D1017A-5EA6-4D1A-859A-DC3CD09C2C51}"/>
    <cellStyle name="20% - Accent5 2 8 3" xfId="11712" xr:uid="{E17BAADF-8B94-471A-A880-C05C9FB72CE7}"/>
    <cellStyle name="20% - Accent5 2 8 4" xfId="20153" xr:uid="{2D07157A-B881-434A-AC14-5CA98C52B149}"/>
    <cellStyle name="20% - Accent5 2 8 5" xfId="28593" xr:uid="{25939269-7B47-4826-86C4-DC14F3F63493}"/>
    <cellStyle name="20% - Accent5 2 9" xfId="4537" xr:uid="{00000000-0005-0000-0000-0000D1020000}"/>
    <cellStyle name="20% - Accent5 2 9 2" xfId="13863" xr:uid="{8A7FE492-A967-4D7E-A6CB-E0B06824E0F0}"/>
    <cellStyle name="20% - Accent5 2 9 3" xfId="22304" xr:uid="{90A0F4F2-8EBB-4A19-9488-E278AA1498AA}"/>
    <cellStyle name="20% - Accent5 2 9 4" xfId="30744" xr:uid="{02F81225-1F69-4DC2-868B-D53226291D80}"/>
    <cellStyle name="20% - Accent5 3" xfId="38" xr:uid="{00000000-0005-0000-0000-0000D2020000}"/>
    <cellStyle name="20% - Accent5 3 10" xfId="9650" xr:uid="{1CCA8468-09A5-473D-8CAF-C282430771B7}"/>
    <cellStyle name="20% - Accent5 3 11" xfId="18091" xr:uid="{84248246-6321-4077-9DEE-053C436B3F01}"/>
    <cellStyle name="20% - Accent5 3 12" xfId="26531" xr:uid="{4406F180-543A-407A-B237-10E6EF144B12}"/>
    <cellStyle name="20% - Accent5 3 2" xfId="39" xr:uid="{00000000-0005-0000-0000-0000D3020000}"/>
    <cellStyle name="20% - Accent5 3 2 10" xfId="18092" xr:uid="{6A9C2D98-FB2E-4B17-A3A8-CBEBA903A3EC}"/>
    <cellStyle name="20% - Accent5 3 2 11" xfId="26532" xr:uid="{B03CCB4B-4C40-4820-9ED6-455EAEA7CBA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BE2EF52A-41EE-4CC4-97F1-EF70B64A98BA}"/>
    <cellStyle name="20% - Accent5 3 2 2 2 2 3" xfId="24868" xr:uid="{F24C47A3-02E5-4B27-AD62-324D649ACC20}"/>
    <cellStyle name="20% - Accent5 3 2 2 2 2 4" xfId="33308" xr:uid="{45F372E2-A052-4E09-B9A2-DF483E30D258}"/>
    <cellStyle name="20% - Accent5 3 2 2 2 3" xfId="12210" xr:uid="{72BA389D-659A-4FE9-A436-5C71D0E0202D}"/>
    <cellStyle name="20% - Accent5 3 2 2 2 4" xfId="20651" xr:uid="{1C21347C-EA61-459A-8EB2-6F732813D511}"/>
    <cellStyle name="20% - Accent5 3 2 2 2 5" xfId="29091" xr:uid="{1ED31E68-539D-4810-9F1C-D59693A340D2}"/>
    <cellStyle name="20% - Accent5 3 2 2 3" xfId="4956" xr:uid="{00000000-0005-0000-0000-0000D7020000}"/>
    <cellStyle name="20% - Accent5 3 2 2 3 2" xfId="14282" xr:uid="{0152B2D9-209D-400E-8CF2-38963E144133}"/>
    <cellStyle name="20% - Accent5 3 2 2 3 3" xfId="22723" xr:uid="{0830FE14-5B3A-49F3-8DAA-4760330B56FA}"/>
    <cellStyle name="20% - Accent5 3 2 2 3 4" xfId="31163" xr:uid="{488FCEAF-B9A7-4987-9F1C-6417A9EEAC0B}"/>
    <cellStyle name="20% - Accent5 3 2 2 4" xfId="9501" xr:uid="{82A590A5-96D4-476E-8E6F-D81EEE08C409}"/>
    <cellStyle name="20% - Accent5 3 2 2 5" xfId="10065" xr:uid="{5F4EF2ED-EC12-4114-AB09-6E452F2554E6}"/>
    <cellStyle name="20% - Accent5 3 2 2 6" xfId="18506" xr:uid="{564EFBC4-6986-4278-9F39-0BFFB5EB1975}"/>
    <cellStyle name="20% - Accent5 3 2 2 7" xfId="26946" xr:uid="{2DD62FEA-CE65-4874-B725-1CD51F9304B5}"/>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B545887B-0011-445F-9C8F-82AC9C54DC32}"/>
    <cellStyle name="20% - Accent5 3 2 3 2 2 3" xfId="25281" xr:uid="{65725F89-B018-4F43-A94E-D82A7F879882}"/>
    <cellStyle name="20% - Accent5 3 2 3 2 2 4" xfId="33721" xr:uid="{F516C76C-C7A6-42DC-93F7-BE3DFEF1B6C4}"/>
    <cellStyle name="20% - Accent5 3 2 3 2 3" xfId="12623" xr:uid="{BFB09711-D822-47C3-A711-22F7EFE96C72}"/>
    <cellStyle name="20% - Accent5 3 2 3 2 4" xfId="21064" xr:uid="{94188B5A-A14A-43BB-86E6-9F65C949F8E7}"/>
    <cellStyle name="20% - Accent5 3 2 3 2 5" xfId="29504" xr:uid="{9725A1CB-0258-4F5A-8E81-2C72F96CD1FD}"/>
    <cellStyle name="20% - Accent5 3 2 3 3" xfId="5369" xr:uid="{00000000-0005-0000-0000-0000DB020000}"/>
    <cellStyle name="20% - Accent5 3 2 3 3 2" xfId="14695" xr:uid="{49CB06C1-DE1D-4852-962A-9D84493A1E00}"/>
    <cellStyle name="20% - Accent5 3 2 3 3 3" xfId="23136" xr:uid="{64ED5A21-C48D-4E44-942D-328DFC3F5077}"/>
    <cellStyle name="20% - Accent5 3 2 3 3 4" xfId="31576" xr:uid="{A8F10BA5-1B6D-4D10-96B3-9700143330EF}"/>
    <cellStyle name="20% - Accent5 3 2 3 4" xfId="10478" xr:uid="{6C7B1E60-E4F9-4EC2-9745-3E186C99FE12}"/>
    <cellStyle name="20% - Accent5 3 2 3 5" xfId="18919" xr:uid="{6042B2E5-6F7E-4A39-BC9F-1A37CDA89B24}"/>
    <cellStyle name="20% - Accent5 3 2 3 6" xfId="27359" xr:uid="{C1A2988F-8DAA-4C32-AE2C-F8723FB7E990}"/>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F8302703-2456-4FB2-B9F9-FB6B3C991FB2}"/>
    <cellStyle name="20% - Accent5 3 2 4 2 2 3" xfId="25694" xr:uid="{B1514D6F-242E-4A93-80B0-6DE60E410504}"/>
    <cellStyle name="20% - Accent5 3 2 4 2 2 4" xfId="34134" xr:uid="{AB01E7BF-254A-4887-93F9-8DC053DF862E}"/>
    <cellStyle name="20% - Accent5 3 2 4 2 3" xfId="13036" xr:uid="{3644BE36-4325-4C61-AAF5-381A70C25148}"/>
    <cellStyle name="20% - Accent5 3 2 4 2 4" xfId="21477" xr:uid="{A388FD64-A9FE-41CD-89C5-FB995B8E13E6}"/>
    <cellStyle name="20% - Accent5 3 2 4 2 5" xfId="29917" xr:uid="{7A6AED67-46EB-4E24-AA77-C30C5C8C2E85}"/>
    <cellStyle name="20% - Accent5 3 2 4 3" xfId="5782" xr:uid="{00000000-0005-0000-0000-0000DF020000}"/>
    <cellStyle name="20% - Accent5 3 2 4 3 2" xfId="15108" xr:uid="{2418B9B3-9FC2-473B-AB75-7B0AD9E1A9FE}"/>
    <cellStyle name="20% - Accent5 3 2 4 3 3" xfId="23549" xr:uid="{80BCED7B-B397-48FD-9D16-4EE519CB3A55}"/>
    <cellStyle name="20% - Accent5 3 2 4 3 4" xfId="31989" xr:uid="{2BDBECD4-9721-4C66-B4FC-6222F17F087F}"/>
    <cellStyle name="20% - Accent5 3 2 4 4" xfId="10891" xr:uid="{A524C25E-0477-4EAD-8CFD-05B9B98EEABD}"/>
    <cellStyle name="20% - Accent5 3 2 4 5" xfId="19332" xr:uid="{7E35CCB7-1270-4AB0-B5E2-139EF01C974F}"/>
    <cellStyle name="20% - Accent5 3 2 4 6" xfId="27772" xr:uid="{DCA440FB-F271-4B33-ABE2-99BFADA0A5A5}"/>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50913E66-D4A1-4668-A715-79ED07563C82}"/>
    <cellStyle name="20% - Accent5 3 2 5 2 2 3" xfId="26107" xr:uid="{3A85DEE9-1F84-4A69-BE1F-FEB98974E3EF}"/>
    <cellStyle name="20% - Accent5 3 2 5 2 2 4" xfId="34547" xr:uid="{2FD4BDB5-231D-4B75-AB2C-91BBCD3BFF9E}"/>
    <cellStyle name="20% - Accent5 3 2 5 2 3" xfId="13449" xr:uid="{92B58B3C-6403-4F7F-82CE-F869707238E8}"/>
    <cellStyle name="20% - Accent5 3 2 5 2 4" xfId="21890" xr:uid="{6E9786D8-EB5F-4480-801E-7E65FF649D63}"/>
    <cellStyle name="20% - Accent5 3 2 5 2 5" xfId="30330" xr:uid="{ECBD2D74-6B89-47C1-813F-E0EB32A04E39}"/>
    <cellStyle name="20% - Accent5 3 2 5 3" xfId="6195" xr:uid="{00000000-0005-0000-0000-0000E3020000}"/>
    <cellStyle name="20% - Accent5 3 2 5 3 2" xfId="15521" xr:uid="{3695B092-F36C-4AD0-B0C8-B251D08DE01B}"/>
    <cellStyle name="20% - Accent5 3 2 5 3 3" xfId="23962" xr:uid="{577DE6F6-0DEF-4FD2-AF47-82170BEE80FE}"/>
    <cellStyle name="20% - Accent5 3 2 5 3 4" xfId="32402" xr:uid="{2FEEF308-5922-4BED-9E5D-289526113653}"/>
    <cellStyle name="20% - Accent5 3 2 5 4" xfId="11304" xr:uid="{2AA1481E-713F-49C3-87CC-94E2E0238EC5}"/>
    <cellStyle name="20% - Accent5 3 2 5 5" xfId="19745" xr:uid="{DF940631-EDFB-4FA6-9775-2DC3CBB0234F}"/>
    <cellStyle name="20% - Accent5 3 2 5 6" xfId="28185" xr:uid="{B32DC5B1-7F45-4140-8A83-032C2F0F669B}"/>
    <cellStyle name="20% - Accent5 3 2 6" xfId="2302" xr:uid="{00000000-0005-0000-0000-0000E4020000}"/>
    <cellStyle name="20% - Accent5 3 2 6 2" xfId="6608" xr:uid="{00000000-0005-0000-0000-0000E5020000}"/>
    <cellStyle name="20% - Accent5 3 2 6 2 2" xfId="15934" xr:uid="{5F597AFE-2445-4F98-8DE8-8F5E13727C27}"/>
    <cellStyle name="20% - Accent5 3 2 6 2 3" xfId="24375" xr:uid="{AF586977-333F-414D-BB59-4010D5731999}"/>
    <cellStyle name="20% - Accent5 3 2 6 2 4" xfId="32815" xr:uid="{2D41F2EB-EC72-4979-9F3A-D5BD566E1399}"/>
    <cellStyle name="20% - Accent5 3 2 6 3" xfId="11717" xr:uid="{50E1EC76-8B02-4DAB-8B48-50CFA0233F22}"/>
    <cellStyle name="20% - Accent5 3 2 6 4" xfId="20158" xr:uid="{CC1A5C9C-D2F0-4086-85ED-10B3E8A1C1B4}"/>
    <cellStyle name="20% - Accent5 3 2 6 5" xfId="28598" xr:uid="{690543D4-5553-4D46-8CED-DF340DD73A0D}"/>
    <cellStyle name="20% - Accent5 3 2 7" xfId="4542" xr:uid="{00000000-0005-0000-0000-0000E6020000}"/>
    <cellStyle name="20% - Accent5 3 2 7 2" xfId="13868" xr:uid="{1494EAF8-8582-4AEB-AFE5-386FCB386150}"/>
    <cellStyle name="20% - Accent5 3 2 7 3" xfId="22309" xr:uid="{08004871-D87A-4334-A6E0-67AE3D3E5389}"/>
    <cellStyle name="20% - Accent5 3 2 7 4" xfId="30749" xr:uid="{13C5DE3A-BCFD-4289-97B7-CF3715C7F670}"/>
    <cellStyle name="20% - Accent5 3 2 8" xfId="9076" xr:uid="{BEDF1D01-35A3-4513-9363-9C1AFC748168}"/>
    <cellStyle name="20% - Accent5 3 2 9" xfId="9651" xr:uid="{B4D8198A-F803-40F3-B38B-F7F7486F0EE9}"/>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599997FC-15CE-49A3-BB88-A250BC9DB1F9}"/>
    <cellStyle name="20% - Accent5 3 3 2 2 3" xfId="24867" xr:uid="{780DAC57-EF3D-4C7B-AD16-8F117419E056}"/>
    <cellStyle name="20% - Accent5 3 3 2 2 4" xfId="33307" xr:uid="{97817D6F-E0BB-455F-BC0B-74118314DE0E}"/>
    <cellStyle name="20% - Accent5 3 3 2 3" xfId="12209" xr:uid="{660646E0-E100-4048-9C22-C200DBE208D9}"/>
    <cellStyle name="20% - Accent5 3 3 2 4" xfId="20650" xr:uid="{3A222FD5-75D3-454E-8D69-DDBB6669BA7F}"/>
    <cellStyle name="20% - Accent5 3 3 2 5" xfId="29090" xr:uid="{920B5BAE-3800-480F-8A1E-A0C3F51D1F2E}"/>
    <cellStyle name="20% - Accent5 3 3 3" xfId="4955" xr:uid="{00000000-0005-0000-0000-0000EA020000}"/>
    <cellStyle name="20% - Accent5 3 3 3 2" xfId="14281" xr:uid="{46D7EA33-C644-466A-9881-0233909310AF}"/>
    <cellStyle name="20% - Accent5 3 3 3 3" xfId="22722" xr:uid="{9DA9BFE9-1AAB-4B17-929A-1291741D18BD}"/>
    <cellStyle name="20% - Accent5 3 3 3 4" xfId="31162" xr:uid="{01617227-584D-4D87-A93E-788E49A13C2A}"/>
    <cellStyle name="20% - Accent5 3 3 4" xfId="9294" xr:uid="{124960EA-C7A4-4686-BF67-47D6C57F7EEB}"/>
    <cellStyle name="20% - Accent5 3 3 5" xfId="10064" xr:uid="{AA226B2C-053C-494D-B9FE-E7A6E317402C}"/>
    <cellStyle name="20% - Accent5 3 3 6" xfId="18505" xr:uid="{8C4DB091-3C29-4E07-B81E-16B008AAB906}"/>
    <cellStyle name="20% - Accent5 3 3 7" xfId="26945" xr:uid="{A61FF18B-5690-4D13-91E0-BA97720E5CA0}"/>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FF021E57-487A-4968-8FB5-BB1AD4F26777}"/>
    <cellStyle name="20% - Accent5 3 4 2 2 3" xfId="25280" xr:uid="{3B754701-6DBC-49FA-B286-18BA1219464A}"/>
    <cellStyle name="20% - Accent5 3 4 2 2 4" xfId="33720" xr:uid="{59287794-DC2B-4161-8760-992C6D8EE942}"/>
    <cellStyle name="20% - Accent5 3 4 2 3" xfId="12622" xr:uid="{2F2AB87A-FEDA-4E72-8379-BD308FD3B281}"/>
    <cellStyle name="20% - Accent5 3 4 2 4" xfId="21063" xr:uid="{45689382-2A88-436F-B44A-F81A995E16FF}"/>
    <cellStyle name="20% - Accent5 3 4 2 5" xfId="29503" xr:uid="{360ABF9A-1952-4EA2-8247-5E2500331066}"/>
    <cellStyle name="20% - Accent5 3 4 3" xfId="5368" xr:uid="{00000000-0005-0000-0000-0000EE020000}"/>
    <cellStyle name="20% - Accent5 3 4 3 2" xfId="14694" xr:uid="{A35399AB-6DAC-4278-8E12-453F06D76E0C}"/>
    <cellStyle name="20% - Accent5 3 4 3 3" xfId="23135" xr:uid="{C0E7E92C-7EF1-4AE4-AA3B-18D4B3EB9597}"/>
    <cellStyle name="20% - Accent5 3 4 3 4" xfId="31575" xr:uid="{C4D3C17E-AE53-4C40-A0B0-063BBA1AC249}"/>
    <cellStyle name="20% - Accent5 3 4 4" xfId="10477" xr:uid="{E9CEDCDE-A2CA-451E-8A7D-14935CF65D28}"/>
    <cellStyle name="20% - Accent5 3 4 5" xfId="18918" xr:uid="{FB7149F3-8CC5-4C96-A247-4D647D318005}"/>
    <cellStyle name="20% - Accent5 3 4 6" xfId="27358" xr:uid="{E66C84B2-1825-48E1-AC74-3075E828106D}"/>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0E6B87B1-66C7-48C8-BB63-B106E2409340}"/>
    <cellStyle name="20% - Accent5 3 5 2 2 3" xfId="25693" xr:uid="{A83F4108-4505-4B40-BC21-D2C4C783DD4B}"/>
    <cellStyle name="20% - Accent5 3 5 2 2 4" xfId="34133" xr:uid="{DC778BC0-EA1B-4A25-B759-3084FBEAB0D0}"/>
    <cellStyle name="20% - Accent5 3 5 2 3" xfId="13035" xr:uid="{DF7BC740-EAFB-423D-9D09-72B8ED3D2A54}"/>
    <cellStyle name="20% - Accent5 3 5 2 4" xfId="21476" xr:uid="{ED2FEF7F-8093-427D-9BE7-5952E945ED18}"/>
    <cellStyle name="20% - Accent5 3 5 2 5" xfId="29916" xr:uid="{4294516D-7F75-4176-82D9-0CF19E1B3332}"/>
    <cellStyle name="20% - Accent5 3 5 3" xfId="5781" xr:uid="{00000000-0005-0000-0000-0000F2020000}"/>
    <cellStyle name="20% - Accent5 3 5 3 2" xfId="15107" xr:uid="{241675F3-7318-4B53-9066-DE0B3491A6CE}"/>
    <cellStyle name="20% - Accent5 3 5 3 3" xfId="23548" xr:uid="{1EC33A5D-C81D-4A77-8482-5582D3EB8C4E}"/>
    <cellStyle name="20% - Accent5 3 5 3 4" xfId="31988" xr:uid="{C03AA736-EEFC-41C0-99C8-E384B9CADFE3}"/>
    <cellStyle name="20% - Accent5 3 5 4" xfId="10890" xr:uid="{D87FDC84-8BEA-490F-BAC5-E2EC02DAE609}"/>
    <cellStyle name="20% - Accent5 3 5 5" xfId="19331" xr:uid="{7427914A-FF4F-4A12-9D3F-F5EFFBB70459}"/>
    <cellStyle name="20% - Accent5 3 5 6" xfId="27771" xr:uid="{AFD0E6AD-8A4A-4F08-8790-AEA0AF88D0EB}"/>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89AB8C79-779F-47C7-95B7-431B486CC49C}"/>
    <cellStyle name="20% - Accent5 3 6 2 2 3" xfId="26106" xr:uid="{D825A7C4-6417-4AB7-8ACD-998F50D5CF51}"/>
    <cellStyle name="20% - Accent5 3 6 2 2 4" xfId="34546" xr:uid="{1C8C100C-AC6E-4CB7-A78A-4F03B61B20D5}"/>
    <cellStyle name="20% - Accent5 3 6 2 3" xfId="13448" xr:uid="{C66E65A5-32F0-4A03-9B73-A20DEB96CCB7}"/>
    <cellStyle name="20% - Accent5 3 6 2 4" xfId="21889" xr:uid="{2EF5D6F9-1AA7-4CC3-AF88-4E3D74CF0124}"/>
    <cellStyle name="20% - Accent5 3 6 2 5" xfId="30329" xr:uid="{9A2FC986-1A76-4BF4-AA73-AAE5248A8778}"/>
    <cellStyle name="20% - Accent5 3 6 3" xfId="6194" xr:uid="{00000000-0005-0000-0000-0000F6020000}"/>
    <cellStyle name="20% - Accent5 3 6 3 2" xfId="15520" xr:uid="{295424FE-9A06-4788-9FA6-EB84868A5356}"/>
    <cellStyle name="20% - Accent5 3 6 3 3" xfId="23961" xr:uid="{5E142F23-3A8A-4D1A-AD55-FBAD99F50AC9}"/>
    <cellStyle name="20% - Accent5 3 6 3 4" xfId="32401" xr:uid="{965EF983-EE35-4E93-A27F-568FAECA8162}"/>
    <cellStyle name="20% - Accent5 3 6 4" xfId="11303" xr:uid="{A8FE3827-BEAE-4EF0-BAFB-CF2B7DF0F18F}"/>
    <cellStyle name="20% - Accent5 3 6 5" xfId="19744" xr:uid="{2DC33E91-24A4-4673-95C5-9299C968604A}"/>
    <cellStyle name="20% - Accent5 3 6 6" xfId="28184" xr:uid="{5F4CB482-4B4E-486F-8493-3635324A6730}"/>
    <cellStyle name="20% - Accent5 3 7" xfId="2301" xr:uid="{00000000-0005-0000-0000-0000F7020000}"/>
    <cellStyle name="20% - Accent5 3 7 2" xfId="6607" xr:uid="{00000000-0005-0000-0000-0000F8020000}"/>
    <cellStyle name="20% - Accent5 3 7 2 2" xfId="15933" xr:uid="{169628BE-89EA-4F03-A230-38CCAB9B2B60}"/>
    <cellStyle name="20% - Accent5 3 7 2 3" xfId="24374" xr:uid="{A3A324AE-998E-4DC8-A97E-ADD16C044D64}"/>
    <cellStyle name="20% - Accent5 3 7 2 4" xfId="32814" xr:uid="{83CABB9F-23AA-4CEF-B019-D043A6D168D4}"/>
    <cellStyle name="20% - Accent5 3 7 3" xfId="11716" xr:uid="{9ED6F42C-8CD9-43E1-A2F3-4E4DD317DE2B}"/>
    <cellStyle name="20% - Accent5 3 7 4" xfId="20157" xr:uid="{8A274BBC-0B7B-41CD-BCF5-C9E6C4540B8C}"/>
    <cellStyle name="20% - Accent5 3 7 5" xfId="28597" xr:uid="{DA5517EA-9EA8-41B0-A945-98A09C4BB643}"/>
    <cellStyle name="20% - Accent5 3 8" xfId="4541" xr:uid="{00000000-0005-0000-0000-0000F9020000}"/>
    <cellStyle name="20% - Accent5 3 8 2" xfId="13867" xr:uid="{3D936FBF-EC7B-4DBE-AAAB-D2C50F5E1459}"/>
    <cellStyle name="20% - Accent5 3 8 3" xfId="22308" xr:uid="{D6956659-1DD6-4F09-AFCA-00DACCB0BCEA}"/>
    <cellStyle name="20% - Accent5 3 8 4" xfId="30748" xr:uid="{B1D8FF5B-E431-4E77-B7B4-328C0DDBB152}"/>
    <cellStyle name="20% - Accent5 3 9" xfId="8869" xr:uid="{43CC8A87-AEEB-4E51-98E7-F8AE8D86AD2B}"/>
    <cellStyle name="20% - Accent5 4" xfId="40" xr:uid="{00000000-0005-0000-0000-0000FA020000}"/>
    <cellStyle name="20% - Accent5 4 10" xfId="18093" xr:uid="{04EACE1C-F3EF-4946-B47E-C7BD674767CF}"/>
    <cellStyle name="20% - Accent5 4 11" xfId="26533" xr:uid="{13DF6D47-6228-4DCE-9A12-F8AEB351BD5A}"/>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4C941C30-09A0-4015-A991-61C66DFE4641}"/>
    <cellStyle name="20% - Accent5 4 2 2 2 3" xfId="24869" xr:uid="{616D4346-B75A-415C-98F8-1C7BBD7FD1FA}"/>
    <cellStyle name="20% - Accent5 4 2 2 2 4" xfId="33309" xr:uid="{FB9C8CA8-C1FC-4684-B565-B0FDE2F255F9}"/>
    <cellStyle name="20% - Accent5 4 2 2 3" xfId="12211" xr:uid="{194CA4EE-1EBF-4DD2-AA3D-12F6AFDE721B}"/>
    <cellStyle name="20% - Accent5 4 2 2 4" xfId="20652" xr:uid="{4B60FF4C-3E95-41AE-B81C-115D178FE405}"/>
    <cellStyle name="20% - Accent5 4 2 2 5" xfId="29092" xr:uid="{780AD985-675C-49BE-87D2-7AE10A6E838D}"/>
    <cellStyle name="20% - Accent5 4 2 3" xfId="4957" xr:uid="{00000000-0005-0000-0000-0000FE020000}"/>
    <cellStyle name="20% - Accent5 4 2 3 2" xfId="14283" xr:uid="{A02009A5-FEEC-4877-BF25-535656DA4664}"/>
    <cellStyle name="20% - Accent5 4 2 3 3" xfId="22724" xr:uid="{490AAAB9-9122-4DDB-8B0E-4C404FD4FA77}"/>
    <cellStyle name="20% - Accent5 4 2 3 4" xfId="31164" xr:uid="{0CE72886-F904-40E2-BF47-553829696DF7}"/>
    <cellStyle name="20% - Accent5 4 2 4" xfId="9380" xr:uid="{1C764D65-D71C-4646-AD86-15F83BDBF498}"/>
    <cellStyle name="20% - Accent5 4 2 5" xfId="10066" xr:uid="{94ABD683-1755-4EC2-AF30-800A753A9B04}"/>
    <cellStyle name="20% - Accent5 4 2 6" xfId="18507" xr:uid="{7FB68B85-4CD5-4A80-A5E0-D2BF2B1E48F7}"/>
    <cellStyle name="20% - Accent5 4 2 7" xfId="26947" xr:uid="{FB6A00A8-272A-455F-B563-8BF43CBCD237}"/>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320A4D64-EA81-45E7-987F-E8502ACD0BF7}"/>
    <cellStyle name="20% - Accent5 4 3 2 2 3" xfId="25282" xr:uid="{ADE606A5-A8F2-496D-A05A-48F27D71F2B4}"/>
    <cellStyle name="20% - Accent5 4 3 2 2 4" xfId="33722" xr:uid="{9446893C-45DD-406B-BD77-C98BDE8A7EC9}"/>
    <cellStyle name="20% - Accent5 4 3 2 3" xfId="12624" xr:uid="{A8EA7891-0F60-4EAF-8FE2-F382DBF275A1}"/>
    <cellStyle name="20% - Accent5 4 3 2 4" xfId="21065" xr:uid="{A5BFAA7E-A423-4C88-AA6F-DAFCF48F13B7}"/>
    <cellStyle name="20% - Accent5 4 3 2 5" xfId="29505" xr:uid="{10864060-C3BF-4B7E-A2EF-4156ACBAD04E}"/>
    <cellStyle name="20% - Accent5 4 3 3" xfId="5370" xr:uid="{00000000-0005-0000-0000-000002030000}"/>
    <cellStyle name="20% - Accent5 4 3 3 2" xfId="14696" xr:uid="{23C67C59-5390-4818-9E1E-3C8AD77AAB5A}"/>
    <cellStyle name="20% - Accent5 4 3 3 3" xfId="23137" xr:uid="{D5C44E8C-94AF-4B6E-8E2C-66D9E12811B2}"/>
    <cellStyle name="20% - Accent5 4 3 3 4" xfId="31577" xr:uid="{732773DD-7BD3-4080-8EEF-57180AC80FDE}"/>
    <cellStyle name="20% - Accent5 4 3 4" xfId="10479" xr:uid="{223A6B22-EFF3-470F-859C-58295E962822}"/>
    <cellStyle name="20% - Accent5 4 3 5" xfId="18920" xr:uid="{4B097D41-8ABE-480B-8F1C-99AC37A45EC0}"/>
    <cellStyle name="20% - Accent5 4 3 6" xfId="27360" xr:uid="{34CDF8B1-9CD0-47DF-B01D-5DA166565CFE}"/>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36C57190-D5D3-453F-9744-44D4C8FDF93A}"/>
    <cellStyle name="20% - Accent5 4 4 2 2 3" xfId="25695" xr:uid="{0944CB97-C55E-471D-AD96-710389FE7748}"/>
    <cellStyle name="20% - Accent5 4 4 2 2 4" xfId="34135" xr:uid="{73B159AC-E3C0-4826-8543-6A17D78807AB}"/>
    <cellStyle name="20% - Accent5 4 4 2 3" xfId="13037" xr:uid="{23E32E29-63BD-4118-9A34-734DF58E2859}"/>
    <cellStyle name="20% - Accent5 4 4 2 4" xfId="21478" xr:uid="{1ED5751E-9F3E-4F0B-975E-382793D98416}"/>
    <cellStyle name="20% - Accent5 4 4 2 5" xfId="29918" xr:uid="{76C8ADFB-DBA8-4FC4-8026-6A7018D7A01A}"/>
    <cellStyle name="20% - Accent5 4 4 3" xfId="5783" xr:uid="{00000000-0005-0000-0000-000006030000}"/>
    <cellStyle name="20% - Accent5 4 4 3 2" xfId="15109" xr:uid="{31A9F549-681C-4402-9A09-7C658136975D}"/>
    <cellStyle name="20% - Accent5 4 4 3 3" xfId="23550" xr:uid="{CA447E73-DFD2-4A17-9F46-E8802698CDEA}"/>
    <cellStyle name="20% - Accent5 4 4 3 4" xfId="31990" xr:uid="{3ED3DC6F-1F81-4569-9319-5AC35302EA44}"/>
    <cellStyle name="20% - Accent5 4 4 4" xfId="10892" xr:uid="{4136CAC9-8F33-41B9-8D3C-912897CBC29A}"/>
    <cellStyle name="20% - Accent5 4 4 5" xfId="19333" xr:uid="{692D83AD-41FB-4FE3-B864-4F4123A6D9EA}"/>
    <cellStyle name="20% - Accent5 4 4 6" xfId="27773" xr:uid="{A038E73E-BA5A-4D42-B057-CBE5EBE604B6}"/>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8AEEE04E-8055-4151-AF2D-11B805D8D33D}"/>
    <cellStyle name="20% - Accent5 4 5 2 2 3" xfId="26108" xr:uid="{FF2C8A77-E431-4CF2-8080-A10A8D2C83E8}"/>
    <cellStyle name="20% - Accent5 4 5 2 2 4" xfId="34548" xr:uid="{A27D5AF8-8F00-4F4F-BB4F-3DB6B527A89C}"/>
    <cellStyle name="20% - Accent5 4 5 2 3" xfId="13450" xr:uid="{7F37FE35-2555-410B-9652-18BDF0018311}"/>
    <cellStyle name="20% - Accent5 4 5 2 4" xfId="21891" xr:uid="{B5B72E82-2FF4-4D4B-91E9-32D391A09ED2}"/>
    <cellStyle name="20% - Accent5 4 5 2 5" xfId="30331" xr:uid="{D69E7D42-6D8D-4538-8D19-31B1705D25C7}"/>
    <cellStyle name="20% - Accent5 4 5 3" xfId="6196" xr:uid="{00000000-0005-0000-0000-00000A030000}"/>
    <cellStyle name="20% - Accent5 4 5 3 2" xfId="15522" xr:uid="{98171399-7A0C-4B71-9BF7-CEF8B92AA4F5}"/>
    <cellStyle name="20% - Accent5 4 5 3 3" xfId="23963" xr:uid="{CB7E140B-153C-4F8B-96B9-10ED662664C4}"/>
    <cellStyle name="20% - Accent5 4 5 3 4" xfId="32403" xr:uid="{7CE64827-33D1-439F-9F9F-2002BF1B1CA5}"/>
    <cellStyle name="20% - Accent5 4 5 4" xfId="11305" xr:uid="{91F5808A-C9EA-441D-B8A9-7F26FAD65509}"/>
    <cellStyle name="20% - Accent5 4 5 5" xfId="19746" xr:uid="{48E8975A-4C61-4943-B866-232EF2A4E589}"/>
    <cellStyle name="20% - Accent5 4 5 6" xfId="28186" xr:uid="{E92BF8FE-1943-43EF-B331-00C1FC1161D5}"/>
    <cellStyle name="20% - Accent5 4 6" xfId="2303" xr:uid="{00000000-0005-0000-0000-00000B030000}"/>
    <cellStyle name="20% - Accent5 4 6 2" xfId="6609" xr:uid="{00000000-0005-0000-0000-00000C030000}"/>
    <cellStyle name="20% - Accent5 4 6 2 2" xfId="15935" xr:uid="{684EDFFC-C829-4658-B009-C8E97A8684E6}"/>
    <cellStyle name="20% - Accent5 4 6 2 3" xfId="24376" xr:uid="{6348759F-1D3C-403D-8F9F-CBCA0D21DB84}"/>
    <cellStyle name="20% - Accent5 4 6 2 4" xfId="32816" xr:uid="{43AAF68B-A8A6-4B78-8D43-D612D0EF255D}"/>
    <cellStyle name="20% - Accent5 4 6 3" xfId="11718" xr:uid="{C3F888A0-7DFB-41D5-94E8-4DECF4EC07B4}"/>
    <cellStyle name="20% - Accent5 4 6 4" xfId="20159" xr:uid="{8C92DEC7-EB35-4892-B659-769813E8731E}"/>
    <cellStyle name="20% - Accent5 4 6 5" xfId="28599" xr:uid="{14DE190D-F54C-4B72-B014-162DFAADBC2F}"/>
    <cellStyle name="20% - Accent5 4 7" xfId="4543" xr:uid="{00000000-0005-0000-0000-00000D030000}"/>
    <cellStyle name="20% - Accent5 4 7 2" xfId="13869" xr:uid="{47C8F0C6-9859-4F65-B794-E211233B91D5}"/>
    <cellStyle name="20% - Accent5 4 7 3" xfId="22310" xr:uid="{F3ADB69A-6DC2-46B8-8478-20EF034F4937}"/>
    <cellStyle name="20% - Accent5 4 7 4" xfId="30750" xr:uid="{78DF6D8C-E8D5-4AB8-8C5A-653D2058BE20}"/>
    <cellStyle name="20% - Accent5 4 8" xfId="8955" xr:uid="{8AD43D76-8747-44EC-8D3B-2720ADF9D1B1}"/>
    <cellStyle name="20% - Accent5 4 9" xfId="9652" xr:uid="{D6C13B08-6F8E-410C-A348-91C5396D8BAA}"/>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8AD5546F-C6A5-43C8-949E-304779BF4CB2}"/>
    <cellStyle name="20% - Accent5 5 2 2 3" xfId="24862" xr:uid="{97BAB7B1-81EA-45AB-88A3-8A041266FEFD}"/>
    <cellStyle name="20% - Accent5 5 2 2 4" xfId="33302" xr:uid="{69F85247-8616-4F38-BA12-2226864D3C92}"/>
    <cellStyle name="20% - Accent5 5 2 3" xfId="12204" xr:uid="{28EEDA86-9FC7-4F9C-B6E9-3C2D4B42CBEF}"/>
    <cellStyle name="20% - Accent5 5 2 4" xfId="20645" xr:uid="{498281FD-76B9-4871-9FA5-D72483EC4112}"/>
    <cellStyle name="20% - Accent5 5 2 5" xfId="29085" xr:uid="{C1702150-0845-4F7A-9B2A-4ECDA92BF192}"/>
    <cellStyle name="20% - Accent5 5 3" xfId="4950" xr:uid="{00000000-0005-0000-0000-000011030000}"/>
    <cellStyle name="20% - Accent5 5 3 2" xfId="14276" xr:uid="{91475473-69F2-437A-8B01-292571C549F6}"/>
    <cellStyle name="20% - Accent5 5 3 3" xfId="22717" xr:uid="{F8000735-0A92-43B1-9282-9582B42DBD85}"/>
    <cellStyle name="20% - Accent5 5 3 4" xfId="31157" xr:uid="{B60AEBF7-C858-40C1-9BC9-411F0BAD0A21}"/>
    <cellStyle name="20% - Accent5 5 4" xfId="9188" xr:uid="{164CF7CE-7706-426C-90AA-4867A06E28BD}"/>
    <cellStyle name="20% - Accent5 5 5" xfId="10059" xr:uid="{991227B8-C301-4C80-AF70-DB8B596FA8D1}"/>
    <cellStyle name="20% - Accent5 5 6" xfId="18500" xr:uid="{CC8EA116-82F3-4C46-A06C-C388C28BF2BC}"/>
    <cellStyle name="20% - Accent5 5 7" xfId="26940" xr:uid="{99717AAD-181C-4136-8EE4-C96FF8DED89C}"/>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234DBA7F-FDEA-4D63-ABE1-B9A82C75C1CC}"/>
    <cellStyle name="20% - Accent5 6 2 2 3" xfId="25275" xr:uid="{FF8C56B4-85B0-4CBA-AAC7-F1DF9E93CB4B}"/>
    <cellStyle name="20% - Accent5 6 2 2 4" xfId="33715" xr:uid="{43D401A4-A3B0-4A08-9E01-7AF95F716495}"/>
    <cellStyle name="20% - Accent5 6 2 3" xfId="12617" xr:uid="{B5CE8E8D-78E8-4AD1-BF3F-FC4D85A8029C}"/>
    <cellStyle name="20% - Accent5 6 2 4" xfId="21058" xr:uid="{A96B5532-6B23-4FF9-B4A0-D3C5E28962AF}"/>
    <cellStyle name="20% - Accent5 6 2 5" xfId="29498" xr:uid="{C89DFA55-3E13-4004-BF7A-B981492236AF}"/>
    <cellStyle name="20% - Accent5 6 3" xfId="5363" xr:uid="{00000000-0005-0000-0000-000015030000}"/>
    <cellStyle name="20% - Accent5 6 3 2" xfId="14689" xr:uid="{88B20CD7-791A-4087-B6BA-7A24B4457D8B}"/>
    <cellStyle name="20% - Accent5 6 3 3" xfId="23130" xr:uid="{2AAC8FA9-578C-4D2A-82B2-4AEEB78AF50E}"/>
    <cellStyle name="20% - Accent5 6 3 4" xfId="31570" xr:uid="{DC51C951-D633-4C4F-BC8E-6886B6226026}"/>
    <cellStyle name="20% - Accent5 6 4" xfId="10472" xr:uid="{CB9036B7-B733-4A98-BB26-E9C12981CE56}"/>
    <cellStyle name="20% - Accent5 6 5" xfId="18913" xr:uid="{3901EB45-EF19-4E76-AB82-52BFD474EB43}"/>
    <cellStyle name="20% - Accent5 6 6" xfId="27353" xr:uid="{109ECE51-E213-460B-8DB6-D4FD51EBF072}"/>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E5C014C1-1534-4492-989B-D859E1A5CD86}"/>
    <cellStyle name="20% - Accent5 7 2 2 3" xfId="25688" xr:uid="{36549F77-AEF9-44E3-B5AA-E482E3063C69}"/>
    <cellStyle name="20% - Accent5 7 2 2 4" xfId="34128" xr:uid="{6D2C6334-CAF5-42CB-AC31-AA52EFD36E03}"/>
    <cellStyle name="20% - Accent5 7 2 3" xfId="13030" xr:uid="{70E4A07A-358F-4B80-B62A-BAC1556F7448}"/>
    <cellStyle name="20% - Accent5 7 2 4" xfId="21471" xr:uid="{85C6CCB0-654D-4F6C-9277-4C2B5C288452}"/>
    <cellStyle name="20% - Accent5 7 2 5" xfId="29911" xr:uid="{6A32B420-68CF-4779-A44C-06FDB6443663}"/>
    <cellStyle name="20% - Accent5 7 3" xfId="5776" xr:uid="{00000000-0005-0000-0000-000019030000}"/>
    <cellStyle name="20% - Accent5 7 3 2" xfId="15102" xr:uid="{FD5D9A60-B1CB-4A80-8099-C23E34B6B324}"/>
    <cellStyle name="20% - Accent5 7 3 3" xfId="23543" xr:uid="{6F44E1E9-ED9B-41DC-B2EB-830674D2A38C}"/>
    <cellStyle name="20% - Accent5 7 3 4" xfId="31983" xr:uid="{E6ABD04D-0C47-41AC-B598-084A01E06765}"/>
    <cellStyle name="20% - Accent5 7 4" xfId="10885" xr:uid="{7E123240-1573-4AC4-BC3C-576ED04FE93E}"/>
    <cellStyle name="20% - Accent5 7 5" xfId="19326" xr:uid="{7A4FE13B-F518-4B86-9239-9FDF68047245}"/>
    <cellStyle name="20% - Accent5 7 6" xfId="27766" xr:uid="{F6282B2C-5C1B-4CD1-B6D1-62E607450A1A}"/>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EA945272-DFE8-4EBE-9626-4E6E5741A2CC}"/>
    <cellStyle name="20% - Accent5 8 2 2 3" xfId="26101" xr:uid="{DEDFF19C-5DBD-463C-B259-DE4DBB8FB2A1}"/>
    <cellStyle name="20% - Accent5 8 2 2 4" xfId="34541" xr:uid="{F9B2B4FF-1BA8-401A-9848-E08C5FCE64A6}"/>
    <cellStyle name="20% - Accent5 8 2 3" xfId="13443" xr:uid="{4A3B0CD3-C7A2-4B9F-9345-3E9647A46F1C}"/>
    <cellStyle name="20% - Accent5 8 2 4" xfId="21884" xr:uid="{4C62443D-5E9B-49FC-94CC-4E0E47CE439A}"/>
    <cellStyle name="20% - Accent5 8 2 5" xfId="30324" xr:uid="{7BB0E273-183B-4C94-A0A3-B358CBB659B0}"/>
    <cellStyle name="20% - Accent5 8 3" xfId="6189" xr:uid="{00000000-0005-0000-0000-00001D030000}"/>
    <cellStyle name="20% - Accent5 8 3 2" xfId="15515" xr:uid="{98BE435F-9704-44FA-90A0-6670E2368736}"/>
    <cellStyle name="20% - Accent5 8 3 3" xfId="23956" xr:uid="{13B54DFD-BDE3-4783-ACC0-9CC07FB0A535}"/>
    <cellStyle name="20% - Accent5 8 3 4" xfId="32396" xr:uid="{1E3429EF-B26B-4999-B892-95DC893B86E9}"/>
    <cellStyle name="20% - Accent5 8 4" xfId="11298" xr:uid="{54FDBA91-BEED-421F-9C53-CB1A44778138}"/>
    <cellStyle name="20% - Accent5 8 5" xfId="19739" xr:uid="{5D8EB830-C79F-4EB9-8047-8C395BCFE978}"/>
    <cellStyle name="20% - Accent5 8 6" xfId="28179" xr:uid="{4AC349C4-58D5-41C8-AF69-D12D5FBEBD2E}"/>
    <cellStyle name="20% - Accent5 9" xfId="2296" xr:uid="{00000000-0005-0000-0000-00001E030000}"/>
    <cellStyle name="20% - Accent5 9 2" xfId="6602" xr:uid="{00000000-0005-0000-0000-00001F030000}"/>
    <cellStyle name="20% - Accent5 9 2 2" xfId="15928" xr:uid="{0A5E3FBB-1B31-44BF-892B-0E6BD00C9D9D}"/>
    <cellStyle name="20% - Accent5 9 2 3" xfId="24369" xr:uid="{9F90903D-2D25-450F-8C08-496EE490F12E}"/>
    <cellStyle name="20% - Accent5 9 2 4" xfId="32809" xr:uid="{EAB7E465-ECED-4C18-A01B-63588ED70F41}"/>
    <cellStyle name="20% - Accent5 9 3" xfId="11711" xr:uid="{5A600769-2DCC-48E9-A879-314B8A4E3D54}"/>
    <cellStyle name="20% - Accent5 9 4" xfId="20152" xr:uid="{F095374A-2B34-43E8-882C-E4EA8E172D05}"/>
    <cellStyle name="20% - Accent5 9 5" xfId="28592" xr:uid="{BD80A918-744D-48C5-8537-F33782E5D6D5}"/>
    <cellStyle name="20% - Accent6" xfId="41" builtinId="50" customBuiltin="1"/>
    <cellStyle name="20% - Accent6 10" xfId="4544" xr:uid="{00000000-0005-0000-0000-000021030000}"/>
    <cellStyle name="20% - Accent6 10 2" xfId="13870" xr:uid="{8DDBA38A-99E1-4D2B-A049-C8C4DD65F71C}"/>
    <cellStyle name="20% - Accent6 10 3" xfId="22311" xr:uid="{60F3558D-4D68-4B4D-9685-8EB495336A2A}"/>
    <cellStyle name="20% - Accent6 10 4" xfId="30751" xr:uid="{42903BD7-2672-4F31-B68E-B176F3FF05A2}"/>
    <cellStyle name="20% - Accent6 11" xfId="8768" xr:uid="{5A1F1293-A19F-445F-908A-D9DBB6265CA0}"/>
    <cellStyle name="20% - Accent6 12" xfId="9653" xr:uid="{A48AC955-B56E-4D1E-A57F-78408AFBEE8A}"/>
    <cellStyle name="20% - Accent6 13" xfId="18094" xr:uid="{E8B947D8-742A-4CBF-809A-F415C2C9A09E}"/>
    <cellStyle name="20% - Accent6 14" xfId="26534" xr:uid="{09C1EF4D-643B-465F-899B-C345A3982692}"/>
    <cellStyle name="20% - Accent6 2" xfId="42" xr:uid="{00000000-0005-0000-0000-000022030000}"/>
    <cellStyle name="20% - Accent6 2 10" xfId="8795" xr:uid="{9A35B19E-8802-437A-ABDC-7B06A4E07F58}"/>
    <cellStyle name="20% - Accent6 2 11" xfId="9654" xr:uid="{80A73A98-E64D-49FE-AC84-548C760ED7C1}"/>
    <cellStyle name="20% - Accent6 2 12" xfId="18095" xr:uid="{7D518751-6488-4AE6-8152-39B812812C30}"/>
    <cellStyle name="20% - Accent6 2 13" xfId="26535" xr:uid="{220A0CE0-E422-41AD-A0CD-F00743ECF106}"/>
    <cellStyle name="20% - Accent6 2 2" xfId="43" xr:uid="{00000000-0005-0000-0000-000023030000}"/>
    <cellStyle name="20% - Accent6 2 2 10" xfId="9655" xr:uid="{FC2938C5-8778-48FD-A85C-3F862E4B7333}"/>
    <cellStyle name="20% - Accent6 2 2 11" xfId="18096" xr:uid="{F5B9B839-BAA0-4632-BEC0-BDE9D9BA5C65}"/>
    <cellStyle name="20% - Accent6 2 2 12" xfId="26536" xr:uid="{02306E6B-E6F3-4CBC-A815-2122B64D6A34}"/>
    <cellStyle name="20% - Accent6 2 2 2" xfId="44" xr:uid="{00000000-0005-0000-0000-000024030000}"/>
    <cellStyle name="20% - Accent6 2 2 2 10" xfId="18097" xr:uid="{C5209C0E-3A2F-479B-AE1A-7694E748DDFE}"/>
    <cellStyle name="20% - Accent6 2 2 2 11" xfId="26537" xr:uid="{2A42BABA-DF75-433B-8A1A-C27B22F580B3}"/>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7D883C8C-2599-4F84-822D-B06A2350F2E8}"/>
    <cellStyle name="20% - Accent6 2 2 2 2 2 2 3" xfId="24873" xr:uid="{683E533C-41F2-4BE4-A848-084EF9B7E6E0}"/>
    <cellStyle name="20% - Accent6 2 2 2 2 2 2 4" xfId="33313" xr:uid="{B9C2E3C4-D3E8-4674-AA7F-BC592150BEEA}"/>
    <cellStyle name="20% - Accent6 2 2 2 2 2 3" xfId="12215" xr:uid="{1E9C24C7-1B19-41BB-8E4E-EB70133080FD}"/>
    <cellStyle name="20% - Accent6 2 2 2 2 2 4" xfId="20656" xr:uid="{E44F4430-B485-40FD-8E17-78994F17B45E}"/>
    <cellStyle name="20% - Accent6 2 2 2 2 2 5" xfId="29096" xr:uid="{27158756-BC99-4829-B3AF-9301FBF01646}"/>
    <cellStyle name="20% - Accent6 2 2 2 2 3" xfId="4961" xr:uid="{00000000-0005-0000-0000-000028030000}"/>
    <cellStyle name="20% - Accent6 2 2 2 2 3 2" xfId="14287" xr:uid="{05567735-AA1A-4C27-BA57-40FD58CBEE08}"/>
    <cellStyle name="20% - Accent6 2 2 2 2 3 3" xfId="22728" xr:uid="{E16763E8-C6F9-4B3E-B7B3-9AC69B9A479F}"/>
    <cellStyle name="20% - Accent6 2 2 2 2 3 4" xfId="31168" xr:uid="{57F5835C-BE95-4E38-8A5C-AC31E18EFE81}"/>
    <cellStyle name="20% - Accent6 2 2 2 2 4" xfId="9530" xr:uid="{AFD3EE0E-70EF-4C1B-B994-7B8E7E8187BC}"/>
    <cellStyle name="20% - Accent6 2 2 2 2 5" xfId="10070" xr:uid="{F4AE4292-A82A-49D9-BE5A-B6A056219CDB}"/>
    <cellStyle name="20% - Accent6 2 2 2 2 6" xfId="18511" xr:uid="{1F722FB4-125A-4EA0-B303-6ECBF3BA837F}"/>
    <cellStyle name="20% - Accent6 2 2 2 2 7" xfId="26951" xr:uid="{C746D581-AB13-4D09-87B6-CEF2235B1C04}"/>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902E7B52-C9A3-404A-A6D3-C4FE3E1C0DC1}"/>
    <cellStyle name="20% - Accent6 2 2 2 3 2 2 3" xfId="25286" xr:uid="{FAA12037-EFD1-40AF-ADDB-3DF0549D2A2E}"/>
    <cellStyle name="20% - Accent6 2 2 2 3 2 2 4" xfId="33726" xr:uid="{8C935521-1889-4D62-876E-5721FF69A4E6}"/>
    <cellStyle name="20% - Accent6 2 2 2 3 2 3" xfId="12628" xr:uid="{8999BD38-004B-475C-85C9-68599FBD2602}"/>
    <cellStyle name="20% - Accent6 2 2 2 3 2 4" xfId="21069" xr:uid="{4759D66D-7702-4AFB-9CAE-88350684D35A}"/>
    <cellStyle name="20% - Accent6 2 2 2 3 2 5" xfId="29509" xr:uid="{43EB7773-F8B3-43A8-9063-2BC1AD6631DE}"/>
    <cellStyle name="20% - Accent6 2 2 2 3 3" xfId="5374" xr:uid="{00000000-0005-0000-0000-00002C030000}"/>
    <cellStyle name="20% - Accent6 2 2 2 3 3 2" xfId="14700" xr:uid="{B4B1D38D-90AD-492E-99C2-3638A1B3B6D7}"/>
    <cellStyle name="20% - Accent6 2 2 2 3 3 3" xfId="23141" xr:uid="{F3080C34-015B-4490-B8BA-A0015244BD93}"/>
    <cellStyle name="20% - Accent6 2 2 2 3 3 4" xfId="31581" xr:uid="{B4CF3429-CDA1-4B70-938D-4F54D61A26D8}"/>
    <cellStyle name="20% - Accent6 2 2 2 3 4" xfId="10483" xr:uid="{26C95555-84A1-4208-B7ED-38EB76C683BE}"/>
    <cellStyle name="20% - Accent6 2 2 2 3 5" xfId="18924" xr:uid="{BF8525FE-B507-4D38-AE3D-ACF97BAD23A8}"/>
    <cellStyle name="20% - Accent6 2 2 2 3 6" xfId="27364" xr:uid="{F2FBE73C-61D3-4C04-A167-249C79B137E1}"/>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49C33425-3715-474A-A0AE-400629E686BB}"/>
    <cellStyle name="20% - Accent6 2 2 2 4 2 2 3" xfId="25699" xr:uid="{7332FB51-DFCC-40DF-ACD1-321CE032B9CF}"/>
    <cellStyle name="20% - Accent6 2 2 2 4 2 2 4" xfId="34139" xr:uid="{0C21D94D-46DA-4542-B7C6-C132501FF168}"/>
    <cellStyle name="20% - Accent6 2 2 2 4 2 3" xfId="13041" xr:uid="{D08EB807-F574-4E74-A1C4-1163AC824826}"/>
    <cellStyle name="20% - Accent6 2 2 2 4 2 4" xfId="21482" xr:uid="{54EEE8BB-F226-405F-B4AA-53A10FE1C5F2}"/>
    <cellStyle name="20% - Accent6 2 2 2 4 2 5" xfId="29922" xr:uid="{42C6F74E-7C53-4610-8211-8BB9CAAEF036}"/>
    <cellStyle name="20% - Accent6 2 2 2 4 3" xfId="5787" xr:uid="{00000000-0005-0000-0000-000030030000}"/>
    <cellStyle name="20% - Accent6 2 2 2 4 3 2" xfId="15113" xr:uid="{CBF25A84-7CD7-441E-B71E-7E7F5A16EC4F}"/>
    <cellStyle name="20% - Accent6 2 2 2 4 3 3" xfId="23554" xr:uid="{A03B74B4-1F64-46D7-B21E-C0C96D8B8BF0}"/>
    <cellStyle name="20% - Accent6 2 2 2 4 3 4" xfId="31994" xr:uid="{AB1C8D19-5BB1-43DD-9E25-195BC24B7681}"/>
    <cellStyle name="20% - Accent6 2 2 2 4 4" xfId="10896" xr:uid="{40D55F53-1775-492E-8085-9A2F46DEC822}"/>
    <cellStyle name="20% - Accent6 2 2 2 4 5" xfId="19337" xr:uid="{B9A4AF30-4B06-4851-B5CE-25244B25456C}"/>
    <cellStyle name="20% - Accent6 2 2 2 4 6" xfId="27777" xr:uid="{E68DF482-586D-4D38-9DB0-5F01F5470368}"/>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5EB30AC2-989E-4031-A84F-BB6475BA4FCA}"/>
    <cellStyle name="20% - Accent6 2 2 2 5 2 2 3" xfId="26112" xr:uid="{6F599616-3607-4B63-B317-E83D5E304CB8}"/>
    <cellStyle name="20% - Accent6 2 2 2 5 2 2 4" xfId="34552" xr:uid="{AB94C328-8DB4-45B4-99D9-AD29A07C4FDA}"/>
    <cellStyle name="20% - Accent6 2 2 2 5 2 3" xfId="13454" xr:uid="{C8D3FA55-228F-4E13-BD43-818C775A4585}"/>
    <cellStyle name="20% - Accent6 2 2 2 5 2 4" xfId="21895" xr:uid="{3D50997F-A042-4A8D-A6B4-7B35E02BD748}"/>
    <cellStyle name="20% - Accent6 2 2 2 5 2 5" xfId="30335" xr:uid="{14B8C69E-720C-41DB-87F3-10C5B94B299B}"/>
    <cellStyle name="20% - Accent6 2 2 2 5 3" xfId="6200" xr:uid="{00000000-0005-0000-0000-000034030000}"/>
    <cellStyle name="20% - Accent6 2 2 2 5 3 2" xfId="15526" xr:uid="{3B91D6D0-C2FB-49E8-809E-A38985CBC78F}"/>
    <cellStyle name="20% - Accent6 2 2 2 5 3 3" xfId="23967" xr:uid="{73944503-1D74-4A3B-B006-C25362503EA2}"/>
    <cellStyle name="20% - Accent6 2 2 2 5 3 4" xfId="32407" xr:uid="{0B18C3CF-E4A7-4B08-BCF0-8D9D9B48A249}"/>
    <cellStyle name="20% - Accent6 2 2 2 5 4" xfId="11309" xr:uid="{C5782A8D-310B-49E1-AAC3-8673CF390672}"/>
    <cellStyle name="20% - Accent6 2 2 2 5 5" xfId="19750" xr:uid="{AA925F74-C6AF-4554-9CA5-5A643511B4B9}"/>
    <cellStyle name="20% - Accent6 2 2 2 5 6" xfId="28190" xr:uid="{F69A595F-6E04-43F5-9FA9-4B4C0CFDBE39}"/>
    <cellStyle name="20% - Accent6 2 2 2 6" xfId="2307" xr:uid="{00000000-0005-0000-0000-000035030000}"/>
    <cellStyle name="20% - Accent6 2 2 2 6 2" xfId="6613" xr:uid="{00000000-0005-0000-0000-000036030000}"/>
    <cellStyle name="20% - Accent6 2 2 2 6 2 2" xfId="15939" xr:uid="{EB9D11C1-5833-4652-8656-1BD2408E7931}"/>
    <cellStyle name="20% - Accent6 2 2 2 6 2 3" xfId="24380" xr:uid="{9CEA34B6-BC88-4F58-9FD4-14EF83BA8024}"/>
    <cellStyle name="20% - Accent6 2 2 2 6 2 4" xfId="32820" xr:uid="{26BC056A-827B-488A-85BA-D2EDD2CD9E10}"/>
    <cellStyle name="20% - Accent6 2 2 2 6 3" xfId="11722" xr:uid="{44F7B492-6596-421D-8062-8A4056C22F73}"/>
    <cellStyle name="20% - Accent6 2 2 2 6 4" xfId="20163" xr:uid="{E0BFF8F0-7CB6-4E49-9BF1-8C27DE943A31}"/>
    <cellStyle name="20% - Accent6 2 2 2 6 5" xfId="28603" xr:uid="{19D5D8F6-25D1-453A-B120-71C78C0A76F0}"/>
    <cellStyle name="20% - Accent6 2 2 2 7" xfId="4547" xr:uid="{00000000-0005-0000-0000-000037030000}"/>
    <cellStyle name="20% - Accent6 2 2 2 7 2" xfId="13873" xr:uid="{2B5517C2-BA64-4FB1-B40B-F53514F13547}"/>
    <cellStyle name="20% - Accent6 2 2 2 7 3" xfId="22314" xr:uid="{37134712-E701-4F59-9320-5CF3AF7603DF}"/>
    <cellStyle name="20% - Accent6 2 2 2 7 4" xfId="30754" xr:uid="{03C7364D-E8FD-4623-B0CA-9DAC52B712F9}"/>
    <cellStyle name="20% - Accent6 2 2 2 8" xfId="9105" xr:uid="{2D3B6B01-F2FB-4D08-A7F9-9902961EFB46}"/>
    <cellStyle name="20% - Accent6 2 2 2 9" xfId="9656" xr:uid="{A78B2229-D435-4F62-B9B5-261EAECDEF78}"/>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C87BDCC0-3D6F-4332-ACEB-7F2B5040618C}"/>
    <cellStyle name="20% - Accent6 2 2 3 2 2 3" xfId="24872" xr:uid="{B3973170-D31F-43B6-91CD-CC681420D348}"/>
    <cellStyle name="20% - Accent6 2 2 3 2 2 4" xfId="33312" xr:uid="{32F11812-11EB-4115-A401-67C5EABFC028}"/>
    <cellStyle name="20% - Accent6 2 2 3 2 3" xfId="12214" xr:uid="{DDD5D2A0-2C57-4A86-84CB-1915A29FDF20}"/>
    <cellStyle name="20% - Accent6 2 2 3 2 4" xfId="20655" xr:uid="{294D5FC7-3B8C-4926-9CA0-F6A8E8C5F725}"/>
    <cellStyle name="20% - Accent6 2 2 3 2 5" xfId="29095" xr:uid="{643D33DD-BC3D-4D8E-BE4A-FC30E78448DD}"/>
    <cellStyle name="20% - Accent6 2 2 3 3" xfId="4960" xr:uid="{00000000-0005-0000-0000-00003B030000}"/>
    <cellStyle name="20% - Accent6 2 2 3 3 2" xfId="14286" xr:uid="{3D1338E8-314C-4044-BEE7-A6A1297366F5}"/>
    <cellStyle name="20% - Accent6 2 2 3 3 3" xfId="22727" xr:uid="{1BEAF56A-0904-4C40-86EC-AB000FF063A7}"/>
    <cellStyle name="20% - Accent6 2 2 3 3 4" xfId="31167" xr:uid="{9B7DB973-399C-48AC-9698-FF09BA731149}"/>
    <cellStyle name="20% - Accent6 2 2 3 4" xfId="9323" xr:uid="{93CC3C58-EC1C-4AC6-8D02-E00EFD80A494}"/>
    <cellStyle name="20% - Accent6 2 2 3 5" xfId="10069" xr:uid="{9FED5A00-1F0E-49B6-AE28-92ED864CC695}"/>
    <cellStyle name="20% - Accent6 2 2 3 6" xfId="18510" xr:uid="{77136BE4-F846-4CF7-8626-D4A132CC6A16}"/>
    <cellStyle name="20% - Accent6 2 2 3 7" xfId="26950" xr:uid="{ED1FED35-C181-4203-AC84-01AD70435612}"/>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CF8EB405-AC15-486A-941C-3B5BF22CA0A9}"/>
    <cellStyle name="20% - Accent6 2 2 4 2 2 3" xfId="25285" xr:uid="{A4641DEF-6CAA-4134-B908-623C1FC318CB}"/>
    <cellStyle name="20% - Accent6 2 2 4 2 2 4" xfId="33725" xr:uid="{039F670F-1F54-454A-AF91-47A2E741BCB3}"/>
    <cellStyle name="20% - Accent6 2 2 4 2 3" xfId="12627" xr:uid="{1203DAAE-0D12-486A-90E1-5118F3582F26}"/>
    <cellStyle name="20% - Accent6 2 2 4 2 4" xfId="21068" xr:uid="{17E03ED5-91D3-4C26-B996-80DD31A0F8D1}"/>
    <cellStyle name="20% - Accent6 2 2 4 2 5" xfId="29508" xr:uid="{01534D38-9E80-4A22-B358-F9BDF4C9FE78}"/>
    <cellStyle name="20% - Accent6 2 2 4 3" xfId="5373" xr:uid="{00000000-0005-0000-0000-00003F030000}"/>
    <cellStyle name="20% - Accent6 2 2 4 3 2" xfId="14699" xr:uid="{68CDC94F-7861-4B4F-BCA4-1208B32F9246}"/>
    <cellStyle name="20% - Accent6 2 2 4 3 3" xfId="23140" xr:uid="{F7AAF2FF-C445-4321-B84C-7BE129C44BA6}"/>
    <cellStyle name="20% - Accent6 2 2 4 3 4" xfId="31580" xr:uid="{6566F64E-DB56-4EF0-BF90-2B4368860B71}"/>
    <cellStyle name="20% - Accent6 2 2 4 4" xfId="10482" xr:uid="{3E584650-2D24-46C1-B3AC-761514B4E91D}"/>
    <cellStyle name="20% - Accent6 2 2 4 5" xfId="18923" xr:uid="{A7111C29-3575-4A87-B703-A2B3EB1E81F6}"/>
    <cellStyle name="20% - Accent6 2 2 4 6" xfId="27363" xr:uid="{D9E26BFA-3EAC-4F67-AEE2-C2ED07365A25}"/>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DA4D4EDB-C1D6-41A7-8C19-B7CF747B5E1D}"/>
    <cellStyle name="20% - Accent6 2 2 5 2 2 3" xfId="25698" xr:uid="{D6B5539F-9590-4751-AC73-FB887FEE1AFF}"/>
    <cellStyle name="20% - Accent6 2 2 5 2 2 4" xfId="34138" xr:uid="{9CCEDFCD-5768-42B0-8120-4DE53BF1F3F5}"/>
    <cellStyle name="20% - Accent6 2 2 5 2 3" xfId="13040" xr:uid="{82BB2B74-38CC-4EDF-AADF-E1B9D19812F3}"/>
    <cellStyle name="20% - Accent6 2 2 5 2 4" xfId="21481" xr:uid="{F89B65CE-54FA-4539-BE7E-BBC6A4E3E74C}"/>
    <cellStyle name="20% - Accent6 2 2 5 2 5" xfId="29921" xr:uid="{832AAD95-1D4B-4C1E-9B16-AC42B408C8C8}"/>
    <cellStyle name="20% - Accent6 2 2 5 3" xfId="5786" xr:uid="{00000000-0005-0000-0000-000043030000}"/>
    <cellStyle name="20% - Accent6 2 2 5 3 2" xfId="15112" xr:uid="{66D391C1-5B97-4977-8759-F3112017590B}"/>
    <cellStyle name="20% - Accent6 2 2 5 3 3" xfId="23553" xr:uid="{22128028-0646-4855-B56D-39F1B158E35F}"/>
    <cellStyle name="20% - Accent6 2 2 5 3 4" xfId="31993" xr:uid="{96F24E5E-1347-40C5-896A-66DDF1DCE79D}"/>
    <cellStyle name="20% - Accent6 2 2 5 4" xfId="10895" xr:uid="{B69DD5BF-20D2-4443-A13A-A3A7121742DE}"/>
    <cellStyle name="20% - Accent6 2 2 5 5" xfId="19336" xr:uid="{BE18829B-CFEE-4E26-9534-8903510996B4}"/>
    <cellStyle name="20% - Accent6 2 2 5 6" xfId="27776" xr:uid="{99761E05-A2CC-43E3-B5E6-4F429164EE69}"/>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529A8A71-D636-4480-8D80-4BC3DBBDFE65}"/>
    <cellStyle name="20% - Accent6 2 2 6 2 2 3" xfId="26111" xr:uid="{D6724C94-2569-4FBF-AE8C-21FAD62D9664}"/>
    <cellStyle name="20% - Accent6 2 2 6 2 2 4" xfId="34551" xr:uid="{5F113E09-872E-4B88-87A8-4EA6D1ED40F9}"/>
    <cellStyle name="20% - Accent6 2 2 6 2 3" xfId="13453" xr:uid="{1976B102-6E6B-414C-AB49-9BE3B56F5EEB}"/>
    <cellStyle name="20% - Accent6 2 2 6 2 4" xfId="21894" xr:uid="{8C554E8B-01EB-45C6-9C86-05BD2F093D98}"/>
    <cellStyle name="20% - Accent6 2 2 6 2 5" xfId="30334" xr:uid="{28A75AAA-03EF-4375-8089-C7543D8E1883}"/>
    <cellStyle name="20% - Accent6 2 2 6 3" xfId="6199" xr:uid="{00000000-0005-0000-0000-000047030000}"/>
    <cellStyle name="20% - Accent6 2 2 6 3 2" xfId="15525" xr:uid="{4175A1BC-3598-4CC5-B56F-BBFD9BA31A1E}"/>
    <cellStyle name="20% - Accent6 2 2 6 3 3" xfId="23966" xr:uid="{0DF28DC2-1471-4A25-ABB0-04206CD47B4F}"/>
    <cellStyle name="20% - Accent6 2 2 6 3 4" xfId="32406" xr:uid="{2B2A1371-A0F6-45F3-A4A3-864B1A956F8D}"/>
    <cellStyle name="20% - Accent6 2 2 6 4" xfId="11308" xr:uid="{B2EC15F6-0AD2-4BCA-8745-F40A2A6FB2D0}"/>
    <cellStyle name="20% - Accent6 2 2 6 5" xfId="19749" xr:uid="{B55AB043-9C89-4BB4-9077-9690F9D3258E}"/>
    <cellStyle name="20% - Accent6 2 2 6 6" xfId="28189" xr:uid="{85570017-902A-4C3B-828F-48DD68E62B7D}"/>
    <cellStyle name="20% - Accent6 2 2 7" xfId="2306" xr:uid="{00000000-0005-0000-0000-000048030000}"/>
    <cellStyle name="20% - Accent6 2 2 7 2" xfId="6612" xr:uid="{00000000-0005-0000-0000-000049030000}"/>
    <cellStyle name="20% - Accent6 2 2 7 2 2" xfId="15938" xr:uid="{0EEEEFB6-CD99-463D-9E5D-0AF6B2714EE6}"/>
    <cellStyle name="20% - Accent6 2 2 7 2 3" xfId="24379" xr:uid="{6145FB43-2FD0-49F4-ABC8-D01DFC36B1D0}"/>
    <cellStyle name="20% - Accent6 2 2 7 2 4" xfId="32819" xr:uid="{260B8242-EB51-492C-B225-FC96B09C1F84}"/>
    <cellStyle name="20% - Accent6 2 2 7 3" xfId="11721" xr:uid="{C786F996-37C2-4A4E-90FA-25B856ED7888}"/>
    <cellStyle name="20% - Accent6 2 2 7 4" xfId="20162" xr:uid="{32F57C55-F1C5-4D83-8DE8-47F7ACB7C53A}"/>
    <cellStyle name="20% - Accent6 2 2 7 5" xfId="28602" xr:uid="{0B6AD733-1E6D-4087-AAEB-D1F7FC827094}"/>
    <cellStyle name="20% - Accent6 2 2 8" xfId="4546" xr:uid="{00000000-0005-0000-0000-00004A030000}"/>
    <cellStyle name="20% - Accent6 2 2 8 2" xfId="13872" xr:uid="{2EAF4718-FCA9-427F-8760-A5C7035FC0BF}"/>
    <cellStyle name="20% - Accent6 2 2 8 3" xfId="22313" xr:uid="{3578BE2D-E80F-4FED-98F8-77CBB66C236F}"/>
    <cellStyle name="20% - Accent6 2 2 8 4" xfId="30753" xr:uid="{0E489C70-F301-4480-9F74-F75567F3B513}"/>
    <cellStyle name="20% - Accent6 2 2 9" xfId="8898" xr:uid="{88686F75-037F-4072-9BDC-942546C51E8F}"/>
    <cellStyle name="20% - Accent6 2 3" xfId="45" xr:uid="{00000000-0005-0000-0000-00004B030000}"/>
    <cellStyle name="20% - Accent6 2 3 10" xfId="18098" xr:uid="{C8C5F4B1-C33B-4F43-A26B-08590C18C66B}"/>
    <cellStyle name="20% - Accent6 2 3 11" xfId="26538" xr:uid="{ECB3A84E-6412-4F63-ADE2-CEA88159BAE7}"/>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9701AC43-16BC-4C95-8CE3-F17063A62B96}"/>
    <cellStyle name="20% - Accent6 2 3 2 2 2 3" xfId="24874" xr:uid="{E46C890D-1708-4109-AABC-340235C830E9}"/>
    <cellStyle name="20% - Accent6 2 3 2 2 2 4" xfId="33314" xr:uid="{E704FEC0-A95C-4AB1-8253-C77424D78AB3}"/>
    <cellStyle name="20% - Accent6 2 3 2 2 3" xfId="12216" xr:uid="{A9D0600A-E1EA-4F4E-88AF-F24C1A7B8B44}"/>
    <cellStyle name="20% - Accent6 2 3 2 2 4" xfId="20657" xr:uid="{FCBE392B-3D68-4109-89CE-DBE14D698C3A}"/>
    <cellStyle name="20% - Accent6 2 3 2 2 5" xfId="29097" xr:uid="{BF909E0A-2F1A-4AE4-B06A-C8D57A4D640D}"/>
    <cellStyle name="20% - Accent6 2 3 2 3" xfId="4962" xr:uid="{00000000-0005-0000-0000-00004F030000}"/>
    <cellStyle name="20% - Accent6 2 3 2 3 2" xfId="14288" xr:uid="{3936DCC8-C979-4872-A3E3-26CC7170AB83}"/>
    <cellStyle name="20% - Accent6 2 3 2 3 3" xfId="22729" xr:uid="{EC916978-B8B1-43CE-A0BB-9BC7C87954C7}"/>
    <cellStyle name="20% - Accent6 2 3 2 3 4" xfId="31169" xr:uid="{A1582270-475A-496A-B21E-A6767703F869}"/>
    <cellStyle name="20% - Accent6 2 3 2 4" xfId="9427" xr:uid="{009378B6-C0A8-4C7C-A9A2-F91104842D93}"/>
    <cellStyle name="20% - Accent6 2 3 2 5" xfId="10071" xr:uid="{1A62FAC7-05A9-4E0E-A1ED-537A1FF60E1F}"/>
    <cellStyle name="20% - Accent6 2 3 2 6" xfId="18512" xr:uid="{4B0E3CEA-AF22-49EB-8226-67E8E17F765F}"/>
    <cellStyle name="20% - Accent6 2 3 2 7" xfId="26952" xr:uid="{79BDD6B0-4ED5-487D-B0ED-C90D49821AC2}"/>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25254D7B-3D19-4DFA-84CB-E08C149F9794}"/>
    <cellStyle name="20% - Accent6 2 3 3 2 2 3" xfId="25287" xr:uid="{9DBD5836-B07C-4695-A07C-C48365558529}"/>
    <cellStyle name="20% - Accent6 2 3 3 2 2 4" xfId="33727" xr:uid="{7BDC7053-6533-4F09-87E7-6E3DE10F380D}"/>
    <cellStyle name="20% - Accent6 2 3 3 2 3" xfId="12629" xr:uid="{BBD54A4E-3716-41F0-9E6E-ACEC3693A8FE}"/>
    <cellStyle name="20% - Accent6 2 3 3 2 4" xfId="21070" xr:uid="{E2FCE5E1-CC4A-4E59-A80D-1E16C63B10CC}"/>
    <cellStyle name="20% - Accent6 2 3 3 2 5" xfId="29510" xr:uid="{DE3739E5-DD82-47C1-B3FF-CF688D45011E}"/>
    <cellStyle name="20% - Accent6 2 3 3 3" xfId="5375" xr:uid="{00000000-0005-0000-0000-000053030000}"/>
    <cellStyle name="20% - Accent6 2 3 3 3 2" xfId="14701" xr:uid="{5F1F5C01-D5C3-409E-A561-E00E932109FA}"/>
    <cellStyle name="20% - Accent6 2 3 3 3 3" xfId="23142" xr:uid="{DF2CF1B7-7F69-4C21-9D3F-49A8E8AACE05}"/>
    <cellStyle name="20% - Accent6 2 3 3 3 4" xfId="31582" xr:uid="{6A27927B-5B40-4281-90F0-7DDD107054B6}"/>
    <cellStyle name="20% - Accent6 2 3 3 4" xfId="10484" xr:uid="{18D55C51-B6ED-447C-B172-17E39DDCF170}"/>
    <cellStyle name="20% - Accent6 2 3 3 5" xfId="18925" xr:uid="{43E4B3E3-0D8C-4BBD-B19A-33C140EB4A08}"/>
    <cellStyle name="20% - Accent6 2 3 3 6" xfId="27365" xr:uid="{DD3989D7-1600-47BA-AC91-96A5EADB8171}"/>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AD5EEFCC-1E01-4729-A621-4E6A607AE989}"/>
    <cellStyle name="20% - Accent6 2 3 4 2 2 3" xfId="25700" xr:uid="{57EFC6CC-2DC6-4430-BBA6-4394B00EEB0E}"/>
    <cellStyle name="20% - Accent6 2 3 4 2 2 4" xfId="34140" xr:uid="{CCE5264B-2F3D-44E1-B68A-06F0A3FE66C6}"/>
    <cellStyle name="20% - Accent6 2 3 4 2 3" xfId="13042" xr:uid="{7DD9AB24-54E1-4713-9B5E-2FB394700E17}"/>
    <cellStyle name="20% - Accent6 2 3 4 2 4" xfId="21483" xr:uid="{86255F28-18B7-439F-BD2A-CD5D1338C14B}"/>
    <cellStyle name="20% - Accent6 2 3 4 2 5" xfId="29923" xr:uid="{7D414BB7-FA3C-4DB0-A3B8-2B406352A438}"/>
    <cellStyle name="20% - Accent6 2 3 4 3" xfId="5788" xr:uid="{00000000-0005-0000-0000-000057030000}"/>
    <cellStyle name="20% - Accent6 2 3 4 3 2" xfId="15114" xr:uid="{01D8C089-E094-4080-AB39-783A46B42384}"/>
    <cellStyle name="20% - Accent6 2 3 4 3 3" xfId="23555" xr:uid="{D0E025DC-FFE1-47B3-A839-13CE42B2B625}"/>
    <cellStyle name="20% - Accent6 2 3 4 3 4" xfId="31995" xr:uid="{72CFC714-9A87-4EC3-BA3D-8EAE140978A8}"/>
    <cellStyle name="20% - Accent6 2 3 4 4" xfId="10897" xr:uid="{4ADCD9E5-0C3A-480A-B107-91051720F62F}"/>
    <cellStyle name="20% - Accent6 2 3 4 5" xfId="19338" xr:uid="{19F16766-958D-44B1-BD4C-8F47FCE12EE0}"/>
    <cellStyle name="20% - Accent6 2 3 4 6" xfId="27778" xr:uid="{C09B91A3-2DDC-4861-A25F-D9A8DA323B9B}"/>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A9753164-4573-4ACB-8DBE-7B07CDBAF519}"/>
    <cellStyle name="20% - Accent6 2 3 5 2 2 3" xfId="26113" xr:uid="{EE180030-5018-4548-9246-253BD0EA9E62}"/>
    <cellStyle name="20% - Accent6 2 3 5 2 2 4" xfId="34553" xr:uid="{47041834-BB02-410B-883B-0C90EAD0F1B9}"/>
    <cellStyle name="20% - Accent6 2 3 5 2 3" xfId="13455" xr:uid="{042DF10E-B428-4C88-8AB0-FB2FCA316C47}"/>
    <cellStyle name="20% - Accent6 2 3 5 2 4" xfId="21896" xr:uid="{933B5FE2-D934-4B01-A55D-292D7C8C3265}"/>
    <cellStyle name="20% - Accent6 2 3 5 2 5" xfId="30336" xr:uid="{C618D135-7C14-4B56-A1E9-2BFE99065A9B}"/>
    <cellStyle name="20% - Accent6 2 3 5 3" xfId="6201" xr:uid="{00000000-0005-0000-0000-00005B030000}"/>
    <cellStyle name="20% - Accent6 2 3 5 3 2" xfId="15527" xr:uid="{E9D3BB5B-5DB6-4A2F-97EF-AC0C29A70A54}"/>
    <cellStyle name="20% - Accent6 2 3 5 3 3" xfId="23968" xr:uid="{2739D9F1-7648-4750-83D3-4EE534815BDB}"/>
    <cellStyle name="20% - Accent6 2 3 5 3 4" xfId="32408" xr:uid="{025F2DC5-F7A9-4BBA-921F-6BBC6982FEA7}"/>
    <cellStyle name="20% - Accent6 2 3 5 4" xfId="11310" xr:uid="{2A89B7C0-F901-48CC-9151-AB4A36FEAFEC}"/>
    <cellStyle name="20% - Accent6 2 3 5 5" xfId="19751" xr:uid="{A438B276-708E-4D9F-A0E1-BC297644CBA7}"/>
    <cellStyle name="20% - Accent6 2 3 5 6" xfId="28191" xr:uid="{7F597D26-50A1-4FAA-917D-5CA7203EDC2E}"/>
    <cellStyle name="20% - Accent6 2 3 6" xfId="2308" xr:uid="{00000000-0005-0000-0000-00005C030000}"/>
    <cellStyle name="20% - Accent6 2 3 6 2" xfId="6614" xr:uid="{00000000-0005-0000-0000-00005D030000}"/>
    <cellStyle name="20% - Accent6 2 3 6 2 2" xfId="15940" xr:uid="{0769FF8C-FEB6-4586-B1F8-EEF9B903254D}"/>
    <cellStyle name="20% - Accent6 2 3 6 2 3" xfId="24381" xr:uid="{D5469B78-5625-4B6C-B801-711A05672B03}"/>
    <cellStyle name="20% - Accent6 2 3 6 2 4" xfId="32821" xr:uid="{96AFA1D1-1AA8-49AC-8802-30B419CA0B2B}"/>
    <cellStyle name="20% - Accent6 2 3 6 3" xfId="11723" xr:uid="{F0479C7C-A0A4-4049-90A0-C2AE3DF4020D}"/>
    <cellStyle name="20% - Accent6 2 3 6 4" xfId="20164" xr:uid="{0F3934D9-9858-4100-877B-9D0BB68E0989}"/>
    <cellStyle name="20% - Accent6 2 3 6 5" xfId="28604" xr:uid="{6266A17D-CE2C-4D68-99E7-B9BCD06F32D9}"/>
    <cellStyle name="20% - Accent6 2 3 7" xfId="4548" xr:uid="{00000000-0005-0000-0000-00005E030000}"/>
    <cellStyle name="20% - Accent6 2 3 7 2" xfId="13874" xr:uid="{682FF954-C4F8-4DCC-9CCF-8C9300CCDDA8}"/>
    <cellStyle name="20% - Accent6 2 3 7 3" xfId="22315" xr:uid="{87379FA8-5D6D-4C53-83C2-9F0C97461736}"/>
    <cellStyle name="20% - Accent6 2 3 7 4" xfId="30755" xr:uid="{CA7C335E-1694-49FE-8CBD-58E61C7D4963}"/>
    <cellStyle name="20% - Accent6 2 3 8" xfId="9002" xr:uid="{F69877AB-868C-474F-8F88-C5F2F1F2C041}"/>
    <cellStyle name="20% - Accent6 2 3 9" xfId="9657" xr:uid="{612B06D3-C42E-45E9-967A-CBADBB65F6A3}"/>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7735A885-99D1-40FF-B87A-422A410BD751}"/>
    <cellStyle name="20% - Accent6 2 4 2 2 3" xfId="24871" xr:uid="{8EAE40F1-67BA-4AB9-94BA-13D84FCB7C5D}"/>
    <cellStyle name="20% - Accent6 2 4 2 2 4" xfId="33311" xr:uid="{BDAAF483-93AE-459F-8963-021325B69673}"/>
    <cellStyle name="20% - Accent6 2 4 2 3" xfId="12213" xr:uid="{B9CE2D90-600D-481B-95AA-2F549EB2EBF8}"/>
    <cellStyle name="20% - Accent6 2 4 2 4" xfId="20654" xr:uid="{45737264-5DE8-408A-8510-B32F21FD9F8B}"/>
    <cellStyle name="20% - Accent6 2 4 2 5" xfId="29094" xr:uid="{CD34BC51-0690-4911-A747-A3BEFF8A1FB4}"/>
    <cellStyle name="20% - Accent6 2 4 3" xfId="4959" xr:uid="{00000000-0005-0000-0000-000062030000}"/>
    <cellStyle name="20% - Accent6 2 4 3 2" xfId="14285" xr:uid="{CE3EA704-752A-4C39-8D22-E3332FD0AB6A}"/>
    <cellStyle name="20% - Accent6 2 4 3 3" xfId="22726" xr:uid="{7178035F-32E7-4058-88EB-587A6E049B67}"/>
    <cellStyle name="20% - Accent6 2 4 3 4" xfId="31166" xr:uid="{8C575048-1E4F-4D6D-8764-F7FC7171643B}"/>
    <cellStyle name="20% - Accent6 2 4 4" xfId="9219" xr:uid="{C8AD75F8-261B-45C4-93F0-0E0A49EEEF79}"/>
    <cellStyle name="20% - Accent6 2 4 5" xfId="10068" xr:uid="{C62047D9-B606-47F6-817F-C17689151606}"/>
    <cellStyle name="20% - Accent6 2 4 6" xfId="18509" xr:uid="{B20149D4-174B-463E-9DD3-DB41B2E3FB6B}"/>
    <cellStyle name="20% - Accent6 2 4 7" xfId="26949" xr:uid="{F3B31371-AB14-4815-9C33-0ACAB02974F4}"/>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C7B87056-272C-4EB8-B6B0-7F086FACA56F}"/>
    <cellStyle name="20% - Accent6 2 5 2 2 3" xfId="25284" xr:uid="{F0331B85-A3B3-4B3C-AEE5-55911C9773E5}"/>
    <cellStyle name="20% - Accent6 2 5 2 2 4" xfId="33724" xr:uid="{9438B3C4-345A-4D3E-B643-AC00C5263893}"/>
    <cellStyle name="20% - Accent6 2 5 2 3" xfId="12626" xr:uid="{A5F00D65-276D-4F1A-8B5B-3C5898F440AF}"/>
    <cellStyle name="20% - Accent6 2 5 2 4" xfId="21067" xr:uid="{B837055A-0D82-441C-BE2B-74E6D9E0FB96}"/>
    <cellStyle name="20% - Accent6 2 5 2 5" xfId="29507" xr:uid="{1F20B630-D72C-49D8-B2C6-FF9819C61947}"/>
    <cellStyle name="20% - Accent6 2 5 3" xfId="5372" xr:uid="{00000000-0005-0000-0000-000066030000}"/>
    <cellStyle name="20% - Accent6 2 5 3 2" xfId="14698" xr:uid="{F3FF8C01-6F70-455A-86BC-82B1C7069F29}"/>
    <cellStyle name="20% - Accent6 2 5 3 3" xfId="23139" xr:uid="{766904DC-50BB-4268-99DB-5D71CFD59F20}"/>
    <cellStyle name="20% - Accent6 2 5 3 4" xfId="31579" xr:uid="{8E1A5571-AD8B-4842-AFEE-57448492435F}"/>
    <cellStyle name="20% - Accent6 2 5 4" xfId="10481" xr:uid="{E422F344-D587-41CB-B007-41D4BF0AA1B5}"/>
    <cellStyle name="20% - Accent6 2 5 5" xfId="18922" xr:uid="{ED944271-0170-4C1D-B153-7A8277C34805}"/>
    <cellStyle name="20% - Accent6 2 5 6" xfId="27362" xr:uid="{06488DEE-986D-483B-9D33-B46C0905EB12}"/>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0B165519-0ABA-49A0-9931-C243A77BE0A8}"/>
    <cellStyle name="20% - Accent6 2 6 2 2 3" xfId="25697" xr:uid="{4381C1B4-B1C8-4196-9A90-5C1D78EA0790}"/>
    <cellStyle name="20% - Accent6 2 6 2 2 4" xfId="34137" xr:uid="{0ED8CCFE-6E77-4FD7-8509-9D473AEF13EE}"/>
    <cellStyle name="20% - Accent6 2 6 2 3" xfId="13039" xr:uid="{4F4B10C2-A227-4823-B752-CCA30A2A4BD2}"/>
    <cellStyle name="20% - Accent6 2 6 2 4" xfId="21480" xr:uid="{6B46C575-BE41-4650-9F6F-3C53D32B9525}"/>
    <cellStyle name="20% - Accent6 2 6 2 5" xfId="29920" xr:uid="{A1F6EA77-5980-4597-AA06-C5B1CA5B5C53}"/>
    <cellStyle name="20% - Accent6 2 6 3" xfId="5785" xr:uid="{00000000-0005-0000-0000-00006A030000}"/>
    <cellStyle name="20% - Accent6 2 6 3 2" xfId="15111" xr:uid="{3792410F-66D3-4549-B38C-E19B8DFE5F2A}"/>
    <cellStyle name="20% - Accent6 2 6 3 3" xfId="23552" xr:uid="{AF614EF0-2D14-4C69-BD70-FB00DAE7A77F}"/>
    <cellStyle name="20% - Accent6 2 6 3 4" xfId="31992" xr:uid="{FE29BCF6-AC3C-4CE2-B42C-393A26B710B0}"/>
    <cellStyle name="20% - Accent6 2 6 4" xfId="10894" xr:uid="{FE228D42-EC29-4247-9B7C-25143D16D646}"/>
    <cellStyle name="20% - Accent6 2 6 5" xfId="19335" xr:uid="{D52EFBDA-1E1A-4955-9B0B-F679FC6E361C}"/>
    <cellStyle name="20% - Accent6 2 6 6" xfId="27775" xr:uid="{F09A1D5B-87D5-4C5E-ACCF-A9BE3A512FF4}"/>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8F510568-E7A9-4FCE-94E8-014AEC4E8B5E}"/>
    <cellStyle name="20% - Accent6 2 7 2 2 3" xfId="26110" xr:uid="{2DEC4DA4-7244-4DD2-B4D6-EA95377F2E4B}"/>
    <cellStyle name="20% - Accent6 2 7 2 2 4" xfId="34550" xr:uid="{D758BB4E-F5CE-40AA-BA5D-99DBB389299F}"/>
    <cellStyle name="20% - Accent6 2 7 2 3" xfId="13452" xr:uid="{37491B1A-0602-45FB-B4B0-5BC6521A2B8C}"/>
    <cellStyle name="20% - Accent6 2 7 2 4" xfId="21893" xr:uid="{9872D07C-27B4-4205-9E01-1D567AD71EB3}"/>
    <cellStyle name="20% - Accent6 2 7 2 5" xfId="30333" xr:uid="{8AC31C00-F0AE-4526-8B51-8499DCA6D155}"/>
    <cellStyle name="20% - Accent6 2 7 3" xfId="6198" xr:uid="{00000000-0005-0000-0000-00006E030000}"/>
    <cellStyle name="20% - Accent6 2 7 3 2" xfId="15524" xr:uid="{A5C507DC-C644-451A-90B2-6476D53A55D7}"/>
    <cellStyle name="20% - Accent6 2 7 3 3" xfId="23965" xr:uid="{AAF955F4-E700-4153-B93C-49AE471D5AFE}"/>
    <cellStyle name="20% - Accent6 2 7 3 4" xfId="32405" xr:uid="{809E6481-5BF4-41A4-A6C5-134F62168705}"/>
    <cellStyle name="20% - Accent6 2 7 4" xfId="11307" xr:uid="{FB7E100A-D9D8-4FBC-9D37-08C93AA5AD9D}"/>
    <cellStyle name="20% - Accent6 2 7 5" xfId="19748" xr:uid="{EC8FA7A9-74B8-42AF-BC67-4F92BC7EF519}"/>
    <cellStyle name="20% - Accent6 2 7 6" xfId="28188" xr:uid="{68AF773E-6D2B-46BD-9307-F0944E8B7D3F}"/>
    <cellStyle name="20% - Accent6 2 8" xfId="2305" xr:uid="{00000000-0005-0000-0000-00006F030000}"/>
    <cellStyle name="20% - Accent6 2 8 2" xfId="6611" xr:uid="{00000000-0005-0000-0000-000070030000}"/>
    <cellStyle name="20% - Accent6 2 8 2 2" xfId="15937" xr:uid="{83DD28D5-EC19-4FEF-B9E4-3F2A57233625}"/>
    <cellStyle name="20% - Accent6 2 8 2 3" xfId="24378" xr:uid="{CD373570-7321-4415-884E-8B5E0A498732}"/>
    <cellStyle name="20% - Accent6 2 8 2 4" xfId="32818" xr:uid="{5F94202E-C847-4D97-8DD7-0D4EADBF269A}"/>
    <cellStyle name="20% - Accent6 2 8 3" xfId="11720" xr:uid="{6E817606-7623-4523-917B-CCF42D13D778}"/>
    <cellStyle name="20% - Accent6 2 8 4" xfId="20161" xr:uid="{818D51B2-BD62-43C8-AED0-E8309F8AEDAF}"/>
    <cellStyle name="20% - Accent6 2 8 5" xfId="28601" xr:uid="{DE5F0B51-55D1-42DF-8F4B-9F0759351CFB}"/>
    <cellStyle name="20% - Accent6 2 9" xfId="4545" xr:uid="{00000000-0005-0000-0000-000071030000}"/>
    <cellStyle name="20% - Accent6 2 9 2" xfId="13871" xr:uid="{844B1207-D576-4646-99C0-3983DE9E3350}"/>
    <cellStyle name="20% - Accent6 2 9 3" xfId="22312" xr:uid="{A01D3BB0-BEF2-4A48-A453-10F2356E6B7B}"/>
    <cellStyle name="20% - Accent6 2 9 4" xfId="30752" xr:uid="{DBDA51F4-BA40-4138-88DC-5984C3CF25FC}"/>
    <cellStyle name="20% - Accent6 3" xfId="46" xr:uid="{00000000-0005-0000-0000-000072030000}"/>
    <cellStyle name="20% - Accent6 3 10" xfId="9658" xr:uid="{6B9132C4-30B0-4451-99E6-F7383A2CB65F}"/>
    <cellStyle name="20% - Accent6 3 11" xfId="18099" xr:uid="{5E320C1F-4013-4ADF-BCF9-95EC0AAF77E1}"/>
    <cellStyle name="20% - Accent6 3 12" xfId="26539" xr:uid="{4BADEC1C-7B64-4C68-85E3-11B8220F82F2}"/>
    <cellStyle name="20% - Accent6 3 2" xfId="47" xr:uid="{00000000-0005-0000-0000-000073030000}"/>
    <cellStyle name="20% - Accent6 3 2 10" xfId="18100" xr:uid="{D0AAA4DC-C804-45C8-902D-5DCBEB62A48E}"/>
    <cellStyle name="20% - Accent6 3 2 11" xfId="26540" xr:uid="{D2559B49-03A2-483B-9CC1-FFD77380C1EA}"/>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F562520D-A4F3-4450-8F93-E4B3098F1227}"/>
    <cellStyle name="20% - Accent6 3 2 2 2 2 3" xfId="24876" xr:uid="{16945731-E9B5-423D-81D8-320D366F95F5}"/>
    <cellStyle name="20% - Accent6 3 2 2 2 2 4" xfId="33316" xr:uid="{0002567F-832F-4838-B245-F1493A20CD27}"/>
    <cellStyle name="20% - Accent6 3 2 2 2 3" xfId="12218" xr:uid="{0B46B277-1826-44F4-AC57-3ECA573DA7EF}"/>
    <cellStyle name="20% - Accent6 3 2 2 2 4" xfId="20659" xr:uid="{3F4D8A19-AA12-4769-8CCE-9F1CD6B64A03}"/>
    <cellStyle name="20% - Accent6 3 2 2 2 5" xfId="29099" xr:uid="{580BEBAA-0765-4A41-BFBD-4E1B498D7843}"/>
    <cellStyle name="20% - Accent6 3 2 2 3" xfId="4964" xr:uid="{00000000-0005-0000-0000-000077030000}"/>
    <cellStyle name="20% - Accent6 3 2 2 3 2" xfId="14290" xr:uid="{E6B5C0DB-AFB1-4123-947E-40C25CA7B418}"/>
    <cellStyle name="20% - Accent6 3 2 2 3 3" xfId="22731" xr:uid="{2E72DAE6-B42B-45D8-A176-0CAC02657C3B}"/>
    <cellStyle name="20% - Accent6 3 2 2 3 4" xfId="31171" xr:uid="{F995CB44-77F2-438F-A509-3614BC1D1868}"/>
    <cellStyle name="20% - Accent6 3 2 2 4" xfId="9503" xr:uid="{A5A3EDF8-16EA-4A86-8795-C3BA46FE244A}"/>
    <cellStyle name="20% - Accent6 3 2 2 5" xfId="10073" xr:uid="{AB406656-B527-4AB8-9605-06EBDCE956B1}"/>
    <cellStyle name="20% - Accent6 3 2 2 6" xfId="18514" xr:uid="{DD28D7E0-2B75-429F-A52D-78D3F0FF5A16}"/>
    <cellStyle name="20% - Accent6 3 2 2 7" xfId="26954" xr:uid="{3952ED99-89C4-4863-8F36-4F13F5EB4BC3}"/>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AAF27F97-60A1-4F75-8891-FE99A60C60BC}"/>
    <cellStyle name="20% - Accent6 3 2 3 2 2 3" xfId="25289" xr:uid="{EFD1F48F-B3AF-4D0B-A55A-F615405F336F}"/>
    <cellStyle name="20% - Accent6 3 2 3 2 2 4" xfId="33729" xr:uid="{E74D9CB1-BCD2-4AB6-8D5D-FB21913871EC}"/>
    <cellStyle name="20% - Accent6 3 2 3 2 3" xfId="12631" xr:uid="{D6D68D80-4CC4-4330-9345-F2C9096774CF}"/>
    <cellStyle name="20% - Accent6 3 2 3 2 4" xfId="21072" xr:uid="{2F191D97-17C3-4A17-9FE4-1664EAC793E8}"/>
    <cellStyle name="20% - Accent6 3 2 3 2 5" xfId="29512" xr:uid="{C298AAF0-7D78-4351-B6D4-F09266D41828}"/>
    <cellStyle name="20% - Accent6 3 2 3 3" xfId="5377" xr:uid="{00000000-0005-0000-0000-00007B030000}"/>
    <cellStyle name="20% - Accent6 3 2 3 3 2" xfId="14703" xr:uid="{7C4ED033-531F-4CDB-B502-959428402186}"/>
    <cellStyle name="20% - Accent6 3 2 3 3 3" xfId="23144" xr:uid="{6407DC8E-9637-4561-8711-E3F02D5AFC08}"/>
    <cellStyle name="20% - Accent6 3 2 3 3 4" xfId="31584" xr:uid="{0FB8811E-3137-40F3-9E21-D8691E5A4E00}"/>
    <cellStyle name="20% - Accent6 3 2 3 4" xfId="10486" xr:uid="{08370E60-C580-496F-A124-28ED7EFE1F4F}"/>
    <cellStyle name="20% - Accent6 3 2 3 5" xfId="18927" xr:uid="{506EFAB5-5504-4417-8ECB-33CEE63D0334}"/>
    <cellStyle name="20% - Accent6 3 2 3 6" xfId="27367" xr:uid="{82BE1D9D-4EFB-40EF-86F4-E7D7E3F79F4F}"/>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36638917-9F07-4BE4-92D7-A29D60ECB1A0}"/>
    <cellStyle name="20% - Accent6 3 2 4 2 2 3" xfId="25702" xr:uid="{F01B1386-965A-4053-A93B-D2A4C48E1739}"/>
    <cellStyle name="20% - Accent6 3 2 4 2 2 4" xfId="34142" xr:uid="{8FAC0B35-4937-4165-81EA-A5255711F9EA}"/>
    <cellStyle name="20% - Accent6 3 2 4 2 3" xfId="13044" xr:uid="{A977B7AB-AEFD-4F8A-A50E-43347E5EE5C6}"/>
    <cellStyle name="20% - Accent6 3 2 4 2 4" xfId="21485" xr:uid="{BBEAD66F-AB93-4A33-926A-E883B3DBE8E2}"/>
    <cellStyle name="20% - Accent6 3 2 4 2 5" xfId="29925" xr:uid="{C477D075-04F5-4F70-9522-2E89F9CE3EA2}"/>
    <cellStyle name="20% - Accent6 3 2 4 3" xfId="5790" xr:uid="{00000000-0005-0000-0000-00007F030000}"/>
    <cellStyle name="20% - Accent6 3 2 4 3 2" xfId="15116" xr:uid="{720229AF-4E28-4D1E-AD75-89D8D69E5724}"/>
    <cellStyle name="20% - Accent6 3 2 4 3 3" xfId="23557" xr:uid="{62818141-AA5B-4E9F-8CFD-01F46A7EDCDA}"/>
    <cellStyle name="20% - Accent6 3 2 4 3 4" xfId="31997" xr:uid="{929602C7-CD08-4C6A-9678-59EF71C04DB6}"/>
    <cellStyle name="20% - Accent6 3 2 4 4" xfId="10899" xr:uid="{E2C2CBAE-BB1E-477B-939D-065759F48699}"/>
    <cellStyle name="20% - Accent6 3 2 4 5" xfId="19340" xr:uid="{9A5EBBCF-70B2-4472-9967-3256475EFD24}"/>
    <cellStyle name="20% - Accent6 3 2 4 6" xfId="27780" xr:uid="{F17DE815-D4B9-4862-9422-329759C730B1}"/>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5DCD097D-724E-477E-884C-B3D9AF351036}"/>
    <cellStyle name="20% - Accent6 3 2 5 2 2 3" xfId="26115" xr:uid="{86C7EA35-0BBD-4749-82B0-3400C606BDBF}"/>
    <cellStyle name="20% - Accent6 3 2 5 2 2 4" xfId="34555" xr:uid="{EDD8535B-44AA-4F00-9C51-387D09CF19C7}"/>
    <cellStyle name="20% - Accent6 3 2 5 2 3" xfId="13457" xr:uid="{4B166F42-98E4-4DA8-A389-98AF62C8F609}"/>
    <cellStyle name="20% - Accent6 3 2 5 2 4" xfId="21898" xr:uid="{89AC4A1A-DD36-42E1-A233-D8A6DA15B7B1}"/>
    <cellStyle name="20% - Accent6 3 2 5 2 5" xfId="30338" xr:uid="{97CFDE25-1DCE-43CA-BB4F-AC26C722C7C2}"/>
    <cellStyle name="20% - Accent6 3 2 5 3" xfId="6203" xr:uid="{00000000-0005-0000-0000-000083030000}"/>
    <cellStyle name="20% - Accent6 3 2 5 3 2" xfId="15529" xr:uid="{25AA8FFE-B873-4FBF-ACFA-DEEC3B09BA2E}"/>
    <cellStyle name="20% - Accent6 3 2 5 3 3" xfId="23970" xr:uid="{DD439CB0-9538-49CD-B867-00CE3E5F0668}"/>
    <cellStyle name="20% - Accent6 3 2 5 3 4" xfId="32410" xr:uid="{6543BF61-96CB-44F1-9A96-1EFF45BFE1B0}"/>
    <cellStyle name="20% - Accent6 3 2 5 4" xfId="11312" xr:uid="{27743F7B-D260-4C52-91B4-D6897942E716}"/>
    <cellStyle name="20% - Accent6 3 2 5 5" xfId="19753" xr:uid="{F8087469-2431-4C2A-85CC-F7BE2D168885}"/>
    <cellStyle name="20% - Accent6 3 2 5 6" xfId="28193" xr:uid="{4DA28F91-7C0F-4797-8A7C-EE817FC46C72}"/>
    <cellStyle name="20% - Accent6 3 2 6" xfId="2310" xr:uid="{00000000-0005-0000-0000-000084030000}"/>
    <cellStyle name="20% - Accent6 3 2 6 2" xfId="6616" xr:uid="{00000000-0005-0000-0000-000085030000}"/>
    <cellStyle name="20% - Accent6 3 2 6 2 2" xfId="15942" xr:uid="{71335C40-FC5A-4238-8508-4F236F6B1023}"/>
    <cellStyle name="20% - Accent6 3 2 6 2 3" xfId="24383" xr:uid="{3B4FE08C-14D1-48B2-A8CF-8290F16BF0A7}"/>
    <cellStyle name="20% - Accent6 3 2 6 2 4" xfId="32823" xr:uid="{1CD19D7E-7A25-47EC-AED8-FA8B9D46CE79}"/>
    <cellStyle name="20% - Accent6 3 2 6 3" xfId="11725" xr:uid="{AFCE2F59-8D5A-42D9-B3FD-8714FFA3F39D}"/>
    <cellStyle name="20% - Accent6 3 2 6 4" xfId="20166" xr:uid="{7332B326-A289-4E56-879B-079FDEFD600C}"/>
    <cellStyle name="20% - Accent6 3 2 6 5" xfId="28606" xr:uid="{3F38BF7B-8DF0-4597-9055-C42FF1B46D96}"/>
    <cellStyle name="20% - Accent6 3 2 7" xfId="4550" xr:uid="{00000000-0005-0000-0000-000086030000}"/>
    <cellStyle name="20% - Accent6 3 2 7 2" xfId="13876" xr:uid="{130B68F7-8375-401B-8C57-CB83CEDA5BDD}"/>
    <cellStyle name="20% - Accent6 3 2 7 3" xfId="22317" xr:uid="{C3DAB6DE-8309-440D-ADC1-A936352D068D}"/>
    <cellStyle name="20% - Accent6 3 2 7 4" xfId="30757" xr:uid="{EC38ACF4-1864-4523-96C2-2495B6A4934C}"/>
    <cellStyle name="20% - Accent6 3 2 8" xfId="9078" xr:uid="{55C63253-C10A-44F0-A9A1-D3E9AD1B1E77}"/>
    <cellStyle name="20% - Accent6 3 2 9" xfId="9659" xr:uid="{6D1F7F81-2C26-4B67-80C1-96FC1BC2BEA1}"/>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EEFC4882-1CA7-477F-92C1-DEEFDEA4DB4A}"/>
    <cellStyle name="20% - Accent6 3 3 2 2 3" xfId="24875" xr:uid="{2868C1DA-F742-4366-B7CD-60F73832FA86}"/>
    <cellStyle name="20% - Accent6 3 3 2 2 4" xfId="33315" xr:uid="{87E37840-7166-4A62-90E1-5AF9AF12C17E}"/>
    <cellStyle name="20% - Accent6 3 3 2 3" xfId="12217" xr:uid="{42472E59-FC7B-42C2-8A0E-29FC48C387D1}"/>
    <cellStyle name="20% - Accent6 3 3 2 4" xfId="20658" xr:uid="{825A5E71-7116-4E98-9785-1129B84F7EDE}"/>
    <cellStyle name="20% - Accent6 3 3 2 5" xfId="29098" xr:uid="{1A80790E-C224-4A11-B3FE-56BFA3F6764E}"/>
    <cellStyle name="20% - Accent6 3 3 3" xfId="4963" xr:uid="{00000000-0005-0000-0000-00008A030000}"/>
    <cellStyle name="20% - Accent6 3 3 3 2" xfId="14289" xr:uid="{E8463DB1-586D-4F8A-B3B6-8F8F340FF40B}"/>
    <cellStyle name="20% - Accent6 3 3 3 3" xfId="22730" xr:uid="{12ED3D93-9B3F-4444-8D55-B78883B7C2B2}"/>
    <cellStyle name="20% - Accent6 3 3 3 4" xfId="31170" xr:uid="{876163B9-7FD3-48A4-BFF8-C927624B19A4}"/>
    <cellStyle name="20% - Accent6 3 3 4" xfId="9296" xr:uid="{68DBDAD1-945F-459A-93CE-56D312D1EDE4}"/>
    <cellStyle name="20% - Accent6 3 3 5" xfId="10072" xr:uid="{DE9AD56D-3784-47B0-A8BF-95B056256084}"/>
    <cellStyle name="20% - Accent6 3 3 6" xfId="18513" xr:uid="{F6FB212F-BBD7-4E21-B4C8-DE1218C31805}"/>
    <cellStyle name="20% - Accent6 3 3 7" xfId="26953" xr:uid="{DE0ACA3F-FB4C-4C2C-B50F-E9A503456604}"/>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CA185DC9-4D78-4486-B78F-8671F33EBD9C}"/>
    <cellStyle name="20% - Accent6 3 4 2 2 3" xfId="25288" xr:uid="{11E7FCF5-7923-4598-90D5-6FAF64C09BE4}"/>
    <cellStyle name="20% - Accent6 3 4 2 2 4" xfId="33728" xr:uid="{83477238-D09B-462B-BC0B-8DF77E8ADDE7}"/>
    <cellStyle name="20% - Accent6 3 4 2 3" xfId="12630" xr:uid="{F7BB44A3-1BDB-4086-91C1-E3492C23467D}"/>
    <cellStyle name="20% - Accent6 3 4 2 4" xfId="21071" xr:uid="{7C979574-256E-460D-BF4C-EA6D97833D5E}"/>
    <cellStyle name="20% - Accent6 3 4 2 5" xfId="29511" xr:uid="{437A9BEE-F7E8-4068-ACDE-3664C9B79582}"/>
    <cellStyle name="20% - Accent6 3 4 3" xfId="5376" xr:uid="{00000000-0005-0000-0000-00008E030000}"/>
    <cellStyle name="20% - Accent6 3 4 3 2" xfId="14702" xr:uid="{3184E7F9-0DE3-4B67-BF69-DB2414FB0754}"/>
    <cellStyle name="20% - Accent6 3 4 3 3" xfId="23143" xr:uid="{545BB572-56E0-48E2-AD9D-58CA04BC492D}"/>
    <cellStyle name="20% - Accent6 3 4 3 4" xfId="31583" xr:uid="{1534D194-77D2-4DE9-AFBD-A2A6E5BB9055}"/>
    <cellStyle name="20% - Accent6 3 4 4" xfId="10485" xr:uid="{73CBDB7E-303F-4C01-8E23-BA38AF3D5957}"/>
    <cellStyle name="20% - Accent6 3 4 5" xfId="18926" xr:uid="{E7A4F454-D735-4953-AA84-8DBA966E3069}"/>
    <cellStyle name="20% - Accent6 3 4 6" xfId="27366" xr:uid="{76B66D21-BD3A-4EC7-B363-4A660FEA935A}"/>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2DADABDB-4859-4A1F-A3EA-86ACC5F52E36}"/>
    <cellStyle name="20% - Accent6 3 5 2 2 3" xfId="25701" xr:uid="{AC517FBE-F626-4BC1-9A96-ED7C2B7FC0BB}"/>
    <cellStyle name="20% - Accent6 3 5 2 2 4" xfId="34141" xr:uid="{EF3C1D53-E76A-4A8C-A0DF-A1A27F193367}"/>
    <cellStyle name="20% - Accent6 3 5 2 3" xfId="13043" xr:uid="{0220B991-FB72-447B-BB21-AFB187157812}"/>
    <cellStyle name="20% - Accent6 3 5 2 4" xfId="21484" xr:uid="{157C5D90-98B5-42A2-BDE0-D69A9593DA80}"/>
    <cellStyle name="20% - Accent6 3 5 2 5" xfId="29924" xr:uid="{3E630217-3995-4FE8-8FF9-2B3EA20C2AB0}"/>
    <cellStyle name="20% - Accent6 3 5 3" xfId="5789" xr:uid="{00000000-0005-0000-0000-000092030000}"/>
    <cellStyle name="20% - Accent6 3 5 3 2" xfId="15115" xr:uid="{19E34ACD-8D15-461B-AA63-ACB1B85BF44F}"/>
    <cellStyle name="20% - Accent6 3 5 3 3" xfId="23556" xr:uid="{65CCC64B-DEE4-42C5-AD2C-B1E202C3B159}"/>
    <cellStyle name="20% - Accent6 3 5 3 4" xfId="31996" xr:uid="{3C1C2D55-4D0D-4754-8F6F-C5A3AA5FB241}"/>
    <cellStyle name="20% - Accent6 3 5 4" xfId="10898" xr:uid="{27D3C9F1-94A4-4B82-9A18-AD17147033A1}"/>
    <cellStyle name="20% - Accent6 3 5 5" xfId="19339" xr:uid="{B0A5DA29-C86A-432B-8353-CC958618991A}"/>
    <cellStyle name="20% - Accent6 3 5 6" xfId="27779" xr:uid="{A348C79E-4B6B-41FE-8BDF-F36459C5DA5D}"/>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97B6D0BC-3D25-4B40-AE51-C98F06FBB49D}"/>
    <cellStyle name="20% - Accent6 3 6 2 2 3" xfId="26114" xr:uid="{A774C6D0-FB1A-4592-8D31-D0CE50BCC169}"/>
    <cellStyle name="20% - Accent6 3 6 2 2 4" xfId="34554" xr:uid="{7255347F-3576-483A-8C3D-D14A242FF8ED}"/>
    <cellStyle name="20% - Accent6 3 6 2 3" xfId="13456" xr:uid="{948CAA29-21D8-47D2-BDE6-6BDE8EFB6423}"/>
    <cellStyle name="20% - Accent6 3 6 2 4" xfId="21897" xr:uid="{B5E18D32-E769-4B2E-AF4A-7ECE429170B6}"/>
    <cellStyle name="20% - Accent6 3 6 2 5" xfId="30337" xr:uid="{374A6C39-FA49-4B77-A3AD-9E8B649C2767}"/>
    <cellStyle name="20% - Accent6 3 6 3" xfId="6202" xr:uid="{00000000-0005-0000-0000-000096030000}"/>
    <cellStyle name="20% - Accent6 3 6 3 2" xfId="15528" xr:uid="{F9C78C17-8BC5-4932-83DE-3A4A4A7F25E3}"/>
    <cellStyle name="20% - Accent6 3 6 3 3" xfId="23969" xr:uid="{0E4A7527-7351-4A95-B942-B9F2840F112C}"/>
    <cellStyle name="20% - Accent6 3 6 3 4" xfId="32409" xr:uid="{DF9CD128-AA94-416C-BA7F-1559CCEA1FBC}"/>
    <cellStyle name="20% - Accent6 3 6 4" xfId="11311" xr:uid="{54E43311-3767-4298-8C1A-24C5FE68CE8F}"/>
    <cellStyle name="20% - Accent6 3 6 5" xfId="19752" xr:uid="{9BB2C25C-44C6-4A4D-AE0E-832B2045B487}"/>
    <cellStyle name="20% - Accent6 3 6 6" xfId="28192" xr:uid="{1DE53E2F-16DC-4A11-8382-7197EF253AFC}"/>
    <cellStyle name="20% - Accent6 3 7" xfId="2309" xr:uid="{00000000-0005-0000-0000-000097030000}"/>
    <cellStyle name="20% - Accent6 3 7 2" xfId="6615" xr:uid="{00000000-0005-0000-0000-000098030000}"/>
    <cellStyle name="20% - Accent6 3 7 2 2" xfId="15941" xr:uid="{3D4FD055-44D7-424A-B693-03A9821143BE}"/>
    <cellStyle name="20% - Accent6 3 7 2 3" xfId="24382" xr:uid="{403EFFFD-26C9-4531-94D7-D0693130D44F}"/>
    <cellStyle name="20% - Accent6 3 7 2 4" xfId="32822" xr:uid="{09242740-A1A4-43B6-A938-F2E5B68A5E63}"/>
    <cellStyle name="20% - Accent6 3 7 3" xfId="11724" xr:uid="{B2207C69-ACF2-4E9A-B96D-0EEE1E6C3BDC}"/>
    <cellStyle name="20% - Accent6 3 7 4" xfId="20165" xr:uid="{A1E65F43-8285-4D4F-97D1-1639BED43018}"/>
    <cellStyle name="20% - Accent6 3 7 5" xfId="28605" xr:uid="{AB8E1494-F27D-435E-9A89-9B618C98730F}"/>
    <cellStyle name="20% - Accent6 3 8" xfId="4549" xr:uid="{00000000-0005-0000-0000-000099030000}"/>
    <cellStyle name="20% - Accent6 3 8 2" xfId="13875" xr:uid="{4F83D0F2-BC9A-4BA7-9ACD-212DA430DFC3}"/>
    <cellStyle name="20% - Accent6 3 8 3" xfId="22316" xr:uid="{A1D485A5-F36E-4294-AD25-333E87965739}"/>
    <cellStyle name="20% - Accent6 3 8 4" xfId="30756" xr:uid="{F9D67130-BC47-4841-AE6E-8DA3220606E4}"/>
    <cellStyle name="20% - Accent6 3 9" xfId="8871" xr:uid="{6A653046-C3D6-46DC-9DAA-DA1241CBE9F0}"/>
    <cellStyle name="20% - Accent6 4" xfId="48" xr:uid="{00000000-0005-0000-0000-00009A030000}"/>
    <cellStyle name="20% - Accent6 4 10" xfId="18101" xr:uid="{C0E286AF-8241-4C12-9E54-AFB861BAD77F}"/>
    <cellStyle name="20% - Accent6 4 11" xfId="26541" xr:uid="{FE5CDE01-AD5C-483A-BA08-48498BB7FD5B}"/>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FADEFB42-70BB-4F95-9B3C-3EEA51C181B8}"/>
    <cellStyle name="20% - Accent6 4 2 2 2 3" xfId="24877" xr:uid="{D4DC6883-0B20-4EC5-8454-BDEADD834BD1}"/>
    <cellStyle name="20% - Accent6 4 2 2 2 4" xfId="33317" xr:uid="{567A3347-C6B4-4078-A2B1-0C5AF5B95A36}"/>
    <cellStyle name="20% - Accent6 4 2 2 3" xfId="12219" xr:uid="{33D86960-0324-47A2-AFD4-5F00B4BBCE6F}"/>
    <cellStyle name="20% - Accent6 4 2 2 4" xfId="20660" xr:uid="{807FAC36-E373-428A-9D77-CFD7BC568CFA}"/>
    <cellStyle name="20% - Accent6 4 2 2 5" xfId="29100" xr:uid="{D50CDFE9-AE49-4250-B217-5EA5E1188ABB}"/>
    <cellStyle name="20% - Accent6 4 2 3" xfId="4965" xr:uid="{00000000-0005-0000-0000-00009E030000}"/>
    <cellStyle name="20% - Accent6 4 2 3 2" xfId="14291" xr:uid="{CB4A76F1-2DC6-4132-A803-F19840504E09}"/>
    <cellStyle name="20% - Accent6 4 2 3 3" xfId="22732" xr:uid="{309E419E-96AA-4170-967B-355F3D8D26DD}"/>
    <cellStyle name="20% - Accent6 4 2 3 4" xfId="31172" xr:uid="{3C6C5961-C886-4E74-930C-D90DACAE5F22}"/>
    <cellStyle name="20% - Accent6 4 2 4" xfId="9382" xr:uid="{704ED43C-A59A-4E80-A03F-B933767E3A55}"/>
    <cellStyle name="20% - Accent6 4 2 5" xfId="10074" xr:uid="{4BE784EB-84CE-49E8-AE23-EC00553CB1D0}"/>
    <cellStyle name="20% - Accent6 4 2 6" xfId="18515" xr:uid="{16AA098E-A59A-4927-9034-084E19245C87}"/>
    <cellStyle name="20% - Accent6 4 2 7" xfId="26955" xr:uid="{A59366D6-BC4D-4BDB-B5A1-314DD8EB4E5C}"/>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E2B44DCB-6AB4-4A9A-9E6C-38A0A615C35B}"/>
    <cellStyle name="20% - Accent6 4 3 2 2 3" xfId="25290" xr:uid="{F1D3C871-7655-4BB8-ABD0-EEFD2958C27F}"/>
    <cellStyle name="20% - Accent6 4 3 2 2 4" xfId="33730" xr:uid="{9464ED06-EB01-4898-83B3-A60C269A7B47}"/>
    <cellStyle name="20% - Accent6 4 3 2 3" xfId="12632" xr:uid="{68264DEC-E6EF-4F71-ABAE-B66BF1D30461}"/>
    <cellStyle name="20% - Accent6 4 3 2 4" xfId="21073" xr:uid="{E2635877-AD7F-4382-822F-864BA0F0939B}"/>
    <cellStyle name="20% - Accent6 4 3 2 5" xfId="29513" xr:uid="{74BC9690-422D-404B-BF81-5118684EEC54}"/>
    <cellStyle name="20% - Accent6 4 3 3" xfId="5378" xr:uid="{00000000-0005-0000-0000-0000A2030000}"/>
    <cellStyle name="20% - Accent6 4 3 3 2" xfId="14704" xr:uid="{17F9FD0C-DFBE-4BAC-958F-A20C73598EDA}"/>
    <cellStyle name="20% - Accent6 4 3 3 3" xfId="23145" xr:uid="{8AED470E-B6E3-453D-A67A-D7272DFEFF59}"/>
    <cellStyle name="20% - Accent6 4 3 3 4" xfId="31585" xr:uid="{6BBCF167-4F10-4B96-A380-717967CFA38A}"/>
    <cellStyle name="20% - Accent6 4 3 4" xfId="10487" xr:uid="{4FB96B98-359A-4643-8998-3CC9348486F5}"/>
    <cellStyle name="20% - Accent6 4 3 5" xfId="18928" xr:uid="{D5AA3FD7-7203-4B48-B6FD-05585E23CF54}"/>
    <cellStyle name="20% - Accent6 4 3 6" xfId="27368" xr:uid="{7A326E33-0337-4DFA-8D4F-9CC692CD562B}"/>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0B11E2FD-B81E-4D33-ADCA-150303507527}"/>
    <cellStyle name="20% - Accent6 4 4 2 2 3" xfId="25703" xr:uid="{991BD368-DB08-4E26-BA63-106BE3233C0F}"/>
    <cellStyle name="20% - Accent6 4 4 2 2 4" xfId="34143" xr:uid="{C647E8CB-1C5B-4D80-AEEC-49ACAC9150BA}"/>
    <cellStyle name="20% - Accent6 4 4 2 3" xfId="13045" xr:uid="{F7B7197B-876F-48C1-947C-69D065BD1EBF}"/>
    <cellStyle name="20% - Accent6 4 4 2 4" xfId="21486" xr:uid="{A0C7E003-20A7-45DB-8C4C-E1DF8C8866B2}"/>
    <cellStyle name="20% - Accent6 4 4 2 5" xfId="29926" xr:uid="{B4FEE7BA-408A-487E-897E-BA359F2FE7AE}"/>
    <cellStyle name="20% - Accent6 4 4 3" xfId="5791" xr:uid="{00000000-0005-0000-0000-0000A6030000}"/>
    <cellStyle name="20% - Accent6 4 4 3 2" xfId="15117" xr:uid="{6DFA1851-CC6E-4368-AD85-3C428BC1731B}"/>
    <cellStyle name="20% - Accent6 4 4 3 3" xfId="23558" xr:uid="{720EE3C4-7864-47AE-A511-56067D6A4047}"/>
    <cellStyle name="20% - Accent6 4 4 3 4" xfId="31998" xr:uid="{45E50F1E-2CFE-4885-ACFA-2ECB1ED01959}"/>
    <cellStyle name="20% - Accent6 4 4 4" xfId="10900" xr:uid="{94D74C86-3E72-4866-83A8-4FA098111C7A}"/>
    <cellStyle name="20% - Accent6 4 4 5" xfId="19341" xr:uid="{5EFAE6D7-E1E8-4FFD-9E28-DEEF9D36B879}"/>
    <cellStyle name="20% - Accent6 4 4 6" xfId="27781" xr:uid="{C2E0EC53-A029-4C0A-9F22-8F57077DB461}"/>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195F2EAA-9AB7-4A05-BE59-4BCA31ACE265}"/>
    <cellStyle name="20% - Accent6 4 5 2 2 3" xfId="26116" xr:uid="{F4CE6785-5BE6-4CDA-A60C-D5916A25EF1B}"/>
    <cellStyle name="20% - Accent6 4 5 2 2 4" xfId="34556" xr:uid="{A3755C75-375B-4F1F-A740-2C17E7AAD2D4}"/>
    <cellStyle name="20% - Accent6 4 5 2 3" xfId="13458" xr:uid="{4AC35AEC-A847-4358-8BF8-4DA5F97441D8}"/>
    <cellStyle name="20% - Accent6 4 5 2 4" xfId="21899" xr:uid="{4486EBF2-D1DA-44D9-B55D-3042A980BEDE}"/>
    <cellStyle name="20% - Accent6 4 5 2 5" xfId="30339" xr:uid="{8852BE3D-CE7F-4130-91A1-27B90B22AD61}"/>
    <cellStyle name="20% - Accent6 4 5 3" xfId="6204" xr:uid="{00000000-0005-0000-0000-0000AA030000}"/>
    <cellStyle name="20% - Accent6 4 5 3 2" xfId="15530" xr:uid="{E0B88748-22FD-46B0-A1A1-C180E7307A68}"/>
    <cellStyle name="20% - Accent6 4 5 3 3" xfId="23971" xr:uid="{6A46C511-B752-4829-A3BE-91C51E64EF4C}"/>
    <cellStyle name="20% - Accent6 4 5 3 4" xfId="32411" xr:uid="{33E062C4-7DD5-493B-B132-B576BC697B20}"/>
    <cellStyle name="20% - Accent6 4 5 4" xfId="11313" xr:uid="{F457A200-8814-42C0-A9BC-B9FC7DB51A08}"/>
    <cellStyle name="20% - Accent6 4 5 5" xfId="19754" xr:uid="{F6CF88DC-808E-49B2-9B12-D72E127A63E1}"/>
    <cellStyle name="20% - Accent6 4 5 6" xfId="28194" xr:uid="{AFBDB383-F5E7-4DD0-82A2-09A21F317B08}"/>
    <cellStyle name="20% - Accent6 4 6" xfId="2311" xr:uid="{00000000-0005-0000-0000-0000AB030000}"/>
    <cellStyle name="20% - Accent6 4 6 2" xfId="6617" xr:uid="{00000000-0005-0000-0000-0000AC030000}"/>
    <cellStyle name="20% - Accent6 4 6 2 2" xfId="15943" xr:uid="{ABFF333A-E594-4657-A731-BD2D37A94AD9}"/>
    <cellStyle name="20% - Accent6 4 6 2 3" xfId="24384" xr:uid="{A9CEF89A-5684-4546-B995-09EE5A58C517}"/>
    <cellStyle name="20% - Accent6 4 6 2 4" xfId="32824" xr:uid="{2331934A-4937-43DC-AB90-555152352B93}"/>
    <cellStyle name="20% - Accent6 4 6 3" xfId="11726" xr:uid="{68A27313-F749-4677-B701-9F51F8BC8DEE}"/>
    <cellStyle name="20% - Accent6 4 6 4" xfId="20167" xr:uid="{B63718C4-FA2E-40EA-A840-AD72863409D7}"/>
    <cellStyle name="20% - Accent6 4 6 5" xfId="28607" xr:uid="{4A460881-F16C-478A-8628-AF5EF1A45A8A}"/>
    <cellStyle name="20% - Accent6 4 7" xfId="4551" xr:uid="{00000000-0005-0000-0000-0000AD030000}"/>
    <cellStyle name="20% - Accent6 4 7 2" xfId="13877" xr:uid="{FB908EBE-70E1-42A5-8446-A3A42ECD1813}"/>
    <cellStyle name="20% - Accent6 4 7 3" xfId="22318" xr:uid="{C20441CB-C409-4F58-90F8-AF4A34957AB3}"/>
    <cellStyle name="20% - Accent6 4 7 4" xfId="30758" xr:uid="{374E3D7C-4D0C-4A86-A172-25516DC7E4F0}"/>
    <cellStyle name="20% - Accent6 4 8" xfId="8957" xr:uid="{03E1DA3A-6A3F-4C0D-9844-2D38E7BA13BC}"/>
    <cellStyle name="20% - Accent6 4 9" xfId="9660" xr:uid="{B30D6AFE-C31E-4EF3-A147-BDDA7CF0D34C}"/>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ABB15425-1D95-47E2-AD46-3FF3AAE4431E}"/>
    <cellStyle name="20% - Accent6 5 2 2 3" xfId="24870" xr:uid="{01806211-642A-445C-8799-D68CFC0EAE82}"/>
    <cellStyle name="20% - Accent6 5 2 2 4" xfId="33310" xr:uid="{70364325-ADAC-403A-ADBF-5C08257489E6}"/>
    <cellStyle name="20% - Accent6 5 2 3" xfId="12212" xr:uid="{B2D60905-319C-4696-9D53-4BD1D6F75EF7}"/>
    <cellStyle name="20% - Accent6 5 2 4" xfId="20653" xr:uid="{2C02CD52-3938-4634-AEEF-B53651E9F17E}"/>
    <cellStyle name="20% - Accent6 5 2 5" xfId="29093" xr:uid="{410656BA-E843-4B36-9F30-A7DD453B2AE5}"/>
    <cellStyle name="20% - Accent6 5 3" xfId="4958" xr:uid="{00000000-0005-0000-0000-0000B1030000}"/>
    <cellStyle name="20% - Accent6 5 3 2" xfId="14284" xr:uid="{5CB06F55-EFDE-42D9-9EE4-AACA4B714CEA}"/>
    <cellStyle name="20% - Accent6 5 3 3" xfId="22725" xr:uid="{59F90E39-590F-4446-9FF1-3CD25A261DEF}"/>
    <cellStyle name="20% - Accent6 5 3 4" xfId="31165" xr:uid="{BC160C8A-C2BD-4FE2-B05D-D42C7A7F858C}"/>
    <cellStyle name="20% - Accent6 5 4" xfId="9191" xr:uid="{C812E2E5-5572-4E86-9CB6-C7C53792C044}"/>
    <cellStyle name="20% - Accent6 5 5" xfId="10067" xr:uid="{E32EEE35-8DD6-4A0E-B780-0D125EE6212B}"/>
    <cellStyle name="20% - Accent6 5 6" xfId="18508" xr:uid="{F1C56383-98E0-48F2-B310-8248DE97744D}"/>
    <cellStyle name="20% - Accent6 5 7" xfId="26948" xr:uid="{6AD936F9-8031-4602-A900-A74BDD465DD6}"/>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4818E320-A437-457D-A8E1-74AEBB303E45}"/>
    <cellStyle name="20% - Accent6 6 2 2 3" xfId="25283" xr:uid="{9659C585-6080-458C-8399-2552697B8CF2}"/>
    <cellStyle name="20% - Accent6 6 2 2 4" xfId="33723" xr:uid="{CF71FEB9-2A43-487B-815B-F072C18A69DC}"/>
    <cellStyle name="20% - Accent6 6 2 3" xfId="12625" xr:uid="{94194148-5219-4CBC-A86A-074CCDFB88C4}"/>
    <cellStyle name="20% - Accent6 6 2 4" xfId="21066" xr:uid="{93FA2804-C907-4E3F-A5B5-54DA0B9DBADE}"/>
    <cellStyle name="20% - Accent6 6 2 5" xfId="29506" xr:uid="{746E8F88-A548-4B21-A0A7-A160A32BA7E8}"/>
    <cellStyle name="20% - Accent6 6 3" xfId="5371" xr:uid="{00000000-0005-0000-0000-0000B5030000}"/>
    <cellStyle name="20% - Accent6 6 3 2" xfId="14697" xr:uid="{9689A9BD-1BA3-4D0E-9DC6-FCD0641C5F9B}"/>
    <cellStyle name="20% - Accent6 6 3 3" xfId="23138" xr:uid="{BA84E037-8D69-481C-A280-4BCF345BF5AD}"/>
    <cellStyle name="20% - Accent6 6 3 4" xfId="31578" xr:uid="{D7C4AA20-BE1E-498E-9677-4F6EE60D1006}"/>
    <cellStyle name="20% - Accent6 6 4" xfId="10480" xr:uid="{8FCC21AE-9E16-4D8D-BFF2-FD70F2476B15}"/>
    <cellStyle name="20% - Accent6 6 5" xfId="18921" xr:uid="{5868739B-8689-447B-A163-B21995CE3753}"/>
    <cellStyle name="20% - Accent6 6 6" xfId="27361" xr:uid="{86021E8D-DB01-4ED3-BA8A-256B0E8E9BB3}"/>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1C5C9C81-CF2F-445D-BF50-4CA38DA09F20}"/>
    <cellStyle name="20% - Accent6 7 2 2 3" xfId="25696" xr:uid="{3CAF6311-ECB0-487E-876A-44E5DF319058}"/>
    <cellStyle name="20% - Accent6 7 2 2 4" xfId="34136" xr:uid="{67640905-7729-4EEF-97D3-30246D09DB86}"/>
    <cellStyle name="20% - Accent6 7 2 3" xfId="13038" xr:uid="{2D1C451B-4E40-42C6-BB50-2CB483C02E8A}"/>
    <cellStyle name="20% - Accent6 7 2 4" xfId="21479" xr:uid="{EB969F1F-656E-4C9E-A09C-7B4B0FB9278A}"/>
    <cellStyle name="20% - Accent6 7 2 5" xfId="29919" xr:uid="{9765411F-2E70-434D-A4B8-BFD715F78EE7}"/>
    <cellStyle name="20% - Accent6 7 3" xfId="5784" xr:uid="{00000000-0005-0000-0000-0000B9030000}"/>
    <cellStyle name="20% - Accent6 7 3 2" xfId="15110" xr:uid="{9D8A5347-C85F-454E-91D1-FCD2D37A4E28}"/>
    <cellStyle name="20% - Accent6 7 3 3" xfId="23551" xr:uid="{66C28FAD-FFF3-4518-8FB9-CFC51EFF52EF}"/>
    <cellStyle name="20% - Accent6 7 3 4" xfId="31991" xr:uid="{56092033-6E38-4209-816B-0259D52EC437}"/>
    <cellStyle name="20% - Accent6 7 4" xfId="10893" xr:uid="{2877E4C3-6878-4C86-9BBA-8B601D509334}"/>
    <cellStyle name="20% - Accent6 7 5" xfId="19334" xr:uid="{FF527BBA-411D-4C15-8687-642ED34F5C25}"/>
    <cellStyle name="20% - Accent6 7 6" xfId="27774" xr:uid="{D790A92E-1979-4B1B-83E2-714286CE2FDA}"/>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1A4A66F7-2DE2-43CA-89C8-EF834E90FB7C}"/>
    <cellStyle name="20% - Accent6 8 2 2 3" xfId="26109" xr:uid="{5AD54FA2-6073-4622-9DFD-F2E237D8D0C3}"/>
    <cellStyle name="20% - Accent6 8 2 2 4" xfId="34549" xr:uid="{1573388E-0080-4F88-AA79-9D2BF6DF68D0}"/>
    <cellStyle name="20% - Accent6 8 2 3" xfId="13451" xr:uid="{B208596E-23E9-4E88-8D0B-4B455FE79A8B}"/>
    <cellStyle name="20% - Accent6 8 2 4" xfId="21892" xr:uid="{8B70E9E4-5770-4B49-9896-EAB5E58F21AE}"/>
    <cellStyle name="20% - Accent6 8 2 5" xfId="30332" xr:uid="{8F91485D-8B7F-421D-BFC8-F3A60429A318}"/>
    <cellStyle name="20% - Accent6 8 3" xfId="6197" xr:uid="{00000000-0005-0000-0000-0000BD030000}"/>
    <cellStyle name="20% - Accent6 8 3 2" xfId="15523" xr:uid="{CA8FE0C6-B579-4CF1-935D-160C027F1D9C}"/>
    <cellStyle name="20% - Accent6 8 3 3" xfId="23964" xr:uid="{57BAED2C-D917-4C3F-820E-391FBF742061}"/>
    <cellStyle name="20% - Accent6 8 3 4" xfId="32404" xr:uid="{801D0F63-E2F4-4C83-A311-1672F899D085}"/>
    <cellStyle name="20% - Accent6 8 4" xfId="11306" xr:uid="{92B8B231-E73B-4D9A-8F4C-0DDC8BED9595}"/>
    <cellStyle name="20% - Accent6 8 5" xfId="19747" xr:uid="{378EC030-273E-419A-B26B-DF994A94D361}"/>
    <cellStyle name="20% - Accent6 8 6" xfId="28187" xr:uid="{D13FFD27-E86E-4DC5-A65C-2060729728D3}"/>
    <cellStyle name="20% - Accent6 9" xfId="2304" xr:uid="{00000000-0005-0000-0000-0000BE030000}"/>
    <cellStyle name="20% - Accent6 9 2" xfId="6610" xr:uid="{00000000-0005-0000-0000-0000BF030000}"/>
    <cellStyle name="20% - Accent6 9 2 2" xfId="15936" xr:uid="{0353865C-688A-476D-AF6E-94A8A4CD2043}"/>
    <cellStyle name="20% - Accent6 9 2 3" xfId="24377" xr:uid="{60D88EA9-18F0-4A36-8E24-DAD7FC54F884}"/>
    <cellStyle name="20% - Accent6 9 2 4" xfId="32817" xr:uid="{9861844C-29EF-41A8-A6E5-AAC703262334}"/>
    <cellStyle name="20% - Accent6 9 3" xfId="11719" xr:uid="{60126B41-97E8-44B5-B65A-40D799B55F06}"/>
    <cellStyle name="20% - Accent6 9 4" xfId="20160" xr:uid="{3A2E0490-1D07-42B8-B6A7-F0D6CD6D63A0}"/>
    <cellStyle name="20% - Accent6 9 5" xfId="28600" xr:uid="{591D8CB2-064F-4760-9683-C5263E88EE8D}"/>
    <cellStyle name="40% - Accent1" xfId="49" builtinId="31" customBuiltin="1"/>
    <cellStyle name="40% - Accent1 10" xfId="4552" xr:uid="{00000000-0005-0000-0000-0000C1030000}"/>
    <cellStyle name="40% - Accent1 10 2" xfId="13878" xr:uid="{ECF0510E-BAE9-4DAE-A656-DE90D832041B}"/>
    <cellStyle name="40% - Accent1 10 3" xfId="22319" xr:uid="{AE34CFB1-08F1-4FFB-8D22-26604F0DA6EA}"/>
    <cellStyle name="40% - Accent1 10 4" xfId="30759" xr:uid="{F5304E3B-3163-4ED3-AE4C-B81470623CD4}"/>
    <cellStyle name="40% - Accent1 11" xfId="8759" xr:uid="{E0AA4078-00FF-4C00-81ED-1F048AC6C533}"/>
    <cellStyle name="40% - Accent1 12" xfId="9661" xr:uid="{3AC96CFB-3EDB-44BD-BAB8-5940DEF7A5B5}"/>
    <cellStyle name="40% - Accent1 13" xfId="18102" xr:uid="{568EB798-307E-4F4D-A46A-4FD1A340BE6D}"/>
    <cellStyle name="40% - Accent1 14" xfId="26542" xr:uid="{94CD364A-97D3-4DFF-9361-310E4C33C39D}"/>
    <cellStyle name="40% - Accent1 2" xfId="50" xr:uid="{00000000-0005-0000-0000-0000C2030000}"/>
    <cellStyle name="40% - Accent1 2 10" xfId="8798" xr:uid="{82026451-631C-40CA-BC49-BE5DA2EA921A}"/>
    <cellStyle name="40% - Accent1 2 11" xfId="9662" xr:uid="{48C3DBD1-725C-4AC2-BD9E-5EC4A1F5C22D}"/>
    <cellStyle name="40% - Accent1 2 12" xfId="18103" xr:uid="{A862D564-3A51-416F-9226-1528091788B5}"/>
    <cellStyle name="40% - Accent1 2 13" xfId="26543" xr:uid="{F1C1DF07-B5DF-48D6-BA0A-F2510C8C81C2}"/>
    <cellStyle name="40% - Accent1 2 2" xfId="51" xr:uid="{00000000-0005-0000-0000-0000C3030000}"/>
    <cellStyle name="40% - Accent1 2 2 10" xfId="9663" xr:uid="{5F56EF75-D9E6-495C-AF36-A5BFDC44A9EE}"/>
    <cellStyle name="40% - Accent1 2 2 11" xfId="18104" xr:uid="{8D0FF7F9-A6AB-404A-93C7-6072E8744AF2}"/>
    <cellStyle name="40% - Accent1 2 2 12" xfId="26544" xr:uid="{764CD749-8DEA-4C4E-8264-E5FDE7E6F97A}"/>
    <cellStyle name="40% - Accent1 2 2 2" xfId="52" xr:uid="{00000000-0005-0000-0000-0000C4030000}"/>
    <cellStyle name="40% - Accent1 2 2 2 10" xfId="18105" xr:uid="{B2B4DB9C-430D-4C21-AC94-0D0BE98BA1BD}"/>
    <cellStyle name="40% - Accent1 2 2 2 11" xfId="26545" xr:uid="{61BD38F1-7288-4FA3-875B-02A07D7C4191}"/>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0499C9B8-DA34-4ACE-B4F6-EE5EB06672EA}"/>
    <cellStyle name="40% - Accent1 2 2 2 2 2 2 3" xfId="24881" xr:uid="{7070797B-D44F-4D3C-8E75-CF328F51655A}"/>
    <cellStyle name="40% - Accent1 2 2 2 2 2 2 4" xfId="33321" xr:uid="{9CDFE9E1-25AB-472A-A783-1972E3610921}"/>
    <cellStyle name="40% - Accent1 2 2 2 2 2 3" xfId="12223" xr:uid="{65A7DBF9-A16C-4125-BC78-28C0B721A30B}"/>
    <cellStyle name="40% - Accent1 2 2 2 2 2 4" xfId="20664" xr:uid="{009B15A4-860E-49B1-ADC4-C724048C19FB}"/>
    <cellStyle name="40% - Accent1 2 2 2 2 2 5" xfId="29104" xr:uid="{159CC707-200A-4690-A1A4-4A6EB8DBDD03}"/>
    <cellStyle name="40% - Accent1 2 2 2 2 3" xfId="4969" xr:uid="{00000000-0005-0000-0000-0000C8030000}"/>
    <cellStyle name="40% - Accent1 2 2 2 2 3 2" xfId="14295" xr:uid="{DC096C41-C4BD-47DE-9E1B-BFC6A2FE70CA}"/>
    <cellStyle name="40% - Accent1 2 2 2 2 3 3" xfId="22736" xr:uid="{2E3FA41E-5C0F-4960-B479-C7D2633D355E}"/>
    <cellStyle name="40% - Accent1 2 2 2 2 3 4" xfId="31176" xr:uid="{F8772989-85FB-45C0-8E70-48B8DFCF02F8}"/>
    <cellStyle name="40% - Accent1 2 2 2 2 4" xfId="9533" xr:uid="{757B5AC4-115E-4B90-B4EA-505C31F9B178}"/>
    <cellStyle name="40% - Accent1 2 2 2 2 5" xfId="10078" xr:uid="{5C2A32AA-FE12-466D-8BC7-EA8C3C48715D}"/>
    <cellStyle name="40% - Accent1 2 2 2 2 6" xfId="18519" xr:uid="{B62D6B96-8960-428A-BAF1-FA0180BB56CC}"/>
    <cellStyle name="40% - Accent1 2 2 2 2 7" xfId="26959" xr:uid="{77EB0132-ECB7-45A7-86D7-1DCAE4CC8ED5}"/>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CCB15ED7-4557-4695-9B99-03F23C153B08}"/>
    <cellStyle name="40% - Accent1 2 2 2 3 2 2 3" xfId="25294" xr:uid="{7508DDD0-A525-4219-A504-7DC658D9C253}"/>
    <cellStyle name="40% - Accent1 2 2 2 3 2 2 4" xfId="33734" xr:uid="{E7F7B884-D75A-43AE-BBBA-3F2FCD70C700}"/>
    <cellStyle name="40% - Accent1 2 2 2 3 2 3" xfId="12636" xr:uid="{B60FB20E-DB09-4CF4-A99B-DBB62367E256}"/>
    <cellStyle name="40% - Accent1 2 2 2 3 2 4" xfId="21077" xr:uid="{B4757B5A-F8B0-40C9-B372-C74E4D610AF3}"/>
    <cellStyle name="40% - Accent1 2 2 2 3 2 5" xfId="29517" xr:uid="{8C0EF2E9-87CF-4AD3-9460-A7F1CB2CD9B6}"/>
    <cellStyle name="40% - Accent1 2 2 2 3 3" xfId="5382" xr:uid="{00000000-0005-0000-0000-0000CC030000}"/>
    <cellStyle name="40% - Accent1 2 2 2 3 3 2" xfId="14708" xr:uid="{F3EA7337-93FA-49D4-9FCC-8D073855BD3B}"/>
    <cellStyle name="40% - Accent1 2 2 2 3 3 3" xfId="23149" xr:uid="{CE1B75EE-3846-4254-8636-FCFAC72B3CE7}"/>
    <cellStyle name="40% - Accent1 2 2 2 3 3 4" xfId="31589" xr:uid="{EC7217A5-D7BB-4A89-966E-81C6C03C1153}"/>
    <cellStyle name="40% - Accent1 2 2 2 3 4" xfId="10491" xr:uid="{9AA32BFE-5A3B-4CA4-B54F-3D9EB2540ADB}"/>
    <cellStyle name="40% - Accent1 2 2 2 3 5" xfId="18932" xr:uid="{3F006E49-32FD-4E48-AAAD-39D4F9E1F5CC}"/>
    <cellStyle name="40% - Accent1 2 2 2 3 6" xfId="27372" xr:uid="{C0D10C14-18F9-4A08-B12B-EF7C5D5ADAA3}"/>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CF802101-F1E3-47AF-8B12-6799A165A848}"/>
    <cellStyle name="40% - Accent1 2 2 2 4 2 2 3" xfId="25707" xr:uid="{5341B4AD-02B4-46A9-A3AC-8A931C05D435}"/>
    <cellStyle name="40% - Accent1 2 2 2 4 2 2 4" xfId="34147" xr:uid="{5734FA37-7781-41C9-BC3C-8A203F6FC5EE}"/>
    <cellStyle name="40% - Accent1 2 2 2 4 2 3" xfId="13049" xr:uid="{469E0D14-BDB2-44F5-96E7-EDCBDBEB2FC8}"/>
    <cellStyle name="40% - Accent1 2 2 2 4 2 4" xfId="21490" xr:uid="{8A43EF22-27AB-4388-BFB1-EDA85202AF2D}"/>
    <cellStyle name="40% - Accent1 2 2 2 4 2 5" xfId="29930" xr:uid="{883975D0-237F-4513-A2B3-391592FBB0E8}"/>
    <cellStyle name="40% - Accent1 2 2 2 4 3" xfId="5795" xr:uid="{00000000-0005-0000-0000-0000D0030000}"/>
    <cellStyle name="40% - Accent1 2 2 2 4 3 2" xfId="15121" xr:uid="{5ED2D7E8-7172-4F70-848E-0C5FDEB742B3}"/>
    <cellStyle name="40% - Accent1 2 2 2 4 3 3" xfId="23562" xr:uid="{4ABF9548-F014-42BE-9A09-1ECE6940588D}"/>
    <cellStyle name="40% - Accent1 2 2 2 4 3 4" xfId="32002" xr:uid="{BC289C2B-D0EB-4C25-BB06-250DA5377A66}"/>
    <cellStyle name="40% - Accent1 2 2 2 4 4" xfId="10904" xr:uid="{C20ACC63-36F0-4A14-83B9-19DCCDD63017}"/>
    <cellStyle name="40% - Accent1 2 2 2 4 5" xfId="19345" xr:uid="{5663B8F6-18E4-4356-98C8-71B053997D1F}"/>
    <cellStyle name="40% - Accent1 2 2 2 4 6" xfId="27785" xr:uid="{DB026BA5-4E9B-4027-90B4-EF010798ED3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ADA544D4-6A07-4CD1-B562-A0D08CC305D6}"/>
    <cellStyle name="40% - Accent1 2 2 2 5 2 2 3" xfId="26120" xr:uid="{4C302CD4-7DAE-4C2E-8928-2DDAE53BF753}"/>
    <cellStyle name="40% - Accent1 2 2 2 5 2 2 4" xfId="34560" xr:uid="{297E0371-AEC1-472B-9296-013819292355}"/>
    <cellStyle name="40% - Accent1 2 2 2 5 2 3" xfId="13462" xr:uid="{2C8A460F-BB46-443C-9F0B-593B95DEA9CD}"/>
    <cellStyle name="40% - Accent1 2 2 2 5 2 4" xfId="21903" xr:uid="{6F332C1E-CF3E-4E7A-B956-7C00719C2552}"/>
    <cellStyle name="40% - Accent1 2 2 2 5 2 5" xfId="30343" xr:uid="{46DC0055-D292-47F8-A21F-F05B4982D973}"/>
    <cellStyle name="40% - Accent1 2 2 2 5 3" xfId="6208" xr:uid="{00000000-0005-0000-0000-0000D4030000}"/>
    <cellStyle name="40% - Accent1 2 2 2 5 3 2" xfId="15534" xr:uid="{74FBD589-CA90-4F85-BEE0-E2750E3E5374}"/>
    <cellStyle name="40% - Accent1 2 2 2 5 3 3" xfId="23975" xr:uid="{1DC8D858-D443-458D-818C-01792F1748F4}"/>
    <cellStyle name="40% - Accent1 2 2 2 5 3 4" xfId="32415" xr:uid="{143B0210-C3FC-498C-B917-8BB2A7D972B3}"/>
    <cellStyle name="40% - Accent1 2 2 2 5 4" xfId="11317" xr:uid="{86051670-9781-474F-971E-EBAD5DE73874}"/>
    <cellStyle name="40% - Accent1 2 2 2 5 5" xfId="19758" xr:uid="{04234D3B-20F7-4737-ADFF-693B1C449A43}"/>
    <cellStyle name="40% - Accent1 2 2 2 5 6" xfId="28198" xr:uid="{47D0EA70-53F2-4F50-A1A0-7237C32ECD9E}"/>
    <cellStyle name="40% - Accent1 2 2 2 6" xfId="2315" xr:uid="{00000000-0005-0000-0000-0000D5030000}"/>
    <cellStyle name="40% - Accent1 2 2 2 6 2" xfId="6621" xr:uid="{00000000-0005-0000-0000-0000D6030000}"/>
    <cellStyle name="40% - Accent1 2 2 2 6 2 2" xfId="15947" xr:uid="{4A2577DD-6C9D-485E-ABCD-D0F35448177B}"/>
    <cellStyle name="40% - Accent1 2 2 2 6 2 3" xfId="24388" xr:uid="{3860E325-CB7E-4DF2-A4FE-9A8F9535B1F8}"/>
    <cellStyle name="40% - Accent1 2 2 2 6 2 4" xfId="32828" xr:uid="{F5E953C4-BB39-4B26-9F89-4D7648ECD4E3}"/>
    <cellStyle name="40% - Accent1 2 2 2 6 3" xfId="11730" xr:uid="{3B82FF06-3852-4598-8015-01848700E9A9}"/>
    <cellStyle name="40% - Accent1 2 2 2 6 4" xfId="20171" xr:uid="{20528F84-E142-4D1D-AD02-FDDE8077134F}"/>
    <cellStyle name="40% - Accent1 2 2 2 6 5" xfId="28611" xr:uid="{74C6C7AA-546B-4F23-A238-74CD872EBA44}"/>
    <cellStyle name="40% - Accent1 2 2 2 7" xfId="4555" xr:uid="{00000000-0005-0000-0000-0000D7030000}"/>
    <cellStyle name="40% - Accent1 2 2 2 7 2" xfId="13881" xr:uid="{ED8DF6F0-ECB8-49CE-A6F9-C12ABB7FACEB}"/>
    <cellStyle name="40% - Accent1 2 2 2 7 3" xfId="22322" xr:uid="{33821999-047C-4D1F-A49D-9980AC41AC84}"/>
    <cellStyle name="40% - Accent1 2 2 2 7 4" xfId="30762" xr:uid="{13F512D8-75DD-4869-8578-C2158F505F68}"/>
    <cellStyle name="40% - Accent1 2 2 2 8" xfId="9108" xr:uid="{1189B5E8-DD3C-4F9A-ACD3-DB853C0AC60B}"/>
    <cellStyle name="40% - Accent1 2 2 2 9" xfId="9664" xr:uid="{4EF8FE4E-3423-4266-91D6-20987C188B0B}"/>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7894C684-2125-4F37-9C5D-8394ED239194}"/>
    <cellStyle name="40% - Accent1 2 2 3 2 2 3" xfId="24880" xr:uid="{5C43F3F1-E013-4285-8707-552BFA53B83F}"/>
    <cellStyle name="40% - Accent1 2 2 3 2 2 4" xfId="33320" xr:uid="{106B8E1F-807F-4AE7-883D-806DC66BE4B2}"/>
    <cellStyle name="40% - Accent1 2 2 3 2 3" xfId="12222" xr:uid="{2E359640-7079-43D9-A240-37C11D4F092F}"/>
    <cellStyle name="40% - Accent1 2 2 3 2 4" xfId="20663" xr:uid="{3D2ED54B-B116-42BB-BF6C-069C3384FD63}"/>
    <cellStyle name="40% - Accent1 2 2 3 2 5" xfId="29103" xr:uid="{29A142B4-11EB-4529-998B-45FE22507F8D}"/>
    <cellStyle name="40% - Accent1 2 2 3 3" xfId="4968" xr:uid="{00000000-0005-0000-0000-0000DB030000}"/>
    <cellStyle name="40% - Accent1 2 2 3 3 2" xfId="14294" xr:uid="{E9756C88-A339-47DC-9ADC-252AA384D8AA}"/>
    <cellStyle name="40% - Accent1 2 2 3 3 3" xfId="22735" xr:uid="{24CC994E-9AA8-4A19-B45F-DD813C00BA07}"/>
    <cellStyle name="40% - Accent1 2 2 3 3 4" xfId="31175" xr:uid="{5E511488-E14A-4D57-8FF6-3125915619B2}"/>
    <cellStyle name="40% - Accent1 2 2 3 4" xfId="9326" xr:uid="{6D693950-F4D3-4A82-8C01-49E2379281D4}"/>
    <cellStyle name="40% - Accent1 2 2 3 5" xfId="10077" xr:uid="{AB275565-902F-4339-93CA-E212DB83BFF4}"/>
    <cellStyle name="40% - Accent1 2 2 3 6" xfId="18518" xr:uid="{A1079037-411C-464F-811D-3791705D6FE0}"/>
    <cellStyle name="40% - Accent1 2 2 3 7" xfId="26958" xr:uid="{278C3953-857F-48FE-8B56-DEA86DF81044}"/>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EA13694B-1F7D-4E91-8F27-E4F7254DB86E}"/>
    <cellStyle name="40% - Accent1 2 2 4 2 2 3" xfId="25293" xr:uid="{16B63757-FCFF-4EB7-BFC1-A47298134217}"/>
    <cellStyle name="40% - Accent1 2 2 4 2 2 4" xfId="33733" xr:uid="{82E860AC-70C6-41B8-8100-761F5DC3CF34}"/>
    <cellStyle name="40% - Accent1 2 2 4 2 3" xfId="12635" xr:uid="{DD956AA0-8856-4609-BF9D-2A518643652C}"/>
    <cellStyle name="40% - Accent1 2 2 4 2 4" xfId="21076" xr:uid="{DFBA75D0-8EA1-41B2-AF31-9A05FDA275B0}"/>
    <cellStyle name="40% - Accent1 2 2 4 2 5" xfId="29516" xr:uid="{E171CF85-E4AE-495F-B854-7C0230BEFE1E}"/>
    <cellStyle name="40% - Accent1 2 2 4 3" xfId="5381" xr:uid="{00000000-0005-0000-0000-0000DF030000}"/>
    <cellStyle name="40% - Accent1 2 2 4 3 2" xfId="14707" xr:uid="{424CD814-9727-44AF-B5C9-29BFCED0841D}"/>
    <cellStyle name="40% - Accent1 2 2 4 3 3" xfId="23148" xr:uid="{026105E0-DCEF-4B89-9C54-6ACC38E20DA4}"/>
    <cellStyle name="40% - Accent1 2 2 4 3 4" xfId="31588" xr:uid="{48149456-37DB-4E94-BCB4-C72B2EE84A2A}"/>
    <cellStyle name="40% - Accent1 2 2 4 4" xfId="10490" xr:uid="{30F8DF46-2E29-4AEE-9C69-75B3FE2A9D93}"/>
    <cellStyle name="40% - Accent1 2 2 4 5" xfId="18931" xr:uid="{9FB8FF6B-3949-421D-B95C-38321893FAD6}"/>
    <cellStyle name="40% - Accent1 2 2 4 6" xfId="27371" xr:uid="{A877060B-12CC-4889-9D71-6ADD339FC795}"/>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9D7F926B-53F3-404E-85B9-60B23ECD4596}"/>
    <cellStyle name="40% - Accent1 2 2 5 2 2 3" xfId="25706" xr:uid="{1ED54BA6-E1AD-4356-99F7-B94B1F643A21}"/>
    <cellStyle name="40% - Accent1 2 2 5 2 2 4" xfId="34146" xr:uid="{AD5686CE-96B0-4320-B4A0-A47E3A9FA92D}"/>
    <cellStyle name="40% - Accent1 2 2 5 2 3" xfId="13048" xr:uid="{E6B1F9E5-F6C4-4958-9FF2-B54EFB31A79D}"/>
    <cellStyle name="40% - Accent1 2 2 5 2 4" xfId="21489" xr:uid="{B11A5C5A-9C34-4758-AAF0-DB0899EAA52C}"/>
    <cellStyle name="40% - Accent1 2 2 5 2 5" xfId="29929" xr:uid="{76A7E658-A246-4369-9F06-00F167433792}"/>
    <cellStyle name="40% - Accent1 2 2 5 3" xfId="5794" xr:uid="{00000000-0005-0000-0000-0000E3030000}"/>
    <cellStyle name="40% - Accent1 2 2 5 3 2" xfId="15120" xr:uid="{2112F84E-B75B-4518-8167-A962DD27DCCF}"/>
    <cellStyle name="40% - Accent1 2 2 5 3 3" xfId="23561" xr:uid="{90FC9630-4E66-4550-836F-4FC0F55FE933}"/>
    <cellStyle name="40% - Accent1 2 2 5 3 4" xfId="32001" xr:uid="{22B072BC-80DC-4EA0-8C77-568620FE4D22}"/>
    <cellStyle name="40% - Accent1 2 2 5 4" xfId="10903" xr:uid="{BDC9373D-04B4-4B82-97C7-69EA6456EF51}"/>
    <cellStyle name="40% - Accent1 2 2 5 5" xfId="19344" xr:uid="{6EA0F2AD-FF5F-46A7-84C7-41CA88B03990}"/>
    <cellStyle name="40% - Accent1 2 2 5 6" xfId="27784" xr:uid="{5846F079-9E77-425C-B5EC-5647C8744A41}"/>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E51B52AF-87A8-4143-9F62-8948EAD49C52}"/>
    <cellStyle name="40% - Accent1 2 2 6 2 2 3" xfId="26119" xr:uid="{8EFF573E-3EAD-4DD7-BF17-D36049CAA4C4}"/>
    <cellStyle name="40% - Accent1 2 2 6 2 2 4" xfId="34559" xr:uid="{C7D7FF3A-8E17-40D8-9AAC-1CBCB9306B8C}"/>
    <cellStyle name="40% - Accent1 2 2 6 2 3" xfId="13461" xr:uid="{8A94321F-8379-4DE4-821B-0900F7DA40B6}"/>
    <cellStyle name="40% - Accent1 2 2 6 2 4" xfId="21902" xr:uid="{6C0068F5-E855-4F22-8FB6-0D612CA9478E}"/>
    <cellStyle name="40% - Accent1 2 2 6 2 5" xfId="30342" xr:uid="{96A0AE94-86E2-487D-828E-8CD016734361}"/>
    <cellStyle name="40% - Accent1 2 2 6 3" xfId="6207" xr:uid="{00000000-0005-0000-0000-0000E7030000}"/>
    <cellStyle name="40% - Accent1 2 2 6 3 2" xfId="15533" xr:uid="{E2225FB0-FB4F-460A-B380-648C0A0E75B1}"/>
    <cellStyle name="40% - Accent1 2 2 6 3 3" xfId="23974" xr:uid="{1C72FCC9-C855-4F2F-BF4A-675E82EE0863}"/>
    <cellStyle name="40% - Accent1 2 2 6 3 4" xfId="32414" xr:uid="{978278EA-B46C-4ECD-9B6F-112F64D72429}"/>
    <cellStyle name="40% - Accent1 2 2 6 4" xfId="11316" xr:uid="{2948FD10-B52D-4DC8-9601-48B2664E3552}"/>
    <cellStyle name="40% - Accent1 2 2 6 5" xfId="19757" xr:uid="{FA00A719-D4A1-4BA4-84F5-82B809C2B6D9}"/>
    <cellStyle name="40% - Accent1 2 2 6 6" xfId="28197" xr:uid="{9DAC35F1-89F0-40D5-AAB0-ADED47C353DC}"/>
    <cellStyle name="40% - Accent1 2 2 7" xfId="2314" xr:uid="{00000000-0005-0000-0000-0000E8030000}"/>
    <cellStyle name="40% - Accent1 2 2 7 2" xfId="6620" xr:uid="{00000000-0005-0000-0000-0000E9030000}"/>
    <cellStyle name="40% - Accent1 2 2 7 2 2" xfId="15946" xr:uid="{12F7FBA3-725A-4ED7-A2E0-9B3107505C08}"/>
    <cellStyle name="40% - Accent1 2 2 7 2 3" xfId="24387" xr:uid="{2CF9B67A-7772-4AC9-A6CA-811D7C62047F}"/>
    <cellStyle name="40% - Accent1 2 2 7 2 4" xfId="32827" xr:uid="{FDCE0EC5-0A2A-4B7B-B7D6-32B56F47E4F1}"/>
    <cellStyle name="40% - Accent1 2 2 7 3" xfId="11729" xr:uid="{EB0E86D0-F233-4C80-A21A-7084D96E28A6}"/>
    <cellStyle name="40% - Accent1 2 2 7 4" xfId="20170" xr:uid="{3320D607-1E2A-42EC-862C-68B99BADB759}"/>
    <cellStyle name="40% - Accent1 2 2 7 5" xfId="28610" xr:uid="{EC0280E3-7AF8-496B-9FF2-AAD65A4E45D7}"/>
    <cellStyle name="40% - Accent1 2 2 8" xfId="4554" xr:uid="{00000000-0005-0000-0000-0000EA030000}"/>
    <cellStyle name="40% - Accent1 2 2 8 2" xfId="13880" xr:uid="{FC49F546-0E42-4812-8317-B6DC16A76BF3}"/>
    <cellStyle name="40% - Accent1 2 2 8 3" xfId="22321" xr:uid="{D8C5FC7F-07FB-45F5-9FBD-09F298683BC2}"/>
    <cellStyle name="40% - Accent1 2 2 8 4" xfId="30761" xr:uid="{6B4A5B9D-44EC-4AB6-800C-4F3F39562B6B}"/>
    <cellStyle name="40% - Accent1 2 2 9" xfId="8901" xr:uid="{10130317-AF31-4351-8201-FD8BD447EA3C}"/>
    <cellStyle name="40% - Accent1 2 3" xfId="53" xr:uid="{00000000-0005-0000-0000-0000EB030000}"/>
    <cellStyle name="40% - Accent1 2 3 10" xfId="18106" xr:uid="{EC54490C-44F8-406F-ACE2-8FE3E7B611B8}"/>
    <cellStyle name="40% - Accent1 2 3 11" xfId="26546" xr:uid="{D0139E88-73A1-4B13-9B0B-D4469C0F302C}"/>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D5776493-552B-44E3-B308-EFF4C6D0F56F}"/>
    <cellStyle name="40% - Accent1 2 3 2 2 2 3" xfId="24882" xr:uid="{536B7E47-19C6-45B8-BC4B-201494DFC347}"/>
    <cellStyle name="40% - Accent1 2 3 2 2 2 4" xfId="33322" xr:uid="{9B65AF60-8290-49B4-B63A-6227449F595C}"/>
    <cellStyle name="40% - Accent1 2 3 2 2 3" xfId="12224" xr:uid="{0ABBEE10-C0CF-4AF7-92E6-43BBD0F9DF77}"/>
    <cellStyle name="40% - Accent1 2 3 2 2 4" xfId="20665" xr:uid="{520343AB-C64E-42F0-B6A6-B9F5B8645335}"/>
    <cellStyle name="40% - Accent1 2 3 2 2 5" xfId="29105" xr:uid="{53009D48-394B-44CD-9846-5153F024E537}"/>
    <cellStyle name="40% - Accent1 2 3 2 3" xfId="4970" xr:uid="{00000000-0005-0000-0000-0000EF030000}"/>
    <cellStyle name="40% - Accent1 2 3 2 3 2" xfId="14296" xr:uid="{0F9AFAED-D4C9-4FC8-B7DF-232D840F9BB8}"/>
    <cellStyle name="40% - Accent1 2 3 2 3 3" xfId="22737" xr:uid="{BE2C636E-1969-4724-811A-2505A6137F58}"/>
    <cellStyle name="40% - Accent1 2 3 2 3 4" xfId="31177" xr:uid="{1B1AD27F-90C5-4DAF-BFE8-B08CD1BF7D61}"/>
    <cellStyle name="40% - Accent1 2 3 2 4" xfId="9430" xr:uid="{C79D1FB2-141C-4301-8F37-B3B9643C0550}"/>
    <cellStyle name="40% - Accent1 2 3 2 5" xfId="10079" xr:uid="{A6AD5FCD-7B55-4302-8243-20C55DC0F335}"/>
    <cellStyle name="40% - Accent1 2 3 2 6" xfId="18520" xr:uid="{561934FD-D3B6-4FA9-88B9-335D0C2EF8A6}"/>
    <cellStyle name="40% - Accent1 2 3 2 7" xfId="26960" xr:uid="{4801BF96-8ADB-4183-A750-DD24091EED40}"/>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E33DD5D0-5CD0-4ABE-9A96-C74DEF95899B}"/>
    <cellStyle name="40% - Accent1 2 3 3 2 2 3" xfId="25295" xr:uid="{46953595-C4D9-482A-AD69-16C8C976F716}"/>
    <cellStyle name="40% - Accent1 2 3 3 2 2 4" xfId="33735" xr:uid="{FB715E46-7711-416F-B255-D9AA46EDD1D3}"/>
    <cellStyle name="40% - Accent1 2 3 3 2 3" xfId="12637" xr:uid="{498BBCE9-40A6-4D98-9A70-07F000FB01E5}"/>
    <cellStyle name="40% - Accent1 2 3 3 2 4" xfId="21078" xr:uid="{E1F2084C-F432-43AC-A96D-187F325AFFC6}"/>
    <cellStyle name="40% - Accent1 2 3 3 2 5" xfId="29518" xr:uid="{A908C054-638D-49D2-A1B3-464F7099F605}"/>
    <cellStyle name="40% - Accent1 2 3 3 3" xfId="5383" xr:uid="{00000000-0005-0000-0000-0000F3030000}"/>
    <cellStyle name="40% - Accent1 2 3 3 3 2" xfId="14709" xr:uid="{8331DAE0-B2D4-42BE-89A0-30AB76E354D6}"/>
    <cellStyle name="40% - Accent1 2 3 3 3 3" xfId="23150" xr:uid="{91FA231E-D222-4231-B370-12CE47B364F1}"/>
    <cellStyle name="40% - Accent1 2 3 3 3 4" xfId="31590" xr:uid="{463F2E29-DE97-44F1-BE24-4D6E8B83EF4B}"/>
    <cellStyle name="40% - Accent1 2 3 3 4" xfId="10492" xr:uid="{2509ECA0-F947-4D45-9ED1-CBE15AE685E3}"/>
    <cellStyle name="40% - Accent1 2 3 3 5" xfId="18933" xr:uid="{E36BC696-C904-42CC-89F1-DD7E3B52AA3A}"/>
    <cellStyle name="40% - Accent1 2 3 3 6" xfId="27373" xr:uid="{22A18E97-F973-42CA-8C3A-38C99090F7EB}"/>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4CB77342-4212-4C28-AFA4-CD3B4AEDD09C}"/>
    <cellStyle name="40% - Accent1 2 3 4 2 2 3" xfId="25708" xr:uid="{C2ADA8F8-2D1E-490A-81B9-5E574CDB5B44}"/>
    <cellStyle name="40% - Accent1 2 3 4 2 2 4" xfId="34148" xr:uid="{62FE401C-3F90-454A-A249-250DE998C6BC}"/>
    <cellStyle name="40% - Accent1 2 3 4 2 3" xfId="13050" xr:uid="{162F873A-2215-424C-81C9-B9F7044E1820}"/>
    <cellStyle name="40% - Accent1 2 3 4 2 4" xfId="21491" xr:uid="{2A89EBA6-911F-4B57-A370-869C9725FB64}"/>
    <cellStyle name="40% - Accent1 2 3 4 2 5" xfId="29931" xr:uid="{5B4F7CA1-FE79-48C5-96A0-729629F91BA4}"/>
    <cellStyle name="40% - Accent1 2 3 4 3" xfId="5796" xr:uid="{00000000-0005-0000-0000-0000F7030000}"/>
    <cellStyle name="40% - Accent1 2 3 4 3 2" xfId="15122" xr:uid="{850828D6-556F-481C-89DA-603364F4FDB6}"/>
    <cellStyle name="40% - Accent1 2 3 4 3 3" xfId="23563" xr:uid="{83EC07D2-14DD-45E4-9932-E8CB02DFB2F7}"/>
    <cellStyle name="40% - Accent1 2 3 4 3 4" xfId="32003" xr:uid="{2279FC40-FD7C-4890-B526-FBA2970FE864}"/>
    <cellStyle name="40% - Accent1 2 3 4 4" xfId="10905" xr:uid="{2E726CDC-2F34-4E56-AA63-E90E4EF314BC}"/>
    <cellStyle name="40% - Accent1 2 3 4 5" xfId="19346" xr:uid="{BF74DB3A-70AA-4B53-AA23-B54E1032A5A8}"/>
    <cellStyle name="40% - Accent1 2 3 4 6" xfId="27786" xr:uid="{53CD8FB9-E119-4822-9545-BF1C5A85C8C7}"/>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AAE7FFE6-FADB-4E84-A94C-2BEAE5F4836E}"/>
    <cellStyle name="40% - Accent1 2 3 5 2 2 3" xfId="26121" xr:uid="{C59E201B-1512-49EF-8D0B-9810E2C25468}"/>
    <cellStyle name="40% - Accent1 2 3 5 2 2 4" xfId="34561" xr:uid="{F1517DE4-F27C-4463-B35D-455E3C5E0609}"/>
    <cellStyle name="40% - Accent1 2 3 5 2 3" xfId="13463" xr:uid="{E74DCE0D-577A-4068-846B-967A34BC682A}"/>
    <cellStyle name="40% - Accent1 2 3 5 2 4" xfId="21904" xr:uid="{E9E58447-6DAD-4105-9A07-1CC1918BCC34}"/>
    <cellStyle name="40% - Accent1 2 3 5 2 5" xfId="30344" xr:uid="{3DD6CEB2-C1F0-4B7E-BE12-4009C0355BAF}"/>
    <cellStyle name="40% - Accent1 2 3 5 3" xfId="6209" xr:uid="{00000000-0005-0000-0000-0000FB030000}"/>
    <cellStyle name="40% - Accent1 2 3 5 3 2" xfId="15535" xr:uid="{27D43BC2-81E4-46BE-A1F2-6828A1458722}"/>
    <cellStyle name="40% - Accent1 2 3 5 3 3" xfId="23976" xr:uid="{9A928E8B-00D7-46BB-93CD-134BCA0540AC}"/>
    <cellStyle name="40% - Accent1 2 3 5 3 4" xfId="32416" xr:uid="{8588901C-0EE5-4305-AA77-2ED31CCB0B71}"/>
    <cellStyle name="40% - Accent1 2 3 5 4" xfId="11318" xr:uid="{808B129E-4C5C-46FA-B648-8A903F024418}"/>
    <cellStyle name="40% - Accent1 2 3 5 5" xfId="19759" xr:uid="{DC3338D0-D0E8-4CC1-8EC8-8E916EE5A3C7}"/>
    <cellStyle name="40% - Accent1 2 3 5 6" xfId="28199" xr:uid="{E5AA1B84-616B-4945-A3DD-00F6B94F3FA7}"/>
    <cellStyle name="40% - Accent1 2 3 6" xfId="2316" xr:uid="{00000000-0005-0000-0000-0000FC030000}"/>
    <cellStyle name="40% - Accent1 2 3 6 2" xfId="6622" xr:uid="{00000000-0005-0000-0000-0000FD030000}"/>
    <cellStyle name="40% - Accent1 2 3 6 2 2" xfId="15948" xr:uid="{671FE988-754C-408E-94DF-4FAE55B11301}"/>
    <cellStyle name="40% - Accent1 2 3 6 2 3" xfId="24389" xr:uid="{11AB613B-1DF1-4DBA-B02E-B05C9FA17E09}"/>
    <cellStyle name="40% - Accent1 2 3 6 2 4" xfId="32829" xr:uid="{19A6E074-AF1B-4EFC-AB2B-697DC1013163}"/>
    <cellStyle name="40% - Accent1 2 3 6 3" xfId="11731" xr:uid="{F6ECC25F-9C40-44B5-B9BB-E7B2783A7AA6}"/>
    <cellStyle name="40% - Accent1 2 3 6 4" xfId="20172" xr:uid="{71772B74-23AC-4EC3-89A3-0FEE9437C0E1}"/>
    <cellStyle name="40% - Accent1 2 3 6 5" xfId="28612" xr:uid="{2A0BC5CF-77AA-42D8-B379-53F090457CE6}"/>
    <cellStyle name="40% - Accent1 2 3 7" xfId="4556" xr:uid="{00000000-0005-0000-0000-0000FE030000}"/>
    <cellStyle name="40% - Accent1 2 3 7 2" xfId="13882" xr:uid="{19628EE7-69E2-493B-8397-3D850EC9D573}"/>
    <cellStyle name="40% - Accent1 2 3 7 3" xfId="22323" xr:uid="{66CEF11C-FDB6-4C8E-AEF7-9A703E97BA34}"/>
    <cellStyle name="40% - Accent1 2 3 7 4" xfId="30763" xr:uid="{0140291C-9D81-4AA3-938F-B0A3DE9B0CF1}"/>
    <cellStyle name="40% - Accent1 2 3 8" xfId="9005" xr:uid="{83AF69B9-664F-4E19-B721-7989C2FEBC0C}"/>
    <cellStyle name="40% - Accent1 2 3 9" xfId="9665" xr:uid="{AAA1890C-43E8-40EF-93A3-56A8733B37C1}"/>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109072FA-1CCB-467A-BD4E-1F09DE6D6F0B}"/>
    <cellStyle name="40% - Accent1 2 4 2 2 3" xfId="24879" xr:uid="{B1F2C670-9461-4A9F-9DD0-45AC6BDCC2CE}"/>
    <cellStyle name="40% - Accent1 2 4 2 2 4" xfId="33319" xr:uid="{7FF57614-5F2E-4866-A056-A1ED5B526C02}"/>
    <cellStyle name="40% - Accent1 2 4 2 3" xfId="12221" xr:uid="{350A3509-BFB8-44A4-A513-F58D28896318}"/>
    <cellStyle name="40% - Accent1 2 4 2 4" xfId="20662" xr:uid="{0187045D-CD5A-4D96-8D22-1D1B3BC3CC3A}"/>
    <cellStyle name="40% - Accent1 2 4 2 5" xfId="29102" xr:uid="{F2A3FC0A-FB74-4FF0-A029-360449F76558}"/>
    <cellStyle name="40% - Accent1 2 4 3" xfId="4967" xr:uid="{00000000-0005-0000-0000-000002040000}"/>
    <cellStyle name="40% - Accent1 2 4 3 2" xfId="14293" xr:uid="{53F79DD8-161E-409B-8054-D84D6C14883A}"/>
    <cellStyle name="40% - Accent1 2 4 3 3" xfId="22734" xr:uid="{A0B7CE11-148D-454C-8544-01AEC32F083E}"/>
    <cellStyle name="40% - Accent1 2 4 3 4" xfId="31174" xr:uid="{980B0E32-FF82-4C78-BFFF-E741284533E2}"/>
    <cellStyle name="40% - Accent1 2 4 4" xfId="9222" xr:uid="{A6B83122-AC98-4E58-AA4D-EC5ECC38FC6B}"/>
    <cellStyle name="40% - Accent1 2 4 5" xfId="10076" xr:uid="{509BB415-5DE6-41B4-99F8-0376953B30DF}"/>
    <cellStyle name="40% - Accent1 2 4 6" xfId="18517" xr:uid="{336BA48A-41E0-4A7E-ACB7-E0616023D256}"/>
    <cellStyle name="40% - Accent1 2 4 7" xfId="26957" xr:uid="{4BB8D96B-4337-4FE3-B4BF-4C8E516B19B4}"/>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68898CDB-2D27-4A04-AED3-28D66D803539}"/>
    <cellStyle name="40% - Accent1 2 5 2 2 3" xfId="25292" xr:uid="{FC49688E-620C-4669-BF60-B5CD2328E560}"/>
    <cellStyle name="40% - Accent1 2 5 2 2 4" xfId="33732" xr:uid="{4AFA26E9-A8D4-40B9-B923-080E49777691}"/>
    <cellStyle name="40% - Accent1 2 5 2 3" xfId="12634" xr:uid="{F540CB94-F029-4F56-9E0A-C4E081A95AD6}"/>
    <cellStyle name="40% - Accent1 2 5 2 4" xfId="21075" xr:uid="{E2A3368A-F7B2-443F-854F-A3F94D45F3E6}"/>
    <cellStyle name="40% - Accent1 2 5 2 5" xfId="29515" xr:uid="{E2953D81-A33C-4122-A482-A5CA203BADEF}"/>
    <cellStyle name="40% - Accent1 2 5 3" xfId="5380" xr:uid="{00000000-0005-0000-0000-000006040000}"/>
    <cellStyle name="40% - Accent1 2 5 3 2" xfId="14706" xr:uid="{D93DDD5D-550B-4347-96FD-0ACC9BDC733C}"/>
    <cellStyle name="40% - Accent1 2 5 3 3" xfId="23147" xr:uid="{EDCF623B-3332-4210-BDF0-50839F12AE81}"/>
    <cellStyle name="40% - Accent1 2 5 3 4" xfId="31587" xr:uid="{A7D9D046-A015-4510-A9B7-CFFE5EDA0AF3}"/>
    <cellStyle name="40% - Accent1 2 5 4" xfId="10489" xr:uid="{09261905-3DC8-4302-B98D-DEE16C57B75F}"/>
    <cellStyle name="40% - Accent1 2 5 5" xfId="18930" xr:uid="{E2B1C5A2-5EDD-4540-A51D-EACB58A53456}"/>
    <cellStyle name="40% - Accent1 2 5 6" xfId="27370" xr:uid="{1CB5202E-39E4-4538-B203-C0259A2CE8E1}"/>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4540B430-EDAA-40DD-BE6A-9514711EE2AB}"/>
    <cellStyle name="40% - Accent1 2 6 2 2 3" xfId="25705" xr:uid="{57392246-7E7C-4C87-BF98-51CD87D87AD8}"/>
    <cellStyle name="40% - Accent1 2 6 2 2 4" xfId="34145" xr:uid="{611FD083-FDCC-4D14-91D7-2C72A6F7AE5C}"/>
    <cellStyle name="40% - Accent1 2 6 2 3" xfId="13047" xr:uid="{67E42E5F-811C-4AD9-B71F-CD43C780BF30}"/>
    <cellStyle name="40% - Accent1 2 6 2 4" xfId="21488" xr:uid="{232B9437-CA69-4AD6-BD7D-C09D745C24B6}"/>
    <cellStyle name="40% - Accent1 2 6 2 5" xfId="29928" xr:uid="{EB9B0B27-3180-44A4-A8B4-09D453C021A0}"/>
    <cellStyle name="40% - Accent1 2 6 3" xfId="5793" xr:uid="{00000000-0005-0000-0000-00000A040000}"/>
    <cellStyle name="40% - Accent1 2 6 3 2" xfId="15119" xr:uid="{A0AC7A37-5A44-471F-AC53-72B3BE312C67}"/>
    <cellStyle name="40% - Accent1 2 6 3 3" xfId="23560" xr:uid="{95C8FD9B-6D57-449B-87FF-73CC27D294E1}"/>
    <cellStyle name="40% - Accent1 2 6 3 4" xfId="32000" xr:uid="{7192A43E-D493-4624-B82F-30356BEE5A49}"/>
    <cellStyle name="40% - Accent1 2 6 4" xfId="10902" xr:uid="{9793A919-5B9B-43F3-9058-68A3E72FE0C7}"/>
    <cellStyle name="40% - Accent1 2 6 5" xfId="19343" xr:uid="{2D99B931-D6CA-4714-A963-313E800C86CF}"/>
    <cellStyle name="40% - Accent1 2 6 6" xfId="27783" xr:uid="{EB00709C-C6FF-4BE0-A3F8-82ADEFBC297B}"/>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7BBB1AE8-2E32-46C2-BEAE-8BF120B7A219}"/>
    <cellStyle name="40% - Accent1 2 7 2 2 3" xfId="26118" xr:uid="{17262723-53B8-496B-8642-3632E27FEB7F}"/>
    <cellStyle name="40% - Accent1 2 7 2 2 4" xfId="34558" xr:uid="{8D6D6A7D-7824-44FE-A31E-DBBFF5F40A0D}"/>
    <cellStyle name="40% - Accent1 2 7 2 3" xfId="13460" xr:uid="{C6181232-34C5-4C12-B41D-225CCD812B7D}"/>
    <cellStyle name="40% - Accent1 2 7 2 4" xfId="21901" xr:uid="{B4E4F9DE-E32E-4D4C-8B37-18491843B776}"/>
    <cellStyle name="40% - Accent1 2 7 2 5" xfId="30341" xr:uid="{BDD9471D-64FC-44EE-BF4D-A5990078C2F8}"/>
    <cellStyle name="40% - Accent1 2 7 3" xfId="6206" xr:uid="{00000000-0005-0000-0000-00000E040000}"/>
    <cellStyle name="40% - Accent1 2 7 3 2" xfId="15532" xr:uid="{FCFE4821-F79B-4563-B363-13D294ECEB8A}"/>
    <cellStyle name="40% - Accent1 2 7 3 3" xfId="23973" xr:uid="{741B26E9-CD2C-4C76-9048-E2389B44612A}"/>
    <cellStyle name="40% - Accent1 2 7 3 4" xfId="32413" xr:uid="{EB037776-453E-40BB-99FE-2E7EE36F91FE}"/>
    <cellStyle name="40% - Accent1 2 7 4" xfId="11315" xr:uid="{1A4AD478-E122-4AC6-9D59-A50A57AC3F54}"/>
    <cellStyle name="40% - Accent1 2 7 5" xfId="19756" xr:uid="{1475C5A2-72BC-494D-A2DC-6D96FCD8FFA4}"/>
    <cellStyle name="40% - Accent1 2 7 6" xfId="28196" xr:uid="{3D15B523-F190-4EFB-990D-62F9940F55A6}"/>
    <cellStyle name="40% - Accent1 2 8" xfId="2313" xr:uid="{00000000-0005-0000-0000-00000F040000}"/>
    <cellStyle name="40% - Accent1 2 8 2" xfId="6619" xr:uid="{00000000-0005-0000-0000-000010040000}"/>
    <cellStyle name="40% - Accent1 2 8 2 2" xfId="15945" xr:uid="{99673F71-FDFE-419B-B19F-C3F5DC30A4AF}"/>
    <cellStyle name="40% - Accent1 2 8 2 3" xfId="24386" xr:uid="{2E7BDCE0-224D-419A-9555-AF53805570BE}"/>
    <cellStyle name="40% - Accent1 2 8 2 4" xfId="32826" xr:uid="{F2F3D619-9A42-48D0-9421-D98C16D6CB7D}"/>
    <cellStyle name="40% - Accent1 2 8 3" xfId="11728" xr:uid="{469962CE-17D1-40CB-BDC1-672A247EBB56}"/>
    <cellStyle name="40% - Accent1 2 8 4" xfId="20169" xr:uid="{C30EA3AD-4026-4E74-9B3D-8B542A243015}"/>
    <cellStyle name="40% - Accent1 2 8 5" xfId="28609" xr:uid="{9D206AFD-63D1-4ECB-B685-2A1B373F8683}"/>
    <cellStyle name="40% - Accent1 2 9" xfId="4553" xr:uid="{00000000-0005-0000-0000-000011040000}"/>
    <cellStyle name="40% - Accent1 2 9 2" xfId="13879" xr:uid="{98621257-EB43-401A-940E-9A15939A9C2A}"/>
    <cellStyle name="40% - Accent1 2 9 3" xfId="22320" xr:uid="{453868DE-B3BA-49A0-A36E-18E2FE1FFBA6}"/>
    <cellStyle name="40% - Accent1 2 9 4" xfId="30760" xr:uid="{0987804B-80BC-40E0-B8A1-9AA1D94B6061}"/>
    <cellStyle name="40% - Accent1 3" xfId="54" xr:uid="{00000000-0005-0000-0000-000012040000}"/>
    <cellStyle name="40% - Accent1 3 10" xfId="9666" xr:uid="{4997AEA9-23B3-4799-ABD2-E4FA8175B717}"/>
    <cellStyle name="40% - Accent1 3 11" xfId="18107" xr:uid="{CFF3FEB0-BB22-455E-B203-83DBB0BE9794}"/>
    <cellStyle name="40% - Accent1 3 12" xfId="26547" xr:uid="{D27F6B80-90DA-493F-956E-4E64C0C750E6}"/>
    <cellStyle name="40% - Accent1 3 2" xfId="55" xr:uid="{00000000-0005-0000-0000-000013040000}"/>
    <cellStyle name="40% - Accent1 3 2 10" xfId="18108" xr:uid="{148D9269-274D-4B2D-8F62-38833792D3F6}"/>
    <cellStyle name="40% - Accent1 3 2 11" xfId="26548" xr:uid="{B6B18086-0EE9-46AC-8666-45AA6AB00259}"/>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2968F253-DCDE-4715-88D7-791E41780F35}"/>
    <cellStyle name="40% - Accent1 3 2 2 2 2 3" xfId="24884" xr:uid="{9DE403FC-F137-4ED6-924D-F616B4965B0F}"/>
    <cellStyle name="40% - Accent1 3 2 2 2 2 4" xfId="33324" xr:uid="{659CE715-303C-41F5-811A-4A9CD9DEF213}"/>
    <cellStyle name="40% - Accent1 3 2 2 2 3" xfId="12226" xr:uid="{DACF2D4B-867C-4F28-A2F8-DC684B07B610}"/>
    <cellStyle name="40% - Accent1 3 2 2 2 4" xfId="20667" xr:uid="{F548C65C-1E38-4EC3-8EED-C0DA40911B43}"/>
    <cellStyle name="40% - Accent1 3 2 2 2 5" xfId="29107" xr:uid="{92CFAE06-EF2B-479B-BCD1-211A60E3EFEB}"/>
    <cellStyle name="40% - Accent1 3 2 2 3" xfId="4972" xr:uid="{00000000-0005-0000-0000-000017040000}"/>
    <cellStyle name="40% - Accent1 3 2 2 3 2" xfId="14298" xr:uid="{37EE4530-C1E6-4D15-AA98-167C36E4059B}"/>
    <cellStyle name="40% - Accent1 3 2 2 3 3" xfId="22739" xr:uid="{871F940C-8BA2-4E42-9E3D-AD53EABD8CA0}"/>
    <cellStyle name="40% - Accent1 3 2 2 3 4" xfId="31179" xr:uid="{28745F8B-6329-493D-A372-09ABBF456DF4}"/>
    <cellStyle name="40% - Accent1 3 2 2 4" xfId="9494" xr:uid="{49092FA9-F337-44E8-98C8-15711B1C1558}"/>
    <cellStyle name="40% - Accent1 3 2 2 5" xfId="10081" xr:uid="{FEA07B4A-3341-4BFD-84F3-2DDCACBAB189}"/>
    <cellStyle name="40% - Accent1 3 2 2 6" xfId="18522" xr:uid="{1503C02F-BDE8-433D-9084-571643DD6814}"/>
    <cellStyle name="40% - Accent1 3 2 2 7" xfId="26962" xr:uid="{5E8EA8A9-D10B-4FDD-ACB9-D0B434D59923}"/>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B3205683-23A2-4D7B-BE1C-2C5C4A6C24AD}"/>
    <cellStyle name="40% - Accent1 3 2 3 2 2 3" xfId="25297" xr:uid="{467C9920-A221-480D-9B5E-C84A87009FBA}"/>
    <cellStyle name="40% - Accent1 3 2 3 2 2 4" xfId="33737" xr:uid="{DAA61B17-735A-4115-BE3F-28DAF98BA875}"/>
    <cellStyle name="40% - Accent1 3 2 3 2 3" xfId="12639" xr:uid="{EB60A6C9-2B95-449B-9CCD-03097A0ADA38}"/>
    <cellStyle name="40% - Accent1 3 2 3 2 4" xfId="21080" xr:uid="{E2CE4758-932B-4312-8E54-0B0F0DCDA1FC}"/>
    <cellStyle name="40% - Accent1 3 2 3 2 5" xfId="29520" xr:uid="{7361C62B-A071-424A-9439-E491285FA487}"/>
    <cellStyle name="40% - Accent1 3 2 3 3" xfId="5385" xr:uid="{00000000-0005-0000-0000-00001B040000}"/>
    <cellStyle name="40% - Accent1 3 2 3 3 2" xfId="14711" xr:uid="{C700A63C-E4A5-4557-8A2A-F21E46D2C05C}"/>
    <cellStyle name="40% - Accent1 3 2 3 3 3" xfId="23152" xr:uid="{BE2C28D3-1F6B-4FE0-B782-109A7CE26D8B}"/>
    <cellStyle name="40% - Accent1 3 2 3 3 4" xfId="31592" xr:uid="{E5303C3B-07FF-464B-A473-407A7E104D04}"/>
    <cellStyle name="40% - Accent1 3 2 3 4" xfId="10494" xr:uid="{ED9584DF-CB1B-4729-BC59-D0F0EA3B1EEC}"/>
    <cellStyle name="40% - Accent1 3 2 3 5" xfId="18935" xr:uid="{FF5895B9-9461-4D3F-B43E-37AEAB88105C}"/>
    <cellStyle name="40% - Accent1 3 2 3 6" xfId="27375" xr:uid="{B9E55BD7-52BF-4FB0-8441-10C7FC090469}"/>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061F0A58-A4D9-42BF-B670-594E457FF966}"/>
    <cellStyle name="40% - Accent1 3 2 4 2 2 3" xfId="25710" xr:uid="{A8F891D2-D726-4367-B940-09FE44326363}"/>
    <cellStyle name="40% - Accent1 3 2 4 2 2 4" xfId="34150" xr:uid="{AF26AF0A-C657-4A7A-AB18-C442BBAF47A1}"/>
    <cellStyle name="40% - Accent1 3 2 4 2 3" xfId="13052" xr:uid="{1133D867-BC27-4E56-AD27-AF4A59C8A6BF}"/>
    <cellStyle name="40% - Accent1 3 2 4 2 4" xfId="21493" xr:uid="{4D4EBAD9-FB94-4E3F-AC31-A65C0B841576}"/>
    <cellStyle name="40% - Accent1 3 2 4 2 5" xfId="29933" xr:uid="{D978B53F-FF20-4EF9-B742-273DC5954BE5}"/>
    <cellStyle name="40% - Accent1 3 2 4 3" xfId="5798" xr:uid="{00000000-0005-0000-0000-00001F040000}"/>
    <cellStyle name="40% - Accent1 3 2 4 3 2" xfId="15124" xr:uid="{C16F78E6-0B63-41C5-97CC-982B81DBDE00}"/>
    <cellStyle name="40% - Accent1 3 2 4 3 3" xfId="23565" xr:uid="{808503AA-40C0-4127-8626-F76675302C6D}"/>
    <cellStyle name="40% - Accent1 3 2 4 3 4" xfId="32005" xr:uid="{F28D6E60-9703-4207-A778-69EB6513A6E4}"/>
    <cellStyle name="40% - Accent1 3 2 4 4" xfId="10907" xr:uid="{A6B6677D-8593-4BB5-8626-3DA6B5E3F070}"/>
    <cellStyle name="40% - Accent1 3 2 4 5" xfId="19348" xr:uid="{644C2995-0CEC-4670-9D67-8602A4C3BDF0}"/>
    <cellStyle name="40% - Accent1 3 2 4 6" xfId="27788" xr:uid="{BDE5E286-FD92-4A5B-99F9-7AA2B2CDAD3C}"/>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540FD82A-D2A8-4972-8C6A-6718C0A1779A}"/>
    <cellStyle name="40% - Accent1 3 2 5 2 2 3" xfId="26123" xr:uid="{571530A9-D54E-4809-9C85-68F93B2C85B4}"/>
    <cellStyle name="40% - Accent1 3 2 5 2 2 4" xfId="34563" xr:uid="{84CC1DC0-3861-49BE-84C2-CF88642F5395}"/>
    <cellStyle name="40% - Accent1 3 2 5 2 3" xfId="13465" xr:uid="{4D1C569B-5637-4E34-9F03-3DEFE3F9EC54}"/>
    <cellStyle name="40% - Accent1 3 2 5 2 4" xfId="21906" xr:uid="{B566708D-01CC-4380-9C91-752DDE134081}"/>
    <cellStyle name="40% - Accent1 3 2 5 2 5" xfId="30346" xr:uid="{51C13F44-5776-44D5-BAD5-1F924A40B29F}"/>
    <cellStyle name="40% - Accent1 3 2 5 3" xfId="6211" xr:uid="{00000000-0005-0000-0000-000023040000}"/>
    <cellStyle name="40% - Accent1 3 2 5 3 2" xfId="15537" xr:uid="{3AB3EBEA-6E32-49D9-AA4C-CE2C66B9A300}"/>
    <cellStyle name="40% - Accent1 3 2 5 3 3" xfId="23978" xr:uid="{3781C516-F4AF-452D-A9E2-B37B063FBD78}"/>
    <cellStyle name="40% - Accent1 3 2 5 3 4" xfId="32418" xr:uid="{D61433C0-C5E8-49F0-89DD-537FA9A95929}"/>
    <cellStyle name="40% - Accent1 3 2 5 4" xfId="11320" xr:uid="{6AAEE6A4-0A7D-4E16-A29A-E956A18B9735}"/>
    <cellStyle name="40% - Accent1 3 2 5 5" xfId="19761" xr:uid="{0A295713-4847-410E-8D1E-E7F214D5464A}"/>
    <cellStyle name="40% - Accent1 3 2 5 6" xfId="28201" xr:uid="{FC17EB0E-C384-4974-A24B-C44AD8929611}"/>
    <cellStyle name="40% - Accent1 3 2 6" xfId="2318" xr:uid="{00000000-0005-0000-0000-000024040000}"/>
    <cellStyle name="40% - Accent1 3 2 6 2" xfId="6624" xr:uid="{00000000-0005-0000-0000-000025040000}"/>
    <cellStyle name="40% - Accent1 3 2 6 2 2" xfId="15950" xr:uid="{E1E27D5A-1A98-49A8-86A0-53CDB47BC49C}"/>
    <cellStyle name="40% - Accent1 3 2 6 2 3" xfId="24391" xr:uid="{15274A4F-A3E2-44D9-A790-C63C28909CB6}"/>
    <cellStyle name="40% - Accent1 3 2 6 2 4" xfId="32831" xr:uid="{2F919982-B2F2-49F9-9516-E1931895FF6E}"/>
    <cellStyle name="40% - Accent1 3 2 6 3" xfId="11733" xr:uid="{7B9B6A66-31CC-4E7B-A072-EA4F3225FF44}"/>
    <cellStyle name="40% - Accent1 3 2 6 4" xfId="20174" xr:uid="{B72533F4-C7BF-4A9D-A2FB-15F11E003A17}"/>
    <cellStyle name="40% - Accent1 3 2 6 5" xfId="28614" xr:uid="{6DD0FFBD-F10F-4892-BE6C-6A1B9FB610B5}"/>
    <cellStyle name="40% - Accent1 3 2 7" xfId="4558" xr:uid="{00000000-0005-0000-0000-000026040000}"/>
    <cellStyle name="40% - Accent1 3 2 7 2" xfId="13884" xr:uid="{F003D721-770D-44E7-B463-9C5C7D5169A8}"/>
    <cellStyle name="40% - Accent1 3 2 7 3" xfId="22325" xr:uid="{5EEF8D93-D30A-4A08-8139-69F962A787A9}"/>
    <cellStyle name="40% - Accent1 3 2 7 4" xfId="30765" xr:uid="{E0179CF4-3071-40FF-85A5-08F5A564B329}"/>
    <cellStyle name="40% - Accent1 3 2 8" xfId="9069" xr:uid="{F3D9FD63-8946-4492-B81A-42936E8B246D}"/>
    <cellStyle name="40% - Accent1 3 2 9" xfId="9667" xr:uid="{826F0383-8295-44EC-8AB8-FF6EAD062D40}"/>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EE3E05D2-F104-4271-BCD8-A7487DE1B888}"/>
    <cellStyle name="40% - Accent1 3 3 2 2 3" xfId="24883" xr:uid="{77765CF1-9453-41F5-97FC-3ACE63BFEE43}"/>
    <cellStyle name="40% - Accent1 3 3 2 2 4" xfId="33323" xr:uid="{544DDE7A-46D6-4791-A412-B2D425A53AE3}"/>
    <cellStyle name="40% - Accent1 3 3 2 3" xfId="12225" xr:uid="{42FB2ED9-DCCA-4AEC-A889-E48E9401D1D4}"/>
    <cellStyle name="40% - Accent1 3 3 2 4" xfId="20666" xr:uid="{8E202B84-5EBE-4454-8A9C-8DDB49ED5BFC}"/>
    <cellStyle name="40% - Accent1 3 3 2 5" xfId="29106" xr:uid="{0C480EE1-622B-4FCD-AA0F-7205547251D4}"/>
    <cellStyle name="40% - Accent1 3 3 3" xfId="4971" xr:uid="{00000000-0005-0000-0000-00002A040000}"/>
    <cellStyle name="40% - Accent1 3 3 3 2" xfId="14297" xr:uid="{CF551461-448F-4F6C-B768-52195791EA3B}"/>
    <cellStyle name="40% - Accent1 3 3 3 3" xfId="22738" xr:uid="{EC37F26E-E1D5-4788-AC77-84A07EC29F87}"/>
    <cellStyle name="40% - Accent1 3 3 3 4" xfId="31178" xr:uid="{65474620-8C71-4A97-8C8C-C5DC0A3F6D18}"/>
    <cellStyle name="40% - Accent1 3 3 4" xfId="9287" xr:uid="{8C21B573-3D31-49DA-ACD8-D3EC7CC3A858}"/>
    <cellStyle name="40% - Accent1 3 3 5" xfId="10080" xr:uid="{696B93A6-48AC-4F06-B9EA-4F9A7D032A61}"/>
    <cellStyle name="40% - Accent1 3 3 6" xfId="18521" xr:uid="{1887D766-ACD9-4F5B-872B-F0598DD60907}"/>
    <cellStyle name="40% - Accent1 3 3 7" xfId="26961" xr:uid="{EEE8A15D-48B7-4EE2-8ED6-45AD271462DA}"/>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DBDA5D7F-A86A-4B02-9397-59F38C503FFF}"/>
    <cellStyle name="40% - Accent1 3 4 2 2 3" xfId="25296" xr:uid="{75E50B5E-F566-48C7-A9A4-572D05E47C00}"/>
    <cellStyle name="40% - Accent1 3 4 2 2 4" xfId="33736" xr:uid="{24B80B6F-893E-488E-8929-9A916D0CDAF2}"/>
    <cellStyle name="40% - Accent1 3 4 2 3" xfId="12638" xr:uid="{1FCDC314-AFB8-4D7C-9509-1BB884C1428A}"/>
    <cellStyle name="40% - Accent1 3 4 2 4" xfId="21079" xr:uid="{811F7BF5-398C-4993-B46F-FFADEFB1E721}"/>
    <cellStyle name="40% - Accent1 3 4 2 5" xfId="29519" xr:uid="{25CE0938-D2CF-4510-B632-5E0B47125B5F}"/>
    <cellStyle name="40% - Accent1 3 4 3" xfId="5384" xr:uid="{00000000-0005-0000-0000-00002E040000}"/>
    <cellStyle name="40% - Accent1 3 4 3 2" xfId="14710" xr:uid="{4567B0D4-3745-447E-9BD8-96ABEE640CD5}"/>
    <cellStyle name="40% - Accent1 3 4 3 3" xfId="23151" xr:uid="{D490A5B2-715D-4DA9-8BE9-C3953FAA6558}"/>
    <cellStyle name="40% - Accent1 3 4 3 4" xfId="31591" xr:uid="{CC1E7A94-9220-4143-8D56-BA8E5C06D12A}"/>
    <cellStyle name="40% - Accent1 3 4 4" xfId="10493" xr:uid="{8E9E49C2-B674-4A86-90B3-6DD5C324666D}"/>
    <cellStyle name="40% - Accent1 3 4 5" xfId="18934" xr:uid="{3BD70421-5464-4596-AAFA-5C3FEC022904}"/>
    <cellStyle name="40% - Accent1 3 4 6" xfId="27374" xr:uid="{AF571336-FD76-42AD-83AF-37364A54591C}"/>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0C45D56E-D779-4197-B102-99820BC84911}"/>
    <cellStyle name="40% - Accent1 3 5 2 2 3" xfId="25709" xr:uid="{BB5ED3A5-4744-42BB-A06F-8B4FA91DC0DD}"/>
    <cellStyle name="40% - Accent1 3 5 2 2 4" xfId="34149" xr:uid="{31C241DD-1B16-42A3-9B8D-17E8B82E7D6B}"/>
    <cellStyle name="40% - Accent1 3 5 2 3" xfId="13051" xr:uid="{06FBAA2E-76B1-4C68-B957-1AB461D71972}"/>
    <cellStyle name="40% - Accent1 3 5 2 4" xfId="21492" xr:uid="{ED2DBF80-245C-4F48-A974-155A4AA34DA7}"/>
    <cellStyle name="40% - Accent1 3 5 2 5" xfId="29932" xr:uid="{B61C5C95-5961-4C60-AEF3-8775A26CF273}"/>
    <cellStyle name="40% - Accent1 3 5 3" xfId="5797" xr:uid="{00000000-0005-0000-0000-000032040000}"/>
    <cellStyle name="40% - Accent1 3 5 3 2" xfId="15123" xr:uid="{3FE4F4FB-6A3B-4B60-8812-F926D633408E}"/>
    <cellStyle name="40% - Accent1 3 5 3 3" xfId="23564" xr:uid="{6604E70A-C1EF-4CB7-AACD-80FB74234362}"/>
    <cellStyle name="40% - Accent1 3 5 3 4" xfId="32004" xr:uid="{4593E195-7D20-4581-9F1B-99C9F3E3B3D7}"/>
    <cellStyle name="40% - Accent1 3 5 4" xfId="10906" xr:uid="{816C620C-19E0-4614-BA3E-F802B830BDA2}"/>
    <cellStyle name="40% - Accent1 3 5 5" xfId="19347" xr:uid="{E9E2ACB9-3688-4C01-A494-B54508823A90}"/>
    <cellStyle name="40% - Accent1 3 5 6" xfId="27787" xr:uid="{6283AE6C-990A-4E80-B7B5-ACF7FECC255A}"/>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854B4E6D-66D4-4F29-8200-EA1D04D1A25D}"/>
    <cellStyle name="40% - Accent1 3 6 2 2 3" xfId="26122" xr:uid="{18CC0A21-D1BA-4FC7-A654-0C7B3F7E624B}"/>
    <cellStyle name="40% - Accent1 3 6 2 2 4" xfId="34562" xr:uid="{F21B4FE5-BB5A-499C-86AA-91A9C5838904}"/>
    <cellStyle name="40% - Accent1 3 6 2 3" xfId="13464" xr:uid="{B4EE1FF7-1CFD-48CE-AA5E-0FF38E07A2B6}"/>
    <cellStyle name="40% - Accent1 3 6 2 4" xfId="21905" xr:uid="{48C1AC61-17C0-4B7C-9802-8FFDD8D0B905}"/>
    <cellStyle name="40% - Accent1 3 6 2 5" xfId="30345" xr:uid="{C4B11583-84A6-421C-8AEE-FAE971EBCD2C}"/>
    <cellStyle name="40% - Accent1 3 6 3" xfId="6210" xr:uid="{00000000-0005-0000-0000-000036040000}"/>
    <cellStyle name="40% - Accent1 3 6 3 2" xfId="15536" xr:uid="{262C5DA4-B327-4D42-A94A-FB59513431DD}"/>
    <cellStyle name="40% - Accent1 3 6 3 3" xfId="23977" xr:uid="{36A4ED2A-A277-495C-B0A7-130FBEE038D2}"/>
    <cellStyle name="40% - Accent1 3 6 3 4" xfId="32417" xr:uid="{57E3C5BD-6C81-4094-8A13-74CBFB64DA12}"/>
    <cellStyle name="40% - Accent1 3 6 4" xfId="11319" xr:uid="{DF6C1732-8D10-4EAB-B816-3FE9BB3006FC}"/>
    <cellStyle name="40% - Accent1 3 6 5" xfId="19760" xr:uid="{BF935B8D-2E86-43BB-A9C5-436268A900F3}"/>
    <cellStyle name="40% - Accent1 3 6 6" xfId="28200" xr:uid="{D9982D52-5AA9-4924-A560-22A066626089}"/>
    <cellStyle name="40% - Accent1 3 7" xfId="2317" xr:uid="{00000000-0005-0000-0000-000037040000}"/>
    <cellStyle name="40% - Accent1 3 7 2" xfId="6623" xr:uid="{00000000-0005-0000-0000-000038040000}"/>
    <cellStyle name="40% - Accent1 3 7 2 2" xfId="15949" xr:uid="{40277DE8-4DEC-4347-ADAC-BF35F2686098}"/>
    <cellStyle name="40% - Accent1 3 7 2 3" xfId="24390" xr:uid="{47133BEC-79C9-41E1-9FDB-5DA43CB0EAE9}"/>
    <cellStyle name="40% - Accent1 3 7 2 4" xfId="32830" xr:uid="{B4C8B80A-980F-4F6D-A08D-67AC5AF2B674}"/>
    <cellStyle name="40% - Accent1 3 7 3" xfId="11732" xr:uid="{1D6573C2-18DA-48A2-9B18-2BB65F5166F6}"/>
    <cellStyle name="40% - Accent1 3 7 4" xfId="20173" xr:uid="{D4498421-A458-4ADD-823A-A54D91C5E1C9}"/>
    <cellStyle name="40% - Accent1 3 7 5" xfId="28613" xr:uid="{721B83DB-5378-4812-B491-6765B7A3782E}"/>
    <cellStyle name="40% - Accent1 3 8" xfId="4557" xr:uid="{00000000-0005-0000-0000-000039040000}"/>
    <cellStyle name="40% - Accent1 3 8 2" xfId="13883" xr:uid="{4409C38A-2EB1-4830-BD5E-6639CBDF2AEA}"/>
    <cellStyle name="40% - Accent1 3 8 3" xfId="22324" xr:uid="{A873334B-C91B-4F78-9791-D2A0F261BCA9}"/>
    <cellStyle name="40% - Accent1 3 8 4" xfId="30764" xr:uid="{20022036-0053-4AC3-BEF4-E8ED2FFAC497}"/>
    <cellStyle name="40% - Accent1 3 9" xfId="8862" xr:uid="{2CC30516-31CA-485E-88BE-FCC7F9756A95}"/>
    <cellStyle name="40% - Accent1 4" xfId="56" xr:uid="{00000000-0005-0000-0000-00003A040000}"/>
    <cellStyle name="40% - Accent1 4 10" xfId="18109" xr:uid="{61796DE4-780C-46BF-91D5-103807D02116}"/>
    <cellStyle name="40% - Accent1 4 11" xfId="26549" xr:uid="{ACE7E4F9-8252-4564-B462-5EBE786BEC79}"/>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957F8238-5F80-4533-8990-7C4D5B243B50}"/>
    <cellStyle name="40% - Accent1 4 2 2 2 3" xfId="24885" xr:uid="{02B7823F-7D83-4D7A-950B-A3FA20E2F8C8}"/>
    <cellStyle name="40% - Accent1 4 2 2 2 4" xfId="33325" xr:uid="{30E5D2AF-8473-477E-95AB-0FC4A6FE666A}"/>
    <cellStyle name="40% - Accent1 4 2 2 3" xfId="12227" xr:uid="{77B31C65-52D6-4B91-BA7C-E5C0457556EC}"/>
    <cellStyle name="40% - Accent1 4 2 2 4" xfId="20668" xr:uid="{2C081274-C97F-4796-A223-EF03EFADF2DB}"/>
    <cellStyle name="40% - Accent1 4 2 2 5" xfId="29108" xr:uid="{74DD5232-16E3-43E6-B1F8-E818074A50BA}"/>
    <cellStyle name="40% - Accent1 4 2 3" xfId="4973" xr:uid="{00000000-0005-0000-0000-00003E040000}"/>
    <cellStyle name="40% - Accent1 4 2 3 2" xfId="14299" xr:uid="{D304AF5B-0222-4BF4-8E97-BCD2039FF490}"/>
    <cellStyle name="40% - Accent1 4 2 3 3" xfId="22740" xr:uid="{B71C6C7E-6C55-4051-8424-8D97CF67BF0A}"/>
    <cellStyle name="40% - Accent1 4 2 3 4" xfId="31180" xr:uid="{F882125D-2F06-4E06-B36E-C517CC85AB5C}"/>
    <cellStyle name="40% - Accent1 4 2 4" xfId="9373" xr:uid="{3BC949C7-8F86-44EA-9F10-CF277586B131}"/>
    <cellStyle name="40% - Accent1 4 2 5" xfId="10082" xr:uid="{28CCF76F-E8EB-4BBD-B3E8-5FB310F71B2D}"/>
    <cellStyle name="40% - Accent1 4 2 6" xfId="18523" xr:uid="{5526A498-4AEE-4ADD-8A98-B0C6EEA16B9F}"/>
    <cellStyle name="40% - Accent1 4 2 7" xfId="26963" xr:uid="{904AC5DB-B9A1-40E6-9AE1-3192B226B7D2}"/>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B8A30BB3-5BC7-4429-A637-E27662CCC767}"/>
    <cellStyle name="40% - Accent1 4 3 2 2 3" xfId="25298" xr:uid="{DF7497D9-0875-4D6C-8ADB-09A54648FDDB}"/>
    <cellStyle name="40% - Accent1 4 3 2 2 4" xfId="33738" xr:uid="{015034AB-5B10-48E7-8AC6-24FCB2A57C15}"/>
    <cellStyle name="40% - Accent1 4 3 2 3" xfId="12640" xr:uid="{2820B629-2139-4F5F-8A4E-06EA0D116415}"/>
    <cellStyle name="40% - Accent1 4 3 2 4" xfId="21081" xr:uid="{04B1ECFC-A586-4EA6-A34C-C3DE16D4D4CD}"/>
    <cellStyle name="40% - Accent1 4 3 2 5" xfId="29521" xr:uid="{9F285A4E-DF1C-4D41-B6BE-9B8B9D1D7BD7}"/>
    <cellStyle name="40% - Accent1 4 3 3" xfId="5386" xr:uid="{00000000-0005-0000-0000-000042040000}"/>
    <cellStyle name="40% - Accent1 4 3 3 2" xfId="14712" xr:uid="{D9BC6532-9DA9-49DA-902B-DA28B59A04DC}"/>
    <cellStyle name="40% - Accent1 4 3 3 3" xfId="23153" xr:uid="{0B1E5198-236A-4538-AF07-58542D64E78E}"/>
    <cellStyle name="40% - Accent1 4 3 3 4" xfId="31593" xr:uid="{B7BB8CDF-010A-405E-B949-73CF718A9C44}"/>
    <cellStyle name="40% - Accent1 4 3 4" xfId="10495" xr:uid="{A1340EC8-067D-494B-8463-2DB09AFD1A5D}"/>
    <cellStyle name="40% - Accent1 4 3 5" xfId="18936" xr:uid="{BAB369F1-0859-4B41-B2F4-A3F990CA8EA3}"/>
    <cellStyle name="40% - Accent1 4 3 6" xfId="27376" xr:uid="{4650EFC4-E463-4964-B4AB-1D189938713C}"/>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EE3BA7F9-E2E1-4845-B6A4-4A73034AA72C}"/>
    <cellStyle name="40% - Accent1 4 4 2 2 3" xfId="25711" xr:uid="{2B5D290E-590F-4647-819F-D4E6C171BDFD}"/>
    <cellStyle name="40% - Accent1 4 4 2 2 4" xfId="34151" xr:uid="{8BCE48BC-C366-455B-B568-80B17EBB3152}"/>
    <cellStyle name="40% - Accent1 4 4 2 3" xfId="13053" xr:uid="{EDADD9D8-DE71-46F7-99E8-069FC5A84A33}"/>
    <cellStyle name="40% - Accent1 4 4 2 4" xfId="21494" xr:uid="{8C24B15B-3085-4B77-8588-C77BF6A87621}"/>
    <cellStyle name="40% - Accent1 4 4 2 5" xfId="29934" xr:uid="{1A2477F4-8182-417A-A8C7-E49B11018246}"/>
    <cellStyle name="40% - Accent1 4 4 3" xfId="5799" xr:uid="{00000000-0005-0000-0000-000046040000}"/>
    <cellStyle name="40% - Accent1 4 4 3 2" xfId="15125" xr:uid="{8399FC12-117E-4ECB-9A46-761056192090}"/>
    <cellStyle name="40% - Accent1 4 4 3 3" xfId="23566" xr:uid="{ECE53648-D99D-4521-A2C4-31F68A4E2788}"/>
    <cellStyle name="40% - Accent1 4 4 3 4" xfId="32006" xr:uid="{C206AFEF-B2FF-4C2E-BFC3-675DFA331F94}"/>
    <cellStyle name="40% - Accent1 4 4 4" xfId="10908" xr:uid="{9E99F297-840A-430A-A966-3D6774558E77}"/>
    <cellStyle name="40% - Accent1 4 4 5" xfId="19349" xr:uid="{0C4BC362-1129-4BA2-BFCC-04942E8E20E0}"/>
    <cellStyle name="40% - Accent1 4 4 6" xfId="27789" xr:uid="{5E969B78-8FFB-4D92-9AA4-EB254C0D2660}"/>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76B59B1A-5143-46D9-AB2A-C10924B5DCC3}"/>
    <cellStyle name="40% - Accent1 4 5 2 2 3" xfId="26124" xr:uid="{DB6C2B7D-782B-4230-AED1-EE9F8FE4FD24}"/>
    <cellStyle name="40% - Accent1 4 5 2 2 4" xfId="34564" xr:uid="{865808BC-83A2-4D3F-AFC0-B8086E11A362}"/>
    <cellStyle name="40% - Accent1 4 5 2 3" xfId="13466" xr:uid="{3E727EC2-BEB4-41B9-90A2-5C1A4CD7B025}"/>
    <cellStyle name="40% - Accent1 4 5 2 4" xfId="21907" xr:uid="{7EF1CE7D-54E1-460A-BDEA-3B15521E729B}"/>
    <cellStyle name="40% - Accent1 4 5 2 5" xfId="30347" xr:uid="{CA3821E1-161B-448C-8F6F-82C6C0D77E77}"/>
    <cellStyle name="40% - Accent1 4 5 3" xfId="6212" xr:uid="{00000000-0005-0000-0000-00004A040000}"/>
    <cellStyle name="40% - Accent1 4 5 3 2" xfId="15538" xr:uid="{1A2163C1-4871-4547-8E4A-0D7E983C2CC7}"/>
    <cellStyle name="40% - Accent1 4 5 3 3" xfId="23979" xr:uid="{C3379842-B454-4543-8991-2C2092DCD94A}"/>
    <cellStyle name="40% - Accent1 4 5 3 4" xfId="32419" xr:uid="{B2C4AA60-5604-4999-9C0F-93FA516101E1}"/>
    <cellStyle name="40% - Accent1 4 5 4" xfId="11321" xr:uid="{FD957BA1-A1D4-4BB4-9A33-3F0BF44D5307}"/>
    <cellStyle name="40% - Accent1 4 5 5" xfId="19762" xr:uid="{0D8665FC-ECE2-4A0F-983E-C8DDCC3CA761}"/>
    <cellStyle name="40% - Accent1 4 5 6" xfId="28202" xr:uid="{CBAF9154-52F6-496D-87E5-C9ACC3DF19E0}"/>
    <cellStyle name="40% - Accent1 4 6" xfId="2319" xr:uid="{00000000-0005-0000-0000-00004B040000}"/>
    <cellStyle name="40% - Accent1 4 6 2" xfId="6625" xr:uid="{00000000-0005-0000-0000-00004C040000}"/>
    <cellStyle name="40% - Accent1 4 6 2 2" xfId="15951" xr:uid="{6F226BEF-560F-49CB-B8F6-0D4263C7E280}"/>
    <cellStyle name="40% - Accent1 4 6 2 3" xfId="24392" xr:uid="{4DC9C891-2117-4DD7-8902-426659D15A39}"/>
    <cellStyle name="40% - Accent1 4 6 2 4" xfId="32832" xr:uid="{09140C4B-039B-466E-941A-9D61F7B9237F}"/>
    <cellStyle name="40% - Accent1 4 6 3" xfId="11734" xr:uid="{B0A72258-CB9F-4530-AD11-DCAB3E73E6DB}"/>
    <cellStyle name="40% - Accent1 4 6 4" xfId="20175" xr:uid="{90885045-B20C-4AA2-AD14-19150FB01D7E}"/>
    <cellStyle name="40% - Accent1 4 6 5" xfId="28615" xr:uid="{93687D7B-F363-4DAE-ABC8-B22C0088189F}"/>
    <cellStyle name="40% - Accent1 4 7" xfId="4559" xr:uid="{00000000-0005-0000-0000-00004D040000}"/>
    <cellStyle name="40% - Accent1 4 7 2" xfId="13885" xr:uid="{7403C2A0-9727-410A-861B-6A8FA6E55791}"/>
    <cellStyle name="40% - Accent1 4 7 3" xfId="22326" xr:uid="{F5E07BF9-F383-4ECE-A62A-B185EB8C23CC}"/>
    <cellStyle name="40% - Accent1 4 7 4" xfId="30766" xr:uid="{F94443CE-101D-40AD-A359-69DF80F19BC6}"/>
    <cellStyle name="40% - Accent1 4 8" xfId="8948" xr:uid="{7BCBB449-71B8-4468-A700-0125C7659C3D}"/>
    <cellStyle name="40% - Accent1 4 9" xfId="9668" xr:uid="{B3F7A4BC-274A-4EC2-AA92-84B235C18F7C}"/>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33EE4174-7264-425F-9849-EFBCAAD1CC13}"/>
    <cellStyle name="40% - Accent1 5 2 2 3" xfId="24878" xr:uid="{063B276D-8A20-49F6-BF6D-49BC8F472E05}"/>
    <cellStyle name="40% - Accent1 5 2 2 4" xfId="33318" xr:uid="{78ADAAB6-CCEF-43DB-814F-D7FC99FEF866}"/>
    <cellStyle name="40% - Accent1 5 2 3" xfId="12220" xr:uid="{EAF7A458-50B4-4CF3-9EEB-AA5B951A8F38}"/>
    <cellStyle name="40% - Accent1 5 2 4" xfId="20661" xr:uid="{3F599DA9-561A-4912-9D24-BA726039CD20}"/>
    <cellStyle name="40% - Accent1 5 2 5" xfId="29101" xr:uid="{557DC5C4-6145-4FF2-BC3E-3E5064D4B01F}"/>
    <cellStyle name="40% - Accent1 5 3" xfId="4966" xr:uid="{00000000-0005-0000-0000-000051040000}"/>
    <cellStyle name="40% - Accent1 5 3 2" xfId="14292" xr:uid="{4DA5155A-563C-4AAB-AADF-554E7F6B9441}"/>
    <cellStyle name="40% - Accent1 5 3 3" xfId="22733" xr:uid="{23555813-406D-4304-958A-1EE6BE3E1348}"/>
    <cellStyle name="40% - Accent1 5 3 4" xfId="31173" xr:uid="{3CD25D60-9A2F-45C1-BE75-2BD12492903C}"/>
    <cellStyle name="40% - Accent1 5 4" xfId="9181" xr:uid="{332DA761-F1AA-4FF3-9BBB-9ECEE19D2DFF}"/>
    <cellStyle name="40% - Accent1 5 5" xfId="10075" xr:uid="{23FF124E-6E37-4E32-A04C-EFDCBAA4C539}"/>
    <cellStyle name="40% - Accent1 5 6" xfId="18516" xr:uid="{D012D3BC-0CFD-47AC-B7F9-8FB16F04E9F9}"/>
    <cellStyle name="40% - Accent1 5 7" xfId="26956" xr:uid="{48E432F2-A572-480E-9D68-63C877630AFF}"/>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250AFDEF-E710-47E9-AC75-970BD78D964F}"/>
    <cellStyle name="40% - Accent1 6 2 2 3" xfId="25291" xr:uid="{1FA594CE-53BC-40E2-BE32-3BADF03B4211}"/>
    <cellStyle name="40% - Accent1 6 2 2 4" xfId="33731" xr:uid="{BB20FE4B-F290-46A2-A1B0-92EAFD8924BC}"/>
    <cellStyle name="40% - Accent1 6 2 3" xfId="12633" xr:uid="{BE898820-5DFF-457E-A13B-01CB2990FB9F}"/>
    <cellStyle name="40% - Accent1 6 2 4" xfId="21074" xr:uid="{63B8CC82-43FE-4FFE-B787-1314EDA82AF0}"/>
    <cellStyle name="40% - Accent1 6 2 5" xfId="29514" xr:uid="{A6769A4E-9F85-41F6-B96F-7540F02FBE83}"/>
    <cellStyle name="40% - Accent1 6 3" xfId="5379" xr:uid="{00000000-0005-0000-0000-000055040000}"/>
    <cellStyle name="40% - Accent1 6 3 2" xfId="14705" xr:uid="{884E4222-18DF-4722-BE69-E1ABB12E7651}"/>
    <cellStyle name="40% - Accent1 6 3 3" xfId="23146" xr:uid="{59A9AC6D-A03B-413B-A951-5EBE186DCFB7}"/>
    <cellStyle name="40% - Accent1 6 3 4" xfId="31586" xr:uid="{96DAF3A5-41A3-4429-9879-FB9D7CFA861A}"/>
    <cellStyle name="40% - Accent1 6 4" xfId="10488" xr:uid="{CF23FF37-B634-45F4-BAB8-C933DCDA75BE}"/>
    <cellStyle name="40% - Accent1 6 5" xfId="18929" xr:uid="{6F38B7FC-2237-4D3C-96F1-384B6EF27054}"/>
    <cellStyle name="40% - Accent1 6 6" xfId="27369" xr:uid="{2F176D8B-D79D-4928-A2E9-DB0D92FEBD57}"/>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36D35F00-595E-449C-AF4F-513EE3D02D73}"/>
    <cellStyle name="40% - Accent1 7 2 2 3" xfId="25704" xr:uid="{BC34763B-E94D-44BA-8435-437C19201DF1}"/>
    <cellStyle name="40% - Accent1 7 2 2 4" xfId="34144" xr:uid="{0B08F9CB-807E-4405-B0F7-B16F85A958D7}"/>
    <cellStyle name="40% - Accent1 7 2 3" xfId="13046" xr:uid="{523C3982-E9EC-40A7-BA8E-435A195297E5}"/>
    <cellStyle name="40% - Accent1 7 2 4" xfId="21487" xr:uid="{FE6F3A20-861D-4A69-AAC1-652ABA7D8047}"/>
    <cellStyle name="40% - Accent1 7 2 5" xfId="29927" xr:uid="{2F4193FC-5258-4255-B508-334EEEF6966F}"/>
    <cellStyle name="40% - Accent1 7 3" xfId="5792" xr:uid="{00000000-0005-0000-0000-000059040000}"/>
    <cellStyle name="40% - Accent1 7 3 2" xfId="15118" xr:uid="{65C2CDA4-5082-4598-8184-1DE3CDA58814}"/>
    <cellStyle name="40% - Accent1 7 3 3" xfId="23559" xr:uid="{A10535B2-F0F9-46F0-8AB9-6740171E5A29}"/>
    <cellStyle name="40% - Accent1 7 3 4" xfId="31999" xr:uid="{C7DCE643-CA1E-43A6-A250-72EB99AC1526}"/>
    <cellStyle name="40% - Accent1 7 4" xfId="10901" xr:uid="{7CB32473-D168-4C14-8B47-117053BA02E3}"/>
    <cellStyle name="40% - Accent1 7 5" xfId="19342" xr:uid="{E1DBCBFD-56F1-45CB-80D3-45301A9E5A8E}"/>
    <cellStyle name="40% - Accent1 7 6" xfId="27782" xr:uid="{1F537A6B-33B4-458A-919F-9F1BA8CB3659}"/>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4454BB62-7465-4599-9D11-9A285D95584E}"/>
    <cellStyle name="40% - Accent1 8 2 2 3" xfId="26117" xr:uid="{A6FA36E1-24AE-4AD9-8D5E-2C3B14BCA6CE}"/>
    <cellStyle name="40% - Accent1 8 2 2 4" xfId="34557" xr:uid="{7FFF0D78-43C5-42F8-AE2A-87ADD66B2A1A}"/>
    <cellStyle name="40% - Accent1 8 2 3" xfId="13459" xr:uid="{00E6982C-DAB0-4BAF-ADFD-F5642BD1826D}"/>
    <cellStyle name="40% - Accent1 8 2 4" xfId="21900" xr:uid="{5A6991B0-6F2E-4D96-ABA9-7B0F335C0E28}"/>
    <cellStyle name="40% - Accent1 8 2 5" xfId="30340" xr:uid="{33EA330D-4FFA-4B5E-BE8F-B299DCE88EEE}"/>
    <cellStyle name="40% - Accent1 8 3" xfId="6205" xr:uid="{00000000-0005-0000-0000-00005D040000}"/>
    <cellStyle name="40% - Accent1 8 3 2" xfId="15531" xr:uid="{0DC7B622-1B3C-4CCE-8A4C-20090414377C}"/>
    <cellStyle name="40% - Accent1 8 3 3" xfId="23972" xr:uid="{905259B2-7398-4E47-BDC4-8458E31B526F}"/>
    <cellStyle name="40% - Accent1 8 3 4" xfId="32412" xr:uid="{98D68EBC-65C4-40CE-A0E6-00D8F156F73B}"/>
    <cellStyle name="40% - Accent1 8 4" xfId="11314" xr:uid="{57BE7FD3-F051-4C64-9217-B724C5530EC7}"/>
    <cellStyle name="40% - Accent1 8 5" xfId="19755" xr:uid="{9DC43EE7-8DC1-40B3-ADE2-CA0A12A25ED0}"/>
    <cellStyle name="40% - Accent1 8 6" xfId="28195" xr:uid="{C94E9D17-D9F0-4D73-9CAA-61F420BDE456}"/>
    <cellStyle name="40% - Accent1 9" xfId="2312" xr:uid="{00000000-0005-0000-0000-00005E040000}"/>
    <cellStyle name="40% - Accent1 9 2" xfId="6618" xr:uid="{00000000-0005-0000-0000-00005F040000}"/>
    <cellStyle name="40% - Accent1 9 2 2" xfId="15944" xr:uid="{1355F058-B4DD-47AF-AC79-3D78BFA8DF05}"/>
    <cellStyle name="40% - Accent1 9 2 3" xfId="24385" xr:uid="{F44082F2-08E1-4AB0-9FF5-4691DA70A39B}"/>
    <cellStyle name="40% - Accent1 9 2 4" xfId="32825" xr:uid="{A536178D-2475-4EFA-912D-F0EBF086393E}"/>
    <cellStyle name="40% - Accent1 9 3" xfId="11727" xr:uid="{076878E7-3D91-45D6-9E3D-1AA47ECB4A7A}"/>
    <cellStyle name="40% - Accent1 9 4" xfId="20168" xr:uid="{772F3A56-515B-44EF-8EA1-A68E9B2F7B33}"/>
    <cellStyle name="40% - Accent1 9 5" xfId="28608" xr:uid="{745DD0EA-1EA4-4EC1-A2DC-8DAAC97D32AC}"/>
    <cellStyle name="40% - Accent2" xfId="57" builtinId="35" customBuiltin="1"/>
    <cellStyle name="40% - Accent2 10" xfId="4560" xr:uid="{00000000-0005-0000-0000-000061040000}"/>
    <cellStyle name="40% - Accent2 10 2" xfId="13886" xr:uid="{803187C3-D542-4FF2-BEBB-B793D7A56071}"/>
    <cellStyle name="40% - Accent2 10 3" xfId="22327" xr:uid="{28781439-0E33-40C7-BE40-C0D5E953EF62}"/>
    <cellStyle name="40% - Accent2 10 4" xfId="30767" xr:uid="{44CA85DA-325C-49AB-9844-366B82D4549E}"/>
    <cellStyle name="40% - Accent2 11" xfId="8761" xr:uid="{8631D9D1-53DA-4958-8F7C-AD68B7B91D61}"/>
    <cellStyle name="40% - Accent2 12" xfId="9669" xr:uid="{5CAF27C8-7C54-4C99-8FA5-B81D8831C50F}"/>
    <cellStyle name="40% - Accent2 13" xfId="18110" xr:uid="{73FD8460-580D-4B22-87DE-08DAC0FE0D3B}"/>
    <cellStyle name="40% - Accent2 14" xfId="26550" xr:uid="{F02617EF-8E8B-450E-AF08-D07FCABDDFC3}"/>
    <cellStyle name="40% - Accent2 2" xfId="58" xr:uid="{00000000-0005-0000-0000-000062040000}"/>
    <cellStyle name="40% - Accent2 2 10" xfId="8799" xr:uid="{E3EEC046-6E76-44A5-8D1B-64621A8F0AC5}"/>
    <cellStyle name="40% - Accent2 2 11" xfId="9670" xr:uid="{9EE4949D-7BBF-45FD-B04F-D5861F955D46}"/>
    <cellStyle name="40% - Accent2 2 12" xfId="18111" xr:uid="{F6069E6E-B189-4665-B1D6-2CA75CEC0FA3}"/>
    <cellStyle name="40% - Accent2 2 13" xfId="26551" xr:uid="{A7DFD7BE-A152-475F-8C70-2AF176E909A2}"/>
    <cellStyle name="40% - Accent2 2 2" xfId="59" xr:uid="{00000000-0005-0000-0000-000063040000}"/>
    <cellStyle name="40% - Accent2 2 2 10" xfId="9671" xr:uid="{B95D9321-7B43-4620-980D-273C1E602F77}"/>
    <cellStyle name="40% - Accent2 2 2 11" xfId="18112" xr:uid="{24AEDDA2-F28B-42E0-93FE-F8925036E63B}"/>
    <cellStyle name="40% - Accent2 2 2 12" xfId="26552" xr:uid="{488F051D-A68F-4E78-9029-64BB28A26A3D}"/>
    <cellStyle name="40% - Accent2 2 2 2" xfId="60" xr:uid="{00000000-0005-0000-0000-000064040000}"/>
    <cellStyle name="40% - Accent2 2 2 2 10" xfId="18113" xr:uid="{DE5824C9-E5F5-427C-8CCF-ABE0C6AD3943}"/>
    <cellStyle name="40% - Accent2 2 2 2 11" xfId="26553" xr:uid="{63AC2A95-CB28-4981-A56A-C3267FDCEC27}"/>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4ADA08D4-1B38-4BE3-954D-0A7577501632}"/>
    <cellStyle name="40% - Accent2 2 2 2 2 2 2 3" xfId="24889" xr:uid="{111FDBEA-A7C1-4749-9066-AA1BECD936C6}"/>
    <cellStyle name="40% - Accent2 2 2 2 2 2 2 4" xfId="33329" xr:uid="{58EB76F5-3520-4D61-8D5E-B0C2AF945B04}"/>
    <cellStyle name="40% - Accent2 2 2 2 2 2 3" xfId="12231" xr:uid="{E598D249-8DBE-4EFD-9A59-DC3A4B69389C}"/>
    <cellStyle name="40% - Accent2 2 2 2 2 2 4" xfId="20672" xr:uid="{778D38D7-2FD4-4609-9936-3B9D344F599C}"/>
    <cellStyle name="40% - Accent2 2 2 2 2 2 5" xfId="29112" xr:uid="{F21D6AE0-D95B-4408-BD69-EACD88870344}"/>
    <cellStyle name="40% - Accent2 2 2 2 2 3" xfId="4977" xr:uid="{00000000-0005-0000-0000-000068040000}"/>
    <cellStyle name="40% - Accent2 2 2 2 2 3 2" xfId="14303" xr:uid="{CF947DEA-430A-4DEC-AF56-C804BB7A65DF}"/>
    <cellStyle name="40% - Accent2 2 2 2 2 3 3" xfId="22744" xr:uid="{B4C8AADB-13CE-4D92-9C47-2B89D123A194}"/>
    <cellStyle name="40% - Accent2 2 2 2 2 3 4" xfId="31184" xr:uid="{B6A521A1-0872-4651-B409-5A1A8E4FC9FC}"/>
    <cellStyle name="40% - Accent2 2 2 2 2 4" xfId="9534" xr:uid="{9F53A086-33FC-422E-9DFF-72D04AC43949}"/>
    <cellStyle name="40% - Accent2 2 2 2 2 5" xfId="10086" xr:uid="{DAA9C36F-9394-407B-9A18-67B52B084876}"/>
    <cellStyle name="40% - Accent2 2 2 2 2 6" xfId="18527" xr:uid="{BE4F98B7-9D0A-417D-8252-B6B1E88913D6}"/>
    <cellStyle name="40% - Accent2 2 2 2 2 7" xfId="26967" xr:uid="{ABBA8319-8EC6-4D24-AA12-9D9E4C91150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F44FFBFD-5365-4BC8-8420-6D5CCCAE9174}"/>
    <cellStyle name="40% - Accent2 2 2 2 3 2 2 3" xfId="25302" xr:uid="{719B713F-67A1-43FE-9A66-7D8DFEE79AD4}"/>
    <cellStyle name="40% - Accent2 2 2 2 3 2 2 4" xfId="33742" xr:uid="{E7F068D2-68D5-48EC-AD3D-2D6B9ECE2A8E}"/>
    <cellStyle name="40% - Accent2 2 2 2 3 2 3" xfId="12644" xr:uid="{3FB90583-2DCC-4B41-A430-4987938027CF}"/>
    <cellStyle name="40% - Accent2 2 2 2 3 2 4" xfId="21085" xr:uid="{C9BF6B71-CA2D-4AFE-8F2F-B74FCC9474DD}"/>
    <cellStyle name="40% - Accent2 2 2 2 3 2 5" xfId="29525" xr:uid="{2F6DFE76-C302-49F9-88E0-B41498F2D2C6}"/>
    <cellStyle name="40% - Accent2 2 2 2 3 3" xfId="5390" xr:uid="{00000000-0005-0000-0000-00006C040000}"/>
    <cellStyle name="40% - Accent2 2 2 2 3 3 2" xfId="14716" xr:uid="{FAEAE790-6633-4E50-B3F3-6A99302B9AFB}"/>
    <cellStyle name="40% - Accent2 2 2 2 3 3 3" xfId="23157" xr:uid="{8C898CA8-C5A5-4B91-8788-E44CE1770075}"/>
    <cellStyle name="40% - Accent2 2 2 2 3 3 4" xfId="31597" xr:uid="{0A759DC9-7BA9-4245-A443-5125037ACA99}"/>
    <cellStyle name="40% - Accent2 2 2 2 3 4" xfId="10499" xr:uid="{AB04EA00-4FB2-4C03-B31A-46CD21CD1A2E}"/>
    <cellStyle name="40% - Accent2 2 2 2 3 5" xfId="18940" xr:uid="{583A1001-6687-4B8F-8461-6BCD2886D29F}"/>
    <cellStyle name="40% - Accent2 2 2 2 3 6" xfId="27380" xr:uid="{4C6F859F-E58C-45C8-BC9B-F0FEBACB37C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8AAAD0D6-C715-405F-95ED-75AEB90B105E}"/>
    <cellStyle name="40% - Accent2 2 2 2 4 2 2 3" xfId="25715" xr:uid="{6E2C3D23-EB2F-4E7D-BF6F-72E7C32B3068}"/>
    <cellStyle name="40% - Accent2 2 2 2 4 2 2 4" xfId="34155" xr:uid="{267FCC63-C6D5-45D6-A35C-87563F9264F1}"/>
    <cellStyle name="40% - Accent2 2 2 2 4 2 3" xfId="13057" xr:uid="{8D6C99F4-F4C3-4C62-9008-D56CB2C05B88}"/>
    <cellStyle name="40% - Accent2 2 2 2 4 2 4" xfId="21498" xr:uid="{A3C0D644-F548-4061-85D9-77ED3A4A0FCC}"/>
    <cellStyle name="40% - Accent2 2 2 2 4 2 5" xfId="29938" xr:uid="{CAD018AD-3F95-440F-99C2-7BD4B90DB5A4}"/>
    <cellStyle name="40% - Accent2 2 2 2 4 3" xfId="5803" xr:uid="{00000000-0005-0000-0000-000070040000}"/>
    <cellStyle name="40% - Accent2 2 2 2 4 3 2" xfId="15129" xr:uid="{7E225250-AA4A-4E97-B3F7-EF421499E054}"/>
    <cellStyle name="40% - Accent2 2 2 2 4 3 3" xfId="23570" xr:uid="{565FA0E4-7CB6-4C8A-99E4-7F3EE35605DD}"/>
    <cellStyle name="40% - Accent2 2 2 2 4 3 4" xfId="32010" xr:uid="{BABD93DE-C2CE-41FE-8C95-C840CDCB3419}"/>
    <cellStyle name="40% - Accent2 2 2 2 4 4" xfId="10912" xr:uid="{CECBD14B-4E2C-4F07-9065-A87A5BD5105B}"/>
    <cellStyle name="40% - Accent2 2 2 2 4 5" xfId="19353" xr:uid="{0099E05D-DA26-4F85-B209-1F7BE9E841AC}"/>
    <cellStyle name="40% - Accent2 2 2 2 4 6" xfId="27793" xr:uid="{80C88E88-DDB1-4239-895B-70F6AF334A63}"/>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D58396E2-CF64-4085-8162-2BC6856CA3F5}"/>
    <cellStyle name="40% - Accent2 2 2 2 5 2 2 3" xfId="26128" xr:uid="{CE1A5E4D-D1D2-41B3-B063-64F8657615A8}"/>
    <cellStyle name="40% - Accent2 2 2 2 5 2 2 4" xfId="34568" xr:uid="{2EB605F1-EB74-40EB-891E-33AFB7A92941}"/>
    <cellStyle name="40% - Accent2 2 2 2 5 2 3" xfId="13470" xr:uid="{0E30E7A4-079B-4B56-8120-72D96A5C6E94}"/>
    <cellStyle name="40% - Accent2 2 2 2 5 2 4" xfId="21911" xr:uid="{91F3BF7F-5A1A-48E4-BA89-0CB58889D2D3}"/>
    <cellStyle name="40% - Accent2 2 2 2 5 2 5" xfId="30351" xr:uid="{50F306E6-EF22-4E48-B3E0-74069295E718}"/>
    <cellStyle name="40% - Accent2 2 2 2 5 3" xfId="6216" xr:uid="{00000000-0005-0000-0000-000074040000}"/>
    <cellStyle name="40% - Accent2 2 2 2 5 3 2" xfId="15542" xr:uid="{408D3814-CE0D-41EF-98C4-12E31A85126C}"/>
    <cellStyle name="40% - Accent2 2 2 2 5 3 3" xfId="23983" xr:uid="{78272869-EF5D-495A-B4EA-32A558401FBD}"/>
    <cellStyle name="40% - Accent2 2 2 2 5 3 4" xfId="32423" xr:uid="{B67B60D1-DDCB-4B8C-A7E4-EEBBCA8E56A2}"/>
    <cellStyle name="40% - Accent2 2 2 2 5 4" xfId="11325" xr:uid="{3A99CCA1-AE77-408C-8373-F44753ADCB00}"/>
    <cellStyle name="40% - Accent2 2 2 2 5 5" xfId="19766" xr:uid="{62FD4DBD-5817-4EA5-B7BD-CA599DFA9D98}"/>
    <cellStyle name="40% - Accent2 2 2 2 5 6" xfId="28206" xr:uid="{9CD2E1CE-1CAB-4F8F-95C3-A1EDE134277E}"/>
    <cellStyle name="40% - Accent2 2 2 2 6" xfId="2323" xr:uid="{00000000-0005-0000-0000-000075040000}"/>
    <cellStyle name="40% - Accent2 2 2 2 6 2" xfId="6629" xr:uid="{00000000-0005-0000-0000-000076040000}"/>
    <cellStyle name="40% - Accent2 2 2 2 6 2 2" xfId="15955" xr:uid="{5386A02F-30CA-4CBB-9DFE-A9A48E0D6F85}"/>
    <cellStyle name="40% - Accent2 2 2 2 6 2 3" xfId="24396" xr:uid="{85CA1872-64B7-4EC9-97DA-EEAD8C9179DD}"/>
    <cellStyle name="40% - Accent2 2 2 2 6 2 4" xfId="32836" xr:uid="{48FF52DB-0AA0-4D3B-A5BF-30D4C445258A}"/>
    <cellStyle name="40% - Accent2 2 2 2 6 3" xfId="11738" xr:uid="{7F52E7C2-5D10-47C7-84AA-B9A077983A02}"/>
    <cellStyle name="40% - Accent2 2 2 2 6 4" xfId="20179" xr:uid="{996C16F9-53BB-49BB-A24D-F4FAABA7FA28}"/>
    <cellStyle name="40% - Accent2 2 2 2 6 5" xfId="28619" xr:uid="{99F9B98D-6BB3-4DF8-8DAE-542C3CD00C90}"/>
    <cellStyle name="40% - Accent2 2 2 2 7" xfId="4563" xr:uid="{00000000-0005-0000-0000-000077040000}"/>
    <cellStyle name="40% - Accent2 2 2 2 7 2" xfId="13889" xr:uid="{9A8DA369-4C87-4B1D-98E9-2AD27241C02B}"/>
    <cellStyle name="40% - Accent2 2 2 2 7 3" xfId="22330" xr:uid="{581B0728-3143-446D-9EF0-6BF1FBB24377}"/>
    <cellStyle name="40% - Accent2 2 2 2 7 4" xfId="30770" xr:uid="{58B1844C-1A5F-4BE9-91CE-D5BCB41E2C1A}"/>
    <cellStyle name="40% - Accent2 2 2 2 8" xfId="9109" xr:uid="{73F0012D-4386-4224-BFB0-7DB1C0E98822}"/>
    <cellStyle name="40% - Accent2 2 2 2 9" xfId="9672" xr:uid="{53FAA4C5-4114-4271-AF6D-1AD097FF7EF5}"/>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DA99F87F-3ADE-46D7-8806-133663E779C7}"/>
    <cellStyle name="40% - Accent2 2 2 3 2 2 3" xfId="24888" xr:uid="{501FDB26-3450-4333-8ADD-0F19814FC035}"/>
    <cellStyle name="40% - Accent2 2 2 3 2 2 4" xfId="33328" xr:uid="{8223569F-AC11-4931-B0B7-0B037BCF61DF}"/>
    <cellStyle name="40% - Accent2 2 2 3 2 3" xfId="12230" xr:uid="{9F5A4537-91C4-45B0-B23E-0FC68E9C6F81}"/>
    <cellStyle name="40% - Accent2 2 2 3 2 4" xfId="20671" xr:uid="{0F473294-4516-4224-AEFB-0A1AE0AB80DB}"/>
    <cellStyle name="40% - Accent2 2 2 3 2 5" xfId="29111" xr:uid="{43D9D99E-E2BF-4258-97A1-83B81F8DE170}"/>
    <cellStyle name="40% - Accent2 2 2 3 3" xfId="4976" xr:uid="{00000000-0005-0000-0000-00007B040000}"/>
    <cellStyle name="40% - Accent2 2 2 3 3 2" xfId="14302" xr:uid="{6609BBAF-04F8-45E0-AF4E-258020D01B53}"/>
    <cellStyle name="40% - Accent2 2 2 3 3 3" xfId="22743" xr:uid="{619B8169-4F9C-48AD-904F-EBD0007C1EC4}"/>
    <cellStyle name="40% - Accent2 2 2 3 3 4" xfId="31183" xr:uid="{7EC5F0B3-BA4E-4399-9831-77D81ACB80AD}"/>
    <cellStyle name="40% - Accent2 2 2 3 4" xfId="9327" xr:uid="{F2BC9A12-B689-4B73-B71E-77A9F0BC7FE4}"/>
    <cellStyle name="40% - Accent2 2 2 3 5" xfId="10085" xr:uid="{32D4CD67-506E-4A85-BF37-3E60E819CFAD}"/>
    <cellStyle name="40% - Accent2 2 2 3 6" xfId="18526" xr:uid="{D1F2CB43-F2A0-44A1-8753-4E1D2EF2DFEB}"/>
    <cellStyle name="40% - Accent2 2 2 3 7" xfId="26966" xr:uid="{4BB5722D-A213-45B0-9D46-C5C521A1BFBA}"/>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9C7FB704-C912-4FA5-9A37-0FF30C544873}"/>
    <cellStyle name="40% - Accent2 2 2 4 2 2 3" xfId="25301" xr:uid="{A299C04A-AC6F-4C20-B6F4-DD8F1BF8DF53}"/>
    <cellStyle name="40% - Accent2 2 2 4 2 2 4" xfId="33741" xr:uid="{C95EE934-23E6-4E12-9E50-9010B1451A4C}"/>
    <cellStyle name="40% - Accent2 2 2 4 2 3" xfId="12643" xr:uid="{5D1655FF-A56F-42B9-AAC6-1D847F5BF1E5}"/>
    <cellStyle name="40% - Accent2 2 2 4 2 4" xfId="21084" xr:uid="{2AF52097-7166-499C-B35D-B3682476B294}"/>
    <cellStyle name="40% - Accent2 2 2 4 2 5" xfId="29524" xr:uid="{F7458198-A11C-48BC-9833-823631862B8B}"/>
    <cellStyle name="40% - Accent2 2 2 4 3" xfId="5389" xr:uid="{00000000-0005-0000-0000-00007F040000}"/>
    <cellStyle name="40% - Accent2 2 2 4 3 2" xfId="14715" xr:uid="{603B4169-6237-4DD1-B181-504B1F1F1EDB}"/>
    <cellStyle name="40% - Accent2 2 2 4 3 3" xfId="23156" xr:uid="{7871B7C2-AFBF-4ECF-AA71-6B85842A6F0C}"/>
    <cellStyle name="40% - Accent2 2 2 4 3 4" xfId="31596" xr:uid="{2546C0E5-856F-4DB2-9A9B-946686D271B4}"/>
    <cellStyle name="40% - Accent2 2 2 4 4" xfId="10498" xr:uid="{C9A55C19-C304-4E24-B02A-95DA80F59DDB}"/>
    <cellStyle name="40% - Accent2 2 2 4 5" xfId="18939" xr:uid="{38AFA35A-D8AA-4D16-AC27-79A6AD1F0B4E}"/>
    <cellStyle name="40% - Accent2 2 2 4 6" xfId="27379" xr:uid="{9ACAEC73-E775-432E-ABBD-1762D6FCA3F2}"/>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AB8147DC-A20F-4E55-8022-96F278D16E66}"/>
    <cellStyle name="40% - Accent2 2 2 5 2 2 3" xfId="25714" xr:uid="{1D4A3496-A05B-46B8-8173-2B258FDE3D6B}"/>
    <cellStyle name="40% - Accent2 2 2 5 2 2 4" xfId="34154" xr:uid="{8AB7C2BF-832A-4554-9921-7DAEE17C8159}"/>
    <cellStyle name="40% - Accent2 2 2 5 2 3" xfId="13056" xr:uid="{562620C6-7D1D-440B-B028-67EBCDF95DA9}"/>
    <cellStyle name="40% - Accent2 2 2 5 2 4" xfId="21497" xr:uid="{9F368405-8186-432C-B19F-C259FCDCCFCD}"/>
    <cellStyle name="40% - Accent2 2 2 5 2 5" xfId="29937" xr:uid="{07E64482-5960-4F65-80EC-96A6E74D29C1}"/>
    <cellStyle name="40% - Accent2 2 2 5 3" xfId="5802" xr:uid="{00000000-0005-0000-0000-000083040000}"/>
    <cellStyle name="40% - Accent2 2 2 5 3 2" xfId="15128" xr:uid="{CE538762-BAF9-4F78-9FD5-3D465ACE5A5E}"/>
    <cellStyle name="40% - Accent2 2 2 5 3 3" xfId="23569" xr:uid="{FFE316B3-A844-4620-A0A5-A4B6C8ACAF32}"/>
    <cellStyle name="40% - Accent2 2 2 5 3 4" xfId="32009" xr:uid="{A2A82DA1-4B97-4B1C-864B-2917F8CA1FE9}"/>
    <cellStyle name="40% - Accent2 2 2 5 4" xfId="10911" xr:uid="{4DC69857-3386-491F-A90B-7B478B9919C1}"/>
    <cellStyle name="40% - Accent2 2 2 5 5" xfId="19352" xr:uid="{3840625C-E268-4852-B3DF-A6A9D493A478}"/>
    <cellStyle name="40% - Accent2 2 2 5 6" xfId="27792" xr:uid="{0F3DCE74-1D63-441A-8FB0-03E02A28C2AA}"/>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955D613B-56CB-44A5-A1EA-C90FC70EEFEE}"/>
    <cellStyle name="40% - Accent2 2 2 6 2 2 3" xfId="26127" xr:uid="{671693F8-355E-4526-BB72-A39FAE444C98}"/>
    <cellStyle name="40% - Accent2 2 2 6 2 2 4" xfId="34567" xr:uid="{62E8E03A-FBB4-438D-AC3E-0A103E9C2EDB}"/>
    <cellStyle name="40% - Accent2 2 2 6 2 3" xfId="13469" xr:uid="{CBA73E29-D64D-4BD7-9771-9A1CF3F01654}"/>
    <cellStyle name="40% - Accent2 2 2 6 2 4" xfId="21910" xr:uid="{2719CD8A-2DA0-4F72-A398-F3BC78F84FCF}"/>
    <cellStyle name="40% - Accent2 2 2 6 2 5" xfId="30350" xr:uid="{97F75984-8E97-404C-8400-0D223C38DAED}"/>
    <cellStyle name="40% - Accent2 2 2 6 3" xfId="6215" xr:uid="{00000000-0005-0000-0000-000087040000}"/>
    <cellStyle name="40% - Accent2 2 2 6 3 2" xfId="15541" xr:uid="{16A5C797-94BC-41CF-ACB2-B07562E2ABC7}"/>
    <cellStyle name="40% - Accent2 2 2 6 3 3" xfId="23982" xr:uid="{316C6078-7980-45C3-A077-E889BF4E327F}"/>
    <cellStyle name="40% - Accent2 2 2 6 3 4" xfId="32422" xr:uid="{728D85E5-5070-4DA0-B949-C59A418B8196}"/>
    <cellStyle name="40% - Accent2 2 2 6 4" xfId="11324" xr:uid="{3BF127DE-A1CB-4B46-AF36-4C4BEA86C211}"/>
    <cellStyle name="40% - Accent2 2 2 6 5" xfId="19765" xr:uid="{3B1CDACA-D3DB-4F3D-8C30-5F4F96A9D61C}"/>
    <cellStyle name="40% - Accent2 2 2 6 6" xfId="28205" xr:uid="{A9B3A708-3026-44AE-AF82-58F62D1FBE3F}"/>
    <cellStyle name="40% - Accent2 2 2 7" xfId="2322" xr:uid="{00000000-0005-0000-0000-000088040000}"/>
    <cellStyle name="40% - Accent2 2 2 7 2" xfId="6628" xr:uid="{00000000-0005-0000-0000-000089040000}"/>
    <cellStyle name="40% - Accent2 2 2 7 2 2" xfId="15954" xr:uid="{1FEFDFA6-A3D5-4E77-82AF-4377D547E32E}"/>
    <cellStyle name="40% - Accent2 2 2 7 2 3" xfId="24395" xr:uid="{2AEB1D92-56C5-471F-8AA8-762DD9D63A85}"/>
    <cellStyle name="40% - Accent2 2 2 7 2 4" xfId="32835" xr:uid="{707A420F-067C-4140-B8F1-93CC5A7154A8}"/>
    <cellStyle name="40% - Accent2 2 2 7 3" xfId="11737" xr:uid="{14BFB822-3D01-4487-98DD-86D8473DD2A2}"/>
    <cellStyle name="40% - Accent2 2 2 7 4" xfId="20178" xr:uid="{3A663B30-B3E8-47EB-9624-C10AC5744B9B}"/>
    <cellStyle name="40% - Accent2 2 2 7 5" xfId="28618" xr:uid="{EE02D440-D16B-4B5E-92F7-A21CB3D1AB3C}"/>
    <cellStyle name="40% - Accent2 2 2 8" xfId="4562" xr:uid="{00000000-0005-0000-0000-00008A040000}"/>
    <cellStyle name="40% - Accent2 2 2 8 2" xfId="13888" xr:uid="{C3CD94E1-516A-4A9D-BE7B-AB9D36B6C3D3}"/>
    <cellStyle name="40% - Accent2 2 2 8 3" xfId="22329" xr:uid="{6DFD7BDB-C23E-4BE8-B8C3-70B4537C3FA1}"/>
    <cellStyle name="40% - Accent2 2 2 8 4" xfId="30769" xr:uid="{D7C6043A-F249-4028-B4FA-22945C81C055}"/>
    <cellStyle name="40% - Accent2 2 2 9" xfId="8902" xr:uid="{5D0C2022-B7A4-4DE2-895F-9E4BE510A7B9}"/>
    <cellStyle name="40% - Accent2 2 3" xfId="61" xr:uid="{00000000-0005-0000-0000-00008B040000}"/>
    <cellStyle name="40% - Accent2 2 3 10" xfId="18114" xr:uid="{DD31641F-60D5-4EB3-9804-B98970445EA4}"/>
    <cellStyle name="40% - Accent2 2 3 11" xfId="26554" xr:uid="{90C24A01-8612-4182-A41F-D2DF177DD736}"/>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141B4F47-532C-4361-94FF-49628EB5DCDC}"/>
    <cellStyle name="40% - Accent2 2 3 2 2 2 3" xfId="24890" xr:uid="{33677BE4-F15D-4E7F-91BD-6E8D0B36D7F6}"/>
    <cellStyle name="40% - Accent2 2 3 2 2 2 4" xfId="33330" xr:uid="{9B1D5BC2-09CA-472F-A50C-63BB46CB22D6}"/>
    <cellStyle name="40% - Accent2 2 3 2 2 3" xfId="12232" xr:uid="{1B9BABA7-7559-4167-8F1A-1B5BCE1ABE2F}"/>
    <cellStyle name="40% - Accent2 2 3 2 2 4" xfId="20673" xr:uid="{FBFE289C-1B34-4276-8F6A-7B9ECB2E188F}"/>
    <cellStyle name="40% - Accent2 2 3 2 2 5" xfId="29113" xr:uid="{A23C024C-6762-48ED-972F-5694D0725D12}"/>
    <cellStyle name="40% - Accent2 2 3 2 3" xfId="4978" xr:uid="{00000000-0005-0000-0000-00008F040000}"/>
    <cellStyle name="40% - Accent2 2 3 2 3 2" xfId="14304" xr:uid="{20829A69-F5FC-4943-A112-2C956F5A1B6C}"/>
    <cellStyle name="40% - Accent2 2 3 2 3 3" xfId="22745" xr:uid="{64388D17-7361-418E-A372-906DE315F7A7}"/>
    <cellStyle name="40% - Accent2 2 3 2 3 4" xfId="31185" xr:uid="{134A8CC8-1E25-4C75-B5DF-29AD4F36C025}"/>
    <cellStyle name="40% - Accent2 2 3 2 4" xfId="9431" xr:uid="{BD4E3561-302E-4359-AAF3-4F2E007BC697}"/>
    <cellStyle name="40% - Accent2 2 3 2 5" xfId="10087" xr:uid="{514C5259-7CD1-4E6C-83CA-63B89D1F535B}"/>
    <cellStyle name="40% - Accent2 2 3 2 6" xfId="18528" xr:uid="{906CDEB7-F339-415C-B908-6BFDC881DC1A}"/>
    <cellStyle name="40% - Accent2 2 3 2 7" xfId="26968" xr:uid="{00CF21E3-BA92-416F-B23D-6D031D648B88}"/>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DA3BF20B-25FE-4422-ADFC-6F7E57004548}"/>
    <cellStyle name="40% - Accent2 2 3 3 2 2 3" xfId="25303" xr:uid="{D886713A-9F1B-456C-9134-893DF11654C9}"/>
    <cellStyle name="40% - Accent2 2 3 3 2 2 4" xfId="33743" xr:uid="{3BB80877-0A8C-45EA-A579-6646F47885EB}"/>
    <cellStyle name="40% - Accent2 2 3 3 2 3" xfId="12645" xr:uid="{3B42B04F-00CB-4ADE-B09C-6BE635C4D33D}"/>
    <cellStyle name="40% - Accent2 2 3 3 2 4" xfId="21086" xr:uid="{924F41ED-E8E9-413C-B185-CEADCECB6C70}"/>
    <cellStyle name="40% - Accent2 2 3 3 2 5" xfId="29526" xr:uid="{42C1B65A-58B1-4C2D-B837-C16862C3BF39}"/>
    <cellStyle name="40% - Accent2 2 3 3 3" xfId="5391" xr:uid="{00000000-0005-0000-0000-000093040000}"/>
    <cellStyle name="40% - Accent2 2 3 3 3 2" xfId="14717" xr:uid="{B65C6225-0F07-4E70-8D4B-9F76D2DAA55E}"/>
    <cellStyle name="40% - Accent2 2 3 3 3 3" xfId="23158" xr:uid="{11EE69D4-3F54-441F-85EE-C647F33D5E74}"/>
    <cellStyle name="40% - Accent2 2 3 3 3 4" xfId="31598" xr:uid="{8D826292-ECF9-48FE-845B-16A2DA135045}"/>
    <cellStyle name="40% - Accent2 2 3 3 4" xfId="10500" xr:uid="{2ACB5CF2-D5DE-49D2-847E-653892E4CBF6}"/>
    <cellStyle name="40% - Accent2 2 3 3 5" xfId="18941" xr:uid="{EBA8F9EA-CAA2-4B39-B5AD-4B5A5BF9DA07}"/>
    <cellStyle name="40% - Accent2 2 3 3 6" xfId="27381" xr:uid="{2B634BDD-E793-4E4B-B480-27C8D7F423BD}"/>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EC3ECCF0-EF0D-4B78-968C-DDFBBD8C841A}"/>
    <cellStyle name="40% - Accent2 2 3 4 2 2 3" xfId="25716" xr:uid="{51143ADB-2529-42D3-8724-17D83703E479}"/>
    <cellStyle name="40% - Accent2 2 3 4 2 2 4" xfId="34156" xr:uid="{56377F7E-FF68-4B40-A2E3-DBEEB2294C90}"/>
    <cellStyle name="40% - Accent2 2 3 4 2 3" xfId="13058" xr:uid="{E7E7A282-1E3B-4C29-8240-7DF07C3710B6}"/>
    <cellStyle name="40% - Accent2 2 3 4 2 4" xfId="21499" xr:uid="{3B2126F4-3A84-4F6F-9C20-5DBA253E475B}"/>
    <cellStyle name="40% - Accent2 2 3 4 2 5" xfId="29939" xr:uid="{608B86AE-96D3-46F9-9FBC-06BFECD2035D}"/>
    <cellStyle name="40% - Accent2 2 3 4 3" xfId="5804" xr:uid="{00000000-0005-0000-0000-000097040000}"/>
    <cellStyle name="40% - Accent2 2 3 4 3 2" xfId="15130" xr:uid="{D31D7D2B-7657-4D19-927F-6EEBA3D8EC8B}"/>
    <cellStyle name="40% - Accent2 2 3 4 3 3" xfId="23571" xr:uid="{30FF4EEF-4738-4240-BFE7-F14A776DE454}"/>
    <cellStyle name="40% - Accent2 2 3 4 3 4" xfId="32011" xr:uid="{0574E917-AE02-40EB-88E4-F4033CD8F2CB}"/>
    <cellStyle name="40% - Accent2 2 3 4 4" xfId="10913" xr:uid="{ECE72842-42DE-4175-B78A-D29CB2EBCD64}"/>
    <cellStyle name="40% - Accent2 2 3 4 5" xfId="19354" xr:uid="{F67B131E-CC5B-4AD5-9CB6-A2F7D67F9530}"/>
    <cellStyle name="40% - Accent2 2 3 4 6" xfId="27794" xr:uid="{C8381CB8-4415-42C5-8E07-E9672910EF58}"/>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8043D557-F62C-455A-BC45-F9DBDEE18E8E}"/>
    <cellStyle name="40% - Accent2 2 3 5 2 2 3" xfId="26129" xr:uid="{0A402DAE-B5EC-429F-AA89-19059A02F943}"/>
    <cellStyle name="40% - Accent2 2 3 5 2 2 4" xfId="34569" xr:uid="{D0382198-6C3D-4C30-95CF-5B5C16F8133C}"/>
    <cellStyle name="40% - Accent2 2 3 5 2 3" xfId="13471" xr:uid="{38C883ED-6BBD-4957-A5EA-F376E50F2CA7}"/>
    <cellStyle name="40% - Accent2 2 3 5 2 4" xfId="21912" xr:uid="{479BD1D6-1A3D-4C74-A4DD-3B81F0CD4E66}"/>
    <cellStyle name="40% - Accent2 2 3 5 2 5" xfId="30352" xr:uid="{D587B279-2991-455D-82ED-6F1C8E5234F4}"/>
    <cellStyle name="40% - Accent2 2 3 5 3" xfId="6217" xr:uid="{00000000-0005-0000-0000-00009B040000}"/>
    <cellStyle name="40% - Accent2 2 3 5 3 2" xfId="15543" xr:uid="{58D11797-2596-441E-950E-6B973740F0B9}"/>
    <cellStyle name="40% - Accent2 2 3 5 3 3" xfId="23984" xr:uid="{B08F8564-9F53-4630-9684-EFFD14EE0FB3}"/>
    <cellStyle name="40% - Accent2 2 3 5 3 4" xfId="32424" xr:uid="{3B93B4C5-184F-44DA-989C-7E6B2B4DE94E}"/>
    <cellStyle name="40% - Accent2 2 3 5 4" xfId="11326" xr:uid="{5FA2D51B-A2F1-4DD8-8674-0CB195530DB5}"/>
    <cellStyle name="40% - Accent2 2 3 5 5" xfId="19767" xr:uid="{238CF4D2-432C-4EAE-979A-B5A126C0FA8C}"/>
    <cellStyle name="40% - Accent2 2 3 5 6" xfId="28207" xr:uid="{D2E76F63-D25A-4294-893B-0D843EFDB615}"/>
    <cellStyle name="40% - Accent2 2 3 6" xfId="2324" xr:uid="{00000000-0005-0000-0000-00009C040000}"/>
    <cellStyle name="40% - Accent2 2 3 6 2" xfId="6630" xr:uid="{00000000-0005-0000-0000-00009D040000}"/>
    <cellStyle name="40% - Accent2 2 3 6 2 2" xfId="15956" xr:uid="{7DC232BE-59C8-4704-AC38-78C18B277E87}"/>
    <cellStyle name="40% - Accent2 2 3 6 2 3" xfId="24397" xr:uid="{6B3CA05F-FF0F-4820-9F18-B6AC5E7AD4F7}"/>
    <cellStyle name="40% - Accent2 2 3 6 2 4" xfId="32837" xr:uid="{6DE5CCF1-B3AC-42FD-8871-301E4EC862BC}"/>
    <cellStyle name="40% - Accent2 2 3 6 3" xfId="11739" xr:uid="{57F2EC85-6263-40A4-89B3-3EEE3AFAFC09}"/>
    <cellStyle name="40% - Accent2 2 3 6 4" xfId="20180" xr:uid="{2721291E-D88A-4EE2-B1FC-6E6376EB0DE5}"/>
    <cellStyle name="40% - Accent2 2 3 6 5" xfId="28620" xr:uid="{18118BA4-D0EC-4EAD-9408-2A5C4415D688}"/>
    <cellStyle name="40% - Accent2 2 3 7" xfId="4564" xr:uid="{00000000-0005-0000-0000-00009E040000}"/>
    <cellStyle name="40% - Accent2 2 3 7 2" xfId="13890" xr:uid="{C62BE2A7-FA76-48A5-9FCB-9F02FD9AD1E9}"/>
    <cellStyle name="40% - Accent2 2 3 7 3" xfId="22331" xr:uid="{75C8F3E1-9E40-4AA7-85E0-D075033E64FE}"/>
    <cellStyle name="40% - Accent2 2 3 7 4" xfId="30771" xr:uid="{C586D41E-4788-4AAC-AC46-FF1CF758EED9}"/>
    <cellStyle name="40% - Accent2 2 3 8" xfId="9006" xr:uid="{E6E89EA5-B76F-4FCC-89B9-DD4135B6364B}"/>
    <cellStyle name="40% - Accent2 2 3 9" xfId="9673" xr:uid="{3B417ADA-FC4E-4034-9231-9F48B4ECFD0D}"/>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CE27EB03-B92D-4E9E-8547-EC60B1E4D3D1}"/>
    <cellStyle name="40% - Accent2 2 4 2 2 3" xfId="24887" xr:uid="{037B64FE-CD17-410C-B572-B90FAF919DD2}"/>
    <cellStyle name="40% - Accent2 2 4 2 2 4" xfId="33327" xr:uid="{1ECAA2D9-BBCA-48F8-BF25-A4BBC114D30C}"/>
    <cellStyle name="40% - Accent2 2 4 2 3" xfId="12229" xr:uid="{3CC05D73-3391-449A-8D84-16290705461A}"/>
    <cellStyle name="40% - Accent2 2 4 2 4" xfId="20670" xr:uid="{1E9BBDF5-0613-4EC2-A6D0-427F72527FD1}"/>
    <cellStyle name="40% - Accent2 2 4 2 5" xfId="29110" xr:uid="{02ABF054-FAA5-4CEF-81B5-1E9DBE641241}"/>
    <cellStyle name="40% - Accent2 2 4 3" xfId="4975" xr:uid="{00000000-0005-0000-0000-0000A2040000}"/>
    <cellStyle name="40% - Accent2 2 4 3 2" xfId="14301" xr:uid="{2F58551E-CDC3-4AF0-AFB3-159E8F966586}"/>
    <cellStyle name="40% - Accent2 2 4 3 3" xfId="22742" xr:uid="{A944F5BA-F861-4B74-8045-C70F7F31914C}"/>
    <cellStyle name="40% - Accent2 2 4 3 4" xfId="31182" xr:uid="{4ED6A521-2EB7-48E7-989B-402964DB8E79}"/>
    <cellStyle name="40% - Accent2 2 4 4" xfId="9223" xr:uid="{FA9890B4-781A-4E4C-81EE-BC7448559828}"/>
    <cellStyle name="40% - Accent2 2 4 5" xfId="10084" xr:uid="{092698D6-5A76-4A13-9C66-D757630DFF8B}"/>
    <cellStyle name="40% - Accent2 2 4 6" xfId="18525" xr:uid="{32C3784F-F852-4071-BDD6-4402D6120A73}"/>
    <cellStyle name="40% - Accent2 2 4 7" xfId="26965" xr:uid="{3E2B0B87-A416-43ED-BC9F-84B6A79040F8}"/>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8111159C-B296-4C95-B92D-38F71998C978}"/>
    <cellStyle name="40% - Accent2 2 5 2 2 3" xfId="25300" xr:uid="{F76D08DA-C481-4305-8A8A-11E87894A1DD}"/>
    <cellStyle name="40% - Accent2 2 5 2 2 4" xfId="33740" xr:uid="{F597F553-22E3-430A-A195-741D221358A0}"/>
    <cellStyle name="40% - Accent2 2 5 2 3" xfId="12642" xr:uid="{12C90AD8-2601-4EBF-AA8D-EA12780F8B32}"/>
    <cellStyle name="40% - Accent2 2 5 2 4" xfId="21083" xr:uid="{7D140582-A190-461E-8449-13F2F66FC1C8}"/>
    <cellStyle name="40% - Accent2 2 5 2 5" xfId="29523" xr:uid="{30B2DBCE-867F-4B1B-8E1A-87521D275CC8}"/>
    <cellStyle name="40% - Accent2 2 5 3" xfId="5388" xr:uid="{00000000-0005-0000-0000-0000A6040000}"/>
    <cellStyle name="40% - Accent2 2 5 3 2" xfId="14714" xr:uid="{8F3EF34B-2324-4091-8427-D66EDF8EEFB0}"/>
    <cellStyle name="40% - Accent2 2 5 3 3" xfId="23155" xr:uid="{88D329F4-F636-42A3-A15A-D0496C73E2E2}"/>
    <cellStyle name="40% - Accent2 2 5 3 4" xfId="31595" xr:uid="{91A37829-60A6-44BF-9E8A-AB9F82898E7A}"/>
    <cellStyle name="40% - Accent2 2 5 4" xfId="10497" xr:uid="{6C251EFF-664A-4129-9CF6-7BE4D2B7A138}"/>
    <cellStyle name="40% - Accent2 2 5 5" xfId="18938" xr:uid="{3EB6E9E1-83EA-4093-ACB5-E9CFC37E5E74}"/>
    <cellStyle name="40% - Accent2 2 5 6" xfId="27378" xr:uid="{E41F5B4A-5C3A-4236-838A-101BF2F1695D}"/>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770BC1AF-D938-4D80-B936-111FEECB85F7}"/>
    <cellStyle name="40% - Accent2 2 6 2 2 3" xfId="25713" xr:uid="{255080E5-C909-4378-A235-4351AE444182}"/>
    <cellStyle name="40% - Accent2 2 6 2 2 4" xfId="34153" xr:uid="{67748EBA-7E10-4FD8-B5B0-0A76C9FAB836}"/>
    <cellStyle name="40% - Accent2 2 6 2 3" xfId="13055" xr:uid="{DE3FC726-6768-4A36-98C5-53787E5256E2}"/>
    <cellStyle name="40% - Accent2 2 6 2 4" xfId="21496" xr:uid="{A85DC9B9-8681-4B38-AB68-86D1B5BDF8FC}"/>
    <cellStyle name="40% - Accent2 2 6 2 5" xfId="29936" xr:uid="{E462D40A-7D7F-4D28-B55F-6FE286BDCCA3}"/>
    <cellStyle name="40% - Accent2 2 6 3" xfId="5801" xr:uid="{00000000-0005-0000-0000-0000AA040000}"/>
    <cellStyle name="40% - Accent2 2 6 3 2" xfId="15127" xr:uid="{555EAA5C-882F-4B23-BCA0-F342AFA1526D}"/>
    <cellStyle name="40% - Accent2 2 6 3 3" xfId="23568" xr:uid="{D72719FE-F017-498C-9377-94222D0DDA39}"/>
    <cellStyle name="40% - Accent2 2 6 3 4" xfId="32008" xr:uid="{1CBB09DC-1D89-4F4D-812A-E6E61A747347}"/>
    <cellStyle name="40% - Accent2 2 6 4" xfId="10910" xr:uid="{D6B5B19C-21C8-4B49-A7D7-8797407F7EBC}"/>
    <cellStyle name="40% - Accent2 2 6 5" xfId="19351" xr:uid="{280E9505-E4CA-4A39-8EF4-B5A335693BD5}"/>
    <cellStyle name="40% - Accent2 2 6 6" xfId="27791" xr:uid="{2A7B7EF4-A0AA-4569-8C76-824314F0A02B}"/>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3CEDD8D6-E854-4D32-900C-6A7770D9E584}"/>
    <cellStyle name="40% - Accent2 2 7 2 2 3" xfId="26126" xr:uid="{61991B22-32DE-48C7-87EC-8E7AD7E2D71A}"/>
    <cellStyle name="40% - Accent2 2 7 2 2 4" xfId="34566" xr:uid="{3A41D7F8-FD51-4248-BEBA-275986C13241}"/>
    <cellStyle name="40% - Accent2 2 7 2 3" xfId="13468" xr:uid="{3AD96C52-2616-4DC1-A458-78C55CA2BA87}"/>
    <cellStyle name="40% - Accent2 2 7 2 4" xfId="21909" xr:uid="{19A0815A-3E4E-44FC-989E-371F86FA7423}"/>
    <cellStyle name="40% - Accent2 2 7 2 5" xfId="30349" xr:uid="{B37C47B5-1520-463D-8A3D-984A1A048184}"/>
    <cellStyle name="40% - Accent2 2 7 3" xfId="6214" xr:uid="{00000000-0005-0000-0000-0000AE040000}"/>
    <cellStyle name="40% - Accent2 2 7 3 2" xfId="15540" xr:uid="{EEC89FF8-B189-4C51-8989-AF1C3EC86D23}"/>
    <cellStyle name="40% - Accent2 2 7 3 3" xfId="23981" xr:uid="{662BAC00-D3D9-4B2F-8B9C-F07B2269458A}"/>
    <cellStyle name="40% - Accent2 2 7 3 4" xfId="32421" xr:uid="{DA7D699B-83E1-42A1-9000-A48DC1EA1DD5}"/>
    <cellStyle name="40% - Accent2 2 7 4" xfId="11323" xr:uid="{CF91F9E7-F4B3-4225-8F86-2A0B50CD8E39}"/>
    <cellStyle name="40% - Accent2 2 7 5" xfId="19764" xr:uid="{C680FF5E-6B49-4D38-8A62-BA462A03CB06}"/>
    <cellStyle name="40% - Accent2 2 7 6" xfId="28204" xr:uid="{BCF499FF-CA3E-4C03-A948-4C3CEAE36C1D}"/>
    <cellStyle name="40% - Accent2 2 8" xfId="2321" xr:uid="{00000000-0005-0000-0000-0000AF040000}"/>
    <cellStyle name="40% - Accent2 2 8 2" xfId="6627" xr:uid="{00000000-0005-0000-0000-0000B0040000}"/>
    <cellStyle name="40% - Accent2 2 8 2 2" xfId="15953" xr:uid="{029919C2-6872-4A32-A2E7-FA7A2D26357B}"/>
    <cellStyle name="40% - Accent2 2 8 2 3" xfId="24394" xr:uid="{7A590EF3-D7B2-4748-9B4A-351B01A8ECE5}"/>
    <cellStyle name="40% - Accent2 2 8 2 4" xfId="32834" xr:uid="{C2178352-5726-4EAB-BA54-34BC2E178E41}"/>
    <cellStyle name="40% - Accent2 2 8 3" xfId="11736" xr:uid="{F897110D-7FFE-4588-9783-9A057203F809}"/>
    <cellStyle name="40% - Accent2 2 8 4" xfId="20177" xr:uid="{3251F38F-AD22-41C2-A329-EFAFEB60FA63}"/>
    <cellStyle name="40% - Accent2 2 8 5" xfId="28617" xr:uid="{3749399C-5819-4A7F-AA83-E9587DD0DAF8}"/>
    <cellStyle name="40% - Accent2 2 9" xfId="4561" xr:uid="{00000000-0005-0000-0000-0000B1040000}"/>
    <cellStyle name="40% - Accent2 2 9 2" xfId="13887" xr:uid="{1C20BC25-A91C-47E1-950F-CCEEFF9AF571}"/>
    <cellStyle name="40% - Accent2 2 9 3" xfId="22328" xr:uid="{E5E87464-EC39-493F-9356-4C6044D3D14D}"/>
    <cellStyle name="40% - Accent2 2 9 4" xfId="30768" xr:uid="{338A0F25-1C34-44E2-9F2E-B1D3141E65C0}"/>
    <cellStyle name="40% - Accent2 3" xfId="62" xr:uid="{00000000-0005-0000-0000-0000B2040000}"/>
    <cellStyle name="40% - Accent2 3 10" xfId="9674" xr:uid="{CA14FE6A-41FE-4D85-ACDD-A67C5D6E9584}"/>
    <cellStyle name="40% - Accent2 3 11" xfId="18115" xr:uid="{599CE77E-C0A5-4647-88B3-E69C66F36AB4}"/>
    <cellStyle name="40% - Accent2 3 12" xfId="26555" xr:uid="{E5594DE5-6C55-4284-8F3F-671E37E401F9}"/>
    <cellStyle name="40% - Accent2 3 2" xfId="63" xr:uid="{00000000-0005-0000-0000-0000B3040000}"/>
    <cellStyle name="40% - Accent2 3 2 10" xfId="18116" xr:uid="{89E69A83-0AAD-4CC2-B4A9-8F9B8E4DA4D5}"/>
    <cellStyle name="40% - Accent2 3 2 11" xfId="26556" xr:uid="{903879C9-9A72-477B-A904-1A31FE896C74}"/>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6BCF35AC-F229-40C5-9F52-753B35C96135}"/>
    <cellStyle name="40% - Accent2 3 2 2 2 2 3" xfId="24892" xr:uid="{19FDB769-4579-40F7-88E5-3BF39DCB67D1}"/>
    <cellStyle name="40% - Accent2 3 2 2 2 2 4" xfId="33332" xr:uid="{FECA431E-92D9-41AD-B36E-45DA3D74B70A}"/>
    <cellStyle name="40% - Accent2 3 2 2 2 3" xfId="12234" xr:uid="{B17E46A0-B092-4B93-BAED-F9EB793933B7}"/>
    <cellStyle name="40% - Accent2 3 2 2 2 4" xfId="20675" xr:uid="{7895457D-7A9C-480A-9EB1-B74A4B2DEC10}"/>
    <cellStyle name="40% - Accent2 3 2 2 2 5" xfId="29115" xr:uid="{4C7A7F0E-D717-4457-801B-0B0C9D46D7CA}"/>
    <cellStyle name="40% - Accent2 3 2 2 3" xfId="4980" xr:uid="{00000000-0005-0000-0000-0000B7040000}"/>
    <cellStyle name="40% - Accent2 3 2 2 3 2" xfId="14306" xr:uid="{300BDC8D-91E9-49FE-8532-A2A455D36447}"/>
    <cellStyle name="40% - Accent2 3 2 2 3 3" xfId="22747" xr:uid="{BA3A8872-6D83-412D-A6C3-DC896816EB2A}"/>
    <cellStyle name="40% - Accent2 3 2 2 3 4" xfId="31187" xr:uid="{4D18FB54-B326-41C6-8BC9-5F59D5A63E5C}"/>
    <cellStyle name="40% - Accent2 3 2 2 4" xfId="9496" xr:uid="{700FA1AF-D943-4FDB-BFB1-F903AD1F731A}"/>
    <cellStyle name="40% - Accent2 3 2 2 5" xfId="10089" xr:uid="{EC2EC308-72D1-4F0F-A168-E160725BC2C5}"/>
    <cellStyle name="40% - Accent2 3 2 2 6" xfId="18530" xr:uid="{9B7A8D4D-E427-4CE3-A848-9CB603C021BE}"/>
    <cellStyle name="40% - Accent2 3 2 2 7" xfId="26970" xr:uid="{960F07D8-432E-46B8-98D0-7EDBE3A57011}"/>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647D7051-FAFF-4105-A45B-F7504CDA2B5B}"/>
    <cellStyle name="40% - Accent2 3 2 3 2 2 3" xfId="25305" xr:uid="{DFE72A40-69F5-47B6-9BBC-AE6BDF992630}"/>
    <cellStyle name="40% - Accent2 3 2 3 2 2 4" xfId="33745" xr:uid="{DEA7AEEB-4280-4E4D-AC29-07B8F1977573}"/>
    <cellStyle name="40% - Accent2 3 2 3 2 3" xfId="12647" xr:uid="{CEB4FB76-D37C-438B-96F4-36F8DF50B38C}"/>
    <cellStyle name="40% - Accent2 3 2 3 2 4" xfId="21088" xr:uid="{A4FD7B82-F0D3-4995-B13C-57532FFCF07B}"/>
    <cellStyle name="40% - Accent2 3 2 3 2 5" xfId="29528" xr:uid="{5C9DFBCF-3339-44D4-B911-8C3D8F3A20CF}"/>
    <cellStyle name="40% - Accent2 3 2 3 3" xfId="5393" xr:uid="{00000000-0005-0000-0000-0000BB040000}"/>
    <cellStyle name="40% - Accent2 3 2 3 3 2" xfId="14719" xr:uid="{1ED3D8ED-24B8-4B29-95E7-81303CF2E8F1}"/>
    <cellStyle name="40% - Accent2 3 2 3 3 3" xfId="23160" xr:uid="{67ADB2E9-7884-43EF-B23B-7859E45F0672}"/>
    <cellStyle name="40% - Accent2 3 2 3 3 4" xfId="31600" xr:uid="{F5D46B00-D7A0-4E8C-AD03-57E8D7489A74}"/>
    <cellStyle name="40% - Accent2 3 2 3 4" xfId="10502" xr:uid="{A93C9C77-375A-45B2-966E-3BFBA8A2D7B2}"/>
    <cellStyle name="40% - Accent2 3 2 3 5" xfId="18943" xr:uid="{AC285FC8-598F-46DF-8BA8-CCCBD90005F9}"/>
    <cellStyle name="40% - Accent2 3 2 3 6" xfId="27383" xr:uid="{1F5A6C0F-42E8-43D3-8D35-FDB4A63B5125}"/>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D456544E-53CE-4D05-B963-4D98245BF51B}"/>
    <cellStyle name="40% - Accent2 3 2 4 2 2 3" xfId="25718" xr:uid="{B211BD95-59C5-4A73-9774-8E8BBBBF3D05}"/>
    <cellStyle name="40% - Accent2 3 2 4 2 2 4" xfId="34158" xr:uid="{0557EBF7-C7F0-496A-8934-8000491131EB}"/>
    <cellStyle name="40% - Accent2 3 2 4 2 3" xfId="13060" xr:uid="{FC9305DA-76F4-41CC-8E3E-8C8CBA8B4855}"/>
    <cellStyle name="40% - Accent2 3 2 4 2 4" xfId="21501" xr:uid="{1C1CE1B6-128A-47E8-9270-8C9AF2598680}"/>
    <cellStyle name="40% - Accent2 3 2 4 2 5" xfId="29941" xr:uid="{FD084B58-5B10-4737-9EC5-FCE1724E55C4}"/>
    <cellStyle name="40% - Accent2 3 2 4 3" xfId="5806" xr:uid="{00000000-0005-0000-0000-0000BF040000}"/>
    <cellStyle name="40% - Accent2 3 2 4 3 2" xfId="15132" xr:uid="{A794B07E-8DB9-4AE5-A419-E7DA9829C2C3}"/>
    <cellStyle name="40% - Accent2 3 2 4 3 3" xfId="23573" xr:uid="{6FE5FFB1-A8A2-48C7-8148-67E425BB3EFA}"/>
    <cellStyle name="40% - Accent2 3 2 4 3 4" xfId="32013" xr:uid="{D947C8CA-5D45-4BA1-8EA1-AC0E58B04323}"/>
    <cellStyle name="40% - Accent2 3 2 4 4" xfId="10915" xr:uid="{D6F23828-56AE-465F-97C6-655FFF73970C}"/>
    <cellStyle name="40% - Accent2 3 2 4 5" xfId="19356" xr:uid="{183F8098-D49C-489B-BBB3-F631B088A1C0}"/>
    <cellStyle name="40% - Accent2 3 2 4 6" xfId="27796" xr:uid="{C12C75CF-53C2-4142-8B2D-9C88A2C861B0}"/>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C82A10DA-728E-4B14-B3FD-A29E74CE43B3}"/>
    <cellStyle name="40% - Accent2 3 2 5 2 2 3" xfId="26131" xr:uid="{04C652E6-113C-4CD6-97E5-C79795B305A4}"/>
    <cellStyle name="40% - Accent2 3 2 5 2 2 4" xfId="34571" xr:uid="{F788688B-82E6-4DCD-8D34-85F2A5EE5AD6}"/>
    <cellStyle name="40% - Accent2 3 2 5 2 3" xfId="13473" xr:uid="{4FECD758-7327-4599-ADFB-C1F7C5CF2276}"/>
    <cellStyle name="40% - Accent2 3 2 5 2 4" xfId="21914" xr:uid="{0C3C71C6-7F91-4371-9766-67930B229A9F}"/>
    <cellStyle name="40% - Accent2 3 2 5 2 5" xfId="30354" xr:uid="{884CE067-F950-4CF6-81D2-B0576C9E0EC4}"/>
    <cellStyle name="40% - Accent2 3 2 5 3" xfId="6219" xr:uid="{00000000-0005-0000-0000-0000C3040000}"/>
    <cellStyle name="40% - Accent2 3 2 5 3 2" xfId="15545" xr:uid="{27F0728A-2C6B-4527-9876-7A635E3ADCF8}"/>
    <cellStyle name="40% - Accent2 3 2 5 3 3" xfId="23986" xr:uid="{0C332754-7E82-4D05-81DE-0E4BAE8EE054}"/>
    <cellStyle name="40% - Accent2 3 2 5 3 4" xfId="32426" xr:uid="{683A27E2-DEE6-41EA-946D-0DF5B691E6E0}"/>
    <cellStyle name="40% - Accent2 3 2 5 4" xfId="11328" xr:uid="{1A75DE2F-36CD-4944-96E3-63039077828D}"/>
    <cellStyle name="40% - Accent2 3 2 5 5" xfId="19769" xr:uid="{A6FDA767-9676-4AE4-918E-C51A5B9A5039}"/>
    <cellStyle name="40% - Accent2 3 2 5 6" xfId="28209" xr:uid="{083958DE-C96A-444C-80F7-27CC57DAAE1B}"/>
    <cellStyle name="40% - Accent2 3 2 6" xfId="2326" xr:uid="{00000000-0005-0000-0000-0000C4040000}"/>
    <cellStyle name="40% - Accent2 3 2 6 2" xfId="6632" xr:uid="{00000000-0005-0000-0000-0000C5040000}"/>
    <cellStyle name="40% - Accent2 3 2 6 2 2" xfId="15958" xr:uid="{E6D05DE5-2FDC-41C3-A276-6217954A6D78}"/>
    <cellStyle name="40% - Accent2 3 2 6 2 3" xfId="24399" xr:uid="{EE118E12-9775-4D54-A4A3-9795426FE218}"/>
    <cellStyle name="40% - Accent2 3 2 6 2 4" xfId="32839" xr:uid="{8493EDC3-7B80-4C6B-8347-6A9C12F5C3AA}"/>
    <cellStyle name="40% - Accent2 3 2 6 3" xfId="11741" xr:uid="{F8D6055B-62A0-43ED-8662-17B3E2F09002}"/>
    <cellStyle name="40% - Accent2 3 2 6 4" xfId="20182" xr:uid="{54A2DA1C-A4A6-4DE4-B31E-092FA2440C15}"/>
    <cellStyle name="40% - Accent2 3 2 6 5" xfId="28622" xr:uid="{8E731884-3268-4A56-9405-6B0ACB2973CF}"/>
    <cellStyle name="40% - Accent2 3 2 7" xfId="4566" xr:uid="{00000000-0005-0000-0000-0000C6040000}"/>
    <cellStyle name="40% - Accent2 3 2 7 2" xfId="13892" xr:uid="{BA37E3C6-D93A-43EC-84B8-E17795BD0207}"/>
    <cellStyle name="40% - Accent2 3 2 7 3" xfId="22333" xr:uid="{76A5BD87-7CB4-467B-936B-040B25D4698C}"/>
    <cellStyle name="40% - Accent2 3 2 7 4" xfId="30773" xr:uid="{9BCE60F3-F63C-45E7-904E-E41F03E7F00D}"/>
    <cellStyle name="40% - Accent2 3 2 8" xfId="9071" xr:uid="{B5463F05-11FC-4377-B380-DDB549C63AA9}"/>
    <cellStyle name="40% - Accent2 3 2 9" xfId="9675" xr:uid="{3B1786D6-B875-4D4F-8D23-5945670A1702}"/>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049E7CCE-CEBC-4B05-A6F5-F5A546A01FC8}"/>
    <cellStyle name="40% - Accent2 3 3 2 2 3" xfId="24891" xr:uid="{E6AF526A-E954-4F34-A431-75D60953AFEE}"/>
    <cellStyle name="40% - Accent2 3 3 2 2 4" xfId="33331" xr:uid="{C075006B-EDEA-4F0F-B8D4-89F7B6EA6688}"/>
    <cellStyle name="40% - Accent2 3 3 2 3" xfId="12233" xr:uid="{F18B70FE-856A-4327-A899-32391C278031}"/>
    <cellStyle name="40% - Accent2 3 3 2 4" xfId="20674" xr:uid="{B7A3A618-3ED0-4459-933A-9444407852FF}"/>
    <cellStyle name="40% - Accent2 3 3 2 5" xfId="29114" xr:uid="{84E597FE-C0C9-414B-A2D0-4867A3C195F7}"/>
    <cellStyle name="40% - Accent2 3 3 3" xfId="4979" xr:uid="{00000000-0005-0000-0000-0000CA040000}"/>
    <cellStyle name="40% - Accent2 3 3 3 2" xfId="14305" xr:uid="{12D3CB23-BEF8-4737-A16D-636C2F4922CB}"/>
    <cellStyle name="40% - Accent2 3 3 3 3" xfId="22746" xr:uid="{8B6A6D05-722A-4973-9D82-0AD79FE90603}"/>
    <cellStyle name="40% - Accent2 3 3 3 4" xfId="31186" xr:uid="{D5D183C3-01AA-402C-B07E-D96D715FA948}"/>
    <cellStyle name="40% - Accent2 3 3 4" xfId="9289" xr:uid="{B234EB9F-4AFE-41A2-A17D-ABC1D0F80875}"/>
    <cellStyle name="40% - Accent2 3 3 5" xfId="10088" xr:uid="{CF2795E7-A21F-4A06-8928-1B1466AEC485}"/>
    <cellStyle name="40% - Accent2 3 3 6" xfId="18529" xr:uid="{0D73E146-2AB0-42A9-8D3A-A34E1DBC82E5}"/>
    <cellStyle name="40% - Accent2 3 3 7" xfId="26969" xr:uid="{F45F1187-8284-43CE-A0E4-F7A11C1EA93C}"/>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E592C978-A264-412F-89F6-E62CEA2579BB}"/>
    <cellStyle name="40% - Accent2 3 4 2 2 3" xfId="25304" xr:uid="{1B2A88BD-2F04-49FC-A86C-3429757929D5}"/>
    <cellStyle name="40% - Accent2 3 4 2 2 4" xfId="33744" xr:uid="{2DB895DD-26E5-4CCF-B052-C1E2FA38EC50}"/>
    <cellStyle name="40% - Accent2 3 4 2 3" xfId="12646" xr:uid="{75621059-A23D-477F-A07A-8CCB389EA034}"/>
    <cellStyle name="40% - Accent2 3 4 2 4" xfId="21087" xr:uid="{3A31D612-2595-4CA7-96E5-9E517E6EEDEC}"/>
    <cellStyle name="40% - Accent2 3 4 2 5" xfId="29527" xr:uid="{EAD4B070-51DE-4FB8-BFD5-D5AFF2587B09}"/>
    <cellStyle name="40% - Accent2 3 4 3" xfId="5392" xr:uid="{00000000-0005-0000-0000-0000CE040000}"/>
    <cellStyle name="40% - Accent2 3 4 3 2" xfId="14718" xr:uid="{EDEF7B19-D9FF-430D-BF86-8B982083A1C0}"/>
    <cellStyle name="40% - Accent2 3 4 3 3" xfId="23159" xr:uid="{D5390DE7-1B94-4E24-B054-CA5944EC720E}"/>
    <cellStyle name="40% - Accent2 3 4 3 4" xfId="31599" xr:uid="{78F46912-C241-473B-9AEA-7E8BE76038E6}"/>
    <cellStyle name="40% - Accent2 3 4 4" xfId="10501" xr:uid="{2253FAFB-BD0B-4641-A737-23677AF1B329}"/>
    <cellStyle name="40% - Accent2 3 4 5" xfId="18942" xr:uid="{37E873CA-3993-44A3-98E3-39C396B3E5BF}"/>
    <cellStyle name="40% - Accent2 3 4 6" xfId="27382" xr:uid="{B597BD31-3416-49A5-97B3-B6587488F956}"/>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4B42CA2D-EB0B-45D2-8AE7-CD2694D0B7F4}"/>
    <cellStyle name="40% - Accent2 3 5 2 2 3" xfId="25717" xr:uid="{79AC000C-C420-4770-BC76-225718670C68}"/>
    <cellStyle name="40% - Accent2 3 5 2 2 4" xfId="34157" xr:uid="{230C6D5B-6A37-499C-A891-C9E3C23C63C9}"/>
    <cellStyle name="40% - Accent2 3 5 2 3" xfId="13059" xr:uid="{79F0239C-BE2F-428B-A1D5-DE3AC8A74E70}"/>
    <cellStyle name="40% - Accent2 3 5 2 4" xfId="21500" xr:uid="{A29F7E45-C5DB-4CFB-9C1A-CCBC3391963E}"/>
    <cellStyle name="40% - Accent2 3 5 2 5" xfId="29940" xr:uid="{FF289962-9966-4524-BB69-D6F51AAA4A27}"/>
    <cellStyle name="40% - Accent2 3 5 3" xfId="5805" xr:uid="{00000000-0005-0000-0000-0000D2040000}"/>
    <cellStyle name="40% - Accent2 3 5 3 2" xfId="15131" xr:uid="{8AF6E9D6-D65A-42AF-A0BB-E3ADBE792011}"/>
    <cellStyle name="40% - Accent2 3 5 3 3" xfId="23572" xr:uid="{C8D3A58B-DC43-4928-A90C-18F766F84130}"/>
    <cellStyle name="40% - Accent2 3 5 3 4" xfId="32012" xr:uid="{25B3CE2C-0B40-4E64-8F3C-1E60D932FFFC}"/>
    <cellStyle name="40% - Accent2 3 5 4" xfId="10914" xr:uid="{C4498A6F-1418-4CA4-B723-2CF03EB79B40}"/>
    <cellStyle name="40% - Accent2 3 5 5" xfId="19355" xr:uid="{8CE6EBB6-F5DC-485A-8F80-755DEA22B0A2}"/>
    <cellStyle name="40% - Accent2 3 5 6" xfId="27795" xr:uid="{2410784C-52F3-4A05-A28C-A79B953CFE2D}"/>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DDF1A3B1-04E7-49E8-B78C-0577BF4D2F73}"/>
    <cellStyle name="40% - Accent2 3 6 2 2 3" xfId="26130" xr:uid="{59FED073-382D-4044-B997-6F37124F90B1}"/>
    <cellStyle name="40% - Accent2 3 6 2 2 4" xfId="34570" xr:uid="{EB3FEC98-5774-4EEC-89AA-845EC5B0D056}"/>
    <cellStyle name="40% - Accent2 3 6 2 3" xfId="13472" xr:uid="{695E1CFB-7222-4E5F-905B-6C819CE21618}"/>
    <cellStyle name="40% - Accent2 3 6 2 4" xfId="21913" xr:uid="{3DE7E0FC-028F-4D04-BB37-612D189E8409}"/>
    <cellStyle name="40% - Accent2 3 6 2 5" xfId="30353" xr:uid="{F60A98D2-392F-4DFF-9567-5F7D93DEAD72}"/>
    <cellStyle name="40% - Accent2 3 6 3" xfId="6218" xr:uid="{00000000-0005-0000-0000-0000D6040000}"/>
    <cellStyle name="40% - Accent2 3 6 3 2" xfId="15544" xr:uid="{25F2CECA-A440-44D4-AF7B-9DB4C7F9D307}"/>
    <cellStyle name="40% - Accent2 3 6 3 3" xfId="23985" xr:uid="{DFEF4C42-110F-4B74-83FF-33D1C6367098}"/>
    <cellStyle name="40% - Accent2 3 6 3 4" xfId="32425" xr:uid="{F7183CD5-88E7-459B-A66E-C381B67629C4}"/>
    <cellStyle name="40% - Accent2 3 6 4" xfId="11327" xr:uid="{9AAE644F-D064-4BED-B7A5-0422923384A5}"/>
    <cellStyle name="40% - Accent2 3 6 5" xfId="19768" xr:uid="{55BAC136-A80B-4BDE-B93C-A405463DF403}"/>
    <cellStyle name="40% - Accent2 3 6 6" xfId="28208" xr:uid="{370C892C-1AC6-490C-9F37-1B727DAC8DB8}"/>
    <cellStyle name="40% - Accent2 3 7" xfId="2325" xr:uid="{00000000-0005-0000-0000-0000D7040000}"/>
    <cellStyle name="40% - Accent2 3 7 2" xfId="6631" xr:uid="{00000000-0005-0000-0000-0000D8040000}"/>
    <cellStyle name="40% - Accent2 3 7 2 2" xfId="15957" xr:uid="{BF9AFEF5-0A57-420E-A60A-BF0FDD294190}"/>
    <cellStyle name="40% - Accent2 3 7 2 3" xfId="24398" xr:uid="{EAEAB6A2-535D-4680-B95E-EF75DDBF8B37}"/>
    <cellStyle name="40% - Accent2 3 7 2 4" xfId="32838" xr:uid="{1111F8D1-0511-402A-B0C1-C1C7221A5199}"/>
    <cellStyle name="40% - Accent2 3 7 3" xfId="11740" xr:uid="{4F2BDF8F-B620-4D09-9CB4-A3178A79CF34}"/>
    <cellStyle name="40% - Accent2 3 7 4" xfId="20181" xr:uid="{A9726B60-330B-40BC-AD09-56769446A0DF}"/>
    <cellStyle name="40% - Accent2 3 7 5" xfId="28621" xr:uid="{896E40A7-0861-485B-BAEC-93C1D6AC06A1}"/>
    <cellStyle name="40% - Accent2 3 8" xfId="4565" xr:uid="{00000000-0005-0000-0000-0000D9040000}"/>
    <cellStyle name="40% - Accent2 3 8 2" xfId="13891" xr:uid="{CF6D8F8D-46A7-4B3B-8C8D-8CC22A84847A}"/>
    <cellStyle name="40% - Accent2 3 8 3" xfId="22332" xr:uid="{1DC11757-BD12-4820-B28D-A8CD72A0B311}"/>
    <cellStyle name="40% - Accent2 3 8 4" xfId="30772" xr:uid="{A3000518-F6C6-48A4-B2BB-5E893F13AC4E}"/>
    <cellStyle name="40% - Accent2 3 9" xfId="8864" xr:uid="{311EF031-8CA9-4ACC-8705-6D408E1B50DB}"/>
    <cellStyle name="40% - Accent2 4" xfId="64" xr:uid="{00000000-0005-0000-0000-0000DA040000}"/>
    <cellStyle name="40% - Accent2 4 10" xfId="18117" xr:uid="{D58073B9-D37E-45CE-AA72-F54595EF996F}"/>
    <cellStyle name="40% - Accent2 4 11" xfId="26557" xr:uid="{31021FE3-BEB0-4243-B808-D0E0BEAF7BA6}"/>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06BF346A-B85D-459C-A1EB-88E5E569731D}"/>
    <cellStyle name="40% - Accent2 4 2 2 2 3" xfId="24893" xr:uid="{67E08E90-6E04-4025-B0C3-28F79E439BFC}"/>
    <cellStyle name="40% - Accent2 4 2 2 2 4" xfId="33333" xr:uid="{6E31F7BA-060D-4BBB-826D-65189754BB6D}"/>
    <cellStyle name="40% - Accent2 4 2 2 3" xfId="12235" xr:uid="{FDEDC1A8-CF48-4021-89E9-6E09561A91ED}"/>
    <cellStyle name="40% - Accent2 4 2 2 4" xfId="20676" xr:uid="{9C1204DB-29B6-49BE-8F29-FCBFF93C8A83}"/>
    <cellStyle name="40% - Accent2 4 2 2 5" xfId="29116" xr:uid="{2282CD75-CD7F-4675-9C8B-E0F7EE9AFABA}"/>
    <cellStyle name="40% - Accent2 4 2 3" xfId="4981" xr:uid="{00000000-0005-0000-0000-0000DE040000}"/>
    <cellStyle name="40% - Accent2 4 2 3 2" xfId="14307" xr:uid="{DA0060BE-023C-4BF1-B2F1-1F4566663D1A}"/>
    <cellStyle name="40% - Accent2 4 2 3 3" xfId="22748" xr:uid="{F1DA99A6-7051-43E8-81C2-43C69170984F}"/>
    <cellStyle name="40% - Accent2 4 2 3 4" xfId="31188" xr:uid="{D03EE6DF-FF66-45CB-B486-6AD39E95C929}"/>
    <cellStyle name="40% - Accent2 4 2 4" xfId="9375" xr:uid="{E0F8B4F7-419E-40A5-89E1-F3F0DF6ADFF8}"/>
    <cellStyle name="40% - Accent2 4 2 5" xfId="10090" xr:uid="{180C5322-D4B7-4425-B3FC-3B49E886CC02}"/>
    <cellStyle name="40% - Accent2 4 2 6" xfId="18531" xr:uid="{67738415-7C44-4B43-8550-9BDB6FDF802D}"/>
    <cellStyle name="40% - Accent2 4 2 7" xfId="26971" xr:uid="{02EA8B43-4870-46F4-BA48-9AF88B835BD6}"/>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02F54659-BB6B-4532-9CB6-0008284571C4}"/>
    <cellStyle name="40% - Accent2 4 3 2 2 3" xfId="25306" xr:uid="{BC42FF09-89DB-40F8-A19A-3B219501D8BE}"/>
    <cellStyle name="40% - Accent2 4 3 2 2 4" xfId="33746" xr:uid="{D6702CDF-6B09-4C99-8A15-41B551B91575}"/>
    <cellStyle name="40% - Accent2 4 3 2 3" xfId="12648" xr:uid="{A1830AA5-7525-485D-A017-3260829F06D1}"/>
    <cellStyle name="40% - Accent2 4 3 2 4" xfId="21089" xr:uid="{558BB5B6-7478-404E-8095-44B354BE8630}"/>
    <cellStyle name="40% - Accent2 4 3 2 5" xfId="29529" xr:uid="{38744CA0-9AEE-43B8-87E9-273F548A02AF}"/>
    <cellStyle name="40% - Accent2 4 3 3" xfId="5394" xr:uid="{00000000-0005-0000-0000-0000E2040000}"/>
    <cellStyle name="40% - Accent2 4 3 3 2" xfId="14720" xr:uid="{76F2D9FF-3095-400C-A188-66D3121017F8}"/>
    <cellStyle name="40% - Accent2 4 3 3 3" xfId="23161" xr:uid="{E3BAC22B-EB77-4576-8BFE-36D63DB5CC16}"/>
    <cellStyle name="40% - Accent2 4 3 3 4" xfId="31601" xr:uid="{D095D02D-719F-45D0-A74C-908FB557040D}"/>
    <cellStyle name="40% - Accent2 4 3 4" xfId="10503" xr:uid="{F896E24B-6155-4E3F-8D5A-E3FC5E7D6766}"/>
    <cellStyle name="40% - Accent2 4 3 5" xfId="18944" xr:uid="{688946D6-84A4-444F-A347-2F007DC7747B}"/>
    <cellStyle name="40% - Accent2 4 3 6" xfId="27384" xr:uid="{0961163E-81D1-4032-A911-9D6D4F25394D}"/>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8D41D188-2A5E-4C6A-8D91-87117D8E1283}"/>
    <cellStyle name="40% - Accent2 4 4 2 2 3" xfId="25719" xr:uid="{7A0EA6C1-F9F4-4703-A575-175A91663BFE}"/>
    <cellStyle name="40% - Accent2 4 4 2 2 4" xfId="34159" xr:uid="{0B7C49B7-6EC7-4CFD-AD35-0896C2BAC59B}"/>
    <cellStyle name="40% - Accent2 4 4 2 3" xfId="13061" xr:uid="{801CE8D9-D0BE-4BC2-A1A2-B5F02B9CE829}"/>
    <cellStyle name="40% - Accent2 4 4 2 4" xfId="21502" xr:uid="{1B4ACB8C-26FD-49FC-8CC0-226B9F9C35A9}"/>
    <cellStyle name="40% - Accent2 4 4 2 5" xfId="29942" xr:uid="{8AD531B2-98CA-407F-ACDA-DBD17BBFFFB4}"/>
    <cellStyle name="40% - Accent2 4 4 3" xfId="5807" xr:uid="{00000000-0005-0000-0000-0000E6040000}"/>
    <cellStyle name="40% - Accent2 4 4 3 2" xfId="15133" xr:uid="{8F4B251D-99D2-4CFE-AC5D-A89C9B3E60D1}"/>
    <cellStyle name="40% - Accent2 4 4 3 3" xfId="23574" xr:uid="{95074038-7673-494A-BFF8-B2866AACBF94}"/>
    <cellStyle name="40% - Accent2 4 4 3 4" xfId="32014" xr:uid="{1D7C68D7-2350-44F8-8C48-EDBBB45EE5E1}"/>
    <cellStyle name="40% - Accent2 4 4 4" xfId="10916" xr:uid="{DBCF5425-728A-4A3C-97F8-3FEC3B1C682E}"/>
    <cellStyle name="40% - Accent2 4 4 5" xfId="19357" xr:uid="{D22157CF-46A0-4E09-8C4F-627DB422CA4A}"/>
    <cellStyle name="40% - Accent2 4 4 6" xfId="27797" xr:uid="{BED47821-E121-4CB7-8A4C-B0692A17C36C}"/>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37AE7253-E524-4DF2-9D94-41CD1C6A6E9A}"/>
    <cellStyle name="40% - Accent2 4 5 2 2 3" xfId="26132" xr:uid="{92C24E84-A625-45B3-B4F3-1789DE7D6C31}"/>
    <cellStyle name="40% - Accent2 4 5 2 2 4" xfId="34572" xr:uid="{E4C137FB-E8CA-4D75-95A8-28021D6C5964}"/>
    <cellStyle name="40% - Accent2 4 5 2 3" xfId="13474" xr:uid="{F0808875-0D8D-47BE-8C84-D294226CE019}"/>
    <cellStyle name="40% - Accent2 4 5 2 4" xfId="21915" xr:uid="{9FE107F8-2F5A-4B2C-AC48-A70BB0D4197B}"/>
    <cellStyle name="40% - Accent2 4 5 2 5" xfId="30355" xr:uid="{5DF841A6-9986-42B1-9965-A85E25338C18}"/>
    <cellStyle name="40% - Accent2 4 5 3" xfId="6220" xr:uid="{00000000-0005-0000-0000-0000EA040000}"/>
    <cellStyle name="40% - Accent2 4 5 3 2" xfId="15546" xr:uid="{7C40D0F9-A87C-4FC4-AB6F-CCED014FEF3A}"/>
    <cellStyle name="40% - Accent2 4 5 3 3" xfId="23987" xr:uid="{3BDBA2A7-F8A6-4F06-9DD8-C7E3C36A30CF}"/>
    <cellStyle name="40% - Accent2 4 5 3 4" xfId="32427" xr:uid="{3C925D0E-64D9-405E-B310-25E1FCF1AB45}"/>
    <cellStyle name="40% - Accent2 4 5 4" xfId="11329" xr:uid="{2DB7EF4C-72E4-42AA-A778-2EDC3D2A8DEB}"/>
    <cellStyle name="40% - Accent2 4 5 5" xfId="19770" xr:uid="{59509A99-6C97-4C36-8488-B78ED0F8416F}"/>
    <cellStyle name="40% - Accent2 4 5 6" xfId="28210" xr:uid="{0A7A8151-1D06-444D-A900-19A0B9E06A98}"/>
    <cellStyle name="40% - Accent2 4 6" xfId="2327" xr:uid="{00000000-0005-0000-0000-0000EB040000}"/>
    <cellStyle name="40% - Accent2 4 6 2" xfId="6633" xr:uid="{00000000-0005-0000-0000-0000EC040000}"/>
    <cellStyle name="40% - Accent2 4 6 2 2" xfId="15959" xr:uid="{A6533CBC-BFF9-41B2-BA48-07119A117369}"/>
    <cellStyle name="40% - Accent2 4 6 2 3" xfId="24400" xr:uid="{52BA8D15-030A-46B9-AAB8-AC0D1BA9BE48}"/>
    <cellStyle name="40% - Accent2 4 6 2 4" xfId="32840" xr:uid="{D64D99A5-12C7-4FF6-A279-CD8E6566A78F}"/>
    <cellStyle name="40% - Accent2 4 6 3" xfId="11742" xr:uid="{73237D23-FC56-4634-8FA1-20EF10E8C662}"/>
    <cellStyle name="40% - Accent2 4 6 4" xfId="20183" xr:uid="{DD293F64-C28A-4F23-A3C6-F6C211D8274A}"/>
    <cellStyle name="40% - Accent2 4 6 5" xfId="28623" xr:uid="{FADAF373-BF68-411A-A6F2-85A9A5A0ED13}"/>
    <cellStyle name="40% - Accent2 4 7" xfId="4567" xr:uid="{00000000-0005-0000-0000-0000ED040000}"/>
    <cellStyle name="40% - Accent2 4 7 2" xfId="13893" xr:uid="{F0A09AB6-A52D-4385-9C16-9A1C12DDD94F}"/>
    <cellStyle name="40% - Accent2 4 7 3" xfId="22334" xr:uid="{423DAD9A-E22A-49E9-8801-666725DCC878}"/>
    <cellStyle name="40% - Accent2 4 7 4" xfId="30774" xr:uid="{17D0D28F-1B1D-4E8B-BF5B-E1CA8236F668}"/>
    <cellStyle name="40% - Accent2 4 8" xfId="8950" xr:uid="{02FCA414-0598-4779-8636-7B176A3552C0}"/>
    <cellStyle name="40% - Accent2 4 9" xfId="9676" xr:uid="{6E595FE2-4593-434B-9334-74AEA731CAD8}"/>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EF0E3721-9F0A-40BA-B95E-126CD36A39DC}"/>
    <cellStyle name="40% - Accent2 5 2 2 3" xfId="24886" xr:uid="{134CB78A-A202-4F20-998D-8213A2522317}"/>
    <cellStyle name="40% - Accent2 5 2 2 4" xfId="33326" xr:uid="{1DD292E8-5F9E-461E-8634-72D565D2C1BD}"/>
    <cellStyle name="40% - Accent2 5 2 3" xfId="12228" xr:uid="{D96B3C1A-AA69-43F2-BABC-78AD26AC1B6D}"/>
    <cellStyle name="40% - Accent2 5 2 4" xfId="20669" xr:uid="{4B1D02B6-080F-492C-889D-14D2F594A1BF}"/>
    <cellStyle name="40% - Accent2 5 2 5" xfId="29109" xr:uid="{54DCD594-8E7E-4950-BD99-E719C02AA069}"/>
    <cellStyle name="40% - Accent2 5 3" xfId="4974" xr:uid="{00000000-0005-0000-0000-0000F1040000}"/>
    <cellStyle name="40% - Accent2 5 3 2" xfId="14300" xr:uid="{7C218DDC-2634-4D88-99FF-2D3E3D63D8E4}"/>
    <cellStyle name="40% - Accent2 5 3 3" xfId="22741" xr:uid="{FD13A701-C93E-4B8B-B929-2663B00F0EB0}"/>
    <cellStyle name="40% - Accent2 5 3 4" xfId="31181" xr:uid="{CF3496E1-DE19-4CAA-9BD2-3DEF8A41CF72}"/>
    <cellStyle name="40% - Accent2 5 4" xfId="9183" xr:uid="{071EDB8E-9FD1-4063-BCEF-70B734E5ECF1}"/>
    <cellStyle name="40% - Accent2 5 5" xfId="10083" xr:uid="{6022BEF3-10C7-4090-B0D9-783649ACB81D}"/>
    <cellStyle name="40% - Accent2 5 6" xfId="18524" xr:uid="{9261C932-4BC4-4E97-A867-B8DBCE893B3E}"/>
    <cellStyle name="40% - Accent2 5 7" xfId="26964" xr:uid="{73016B80-B026-4A93-81FA-D9A2929351A4}"/>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45F892E3-9290-470E-A64B-3F784CA6A93D}"/>
    <cellStyle name="40% - Accent2 6 2 2 3" xfId="25299" xr:uid="{DD1BE0A7-62E2-4A11-8D1C-DEC92A49D549}"/>
    <cellStyle name="40% - Accent2 6 2 2 4" xfId="33739" xr:uid="{074064D8-BFDA-4D01-A263-C903C6D200F0}"/>
    <cellStyle name="40% - Accent2 6 2 3" xfId="12641" xr:uid="{0498AB13-540B-46FE-8E83-792032E606B3}"/>
    <cellStyle name="40% - Accent2 6 2 4" xfId="21082" xr:uid="{6F774531-56F0-4EBC-A8C0-7DCB39C5B95E}"/>
    <cellStyle name="40% - Accent2 6 2 5" xfId="29522" xr:uid="{C23C15DF-8EA9-4914-853A-EA83E44253DB}"/>
    <cellStyle name="40% - Accent2 6 3" xfId="5387" xr:uid="{00000000-0005-0000-0000-0000F5040000}"/>
    <cellStyle name="40% - Accent2 6 3 2" xfId="14713" xr:uid="{E074B07C-B60B-40BF-BC00-3C04BD854566}"/>
    <cellStyle name="40% - Accent2 6 3 3" xfId="23154" xr:uid="{5BE366A9-79A8-404D-B178-703D89ECA9F3}"/>
    <cellStyle name="40% - Accent2 6 3 4" xfId="31594" xr:uid="{192E3C94-263C-4D53-9578-B54241330397}"/>
    <cellStyle name="40% - Accent2 6 4" xfId="10496" xr:uid="{8D903978-63D9-4E43-B07C-81AB97B54B89}"/>
    <cellStyle name="40% - Accent2 6 5" xfId="18937" xr:uid="{1B394EA7-571F-4938-971D-065D80797998}"/>
    <cellStyle name="40% - Accent2 6 6" xfId="27377" xr:uid="{65FB4482-2187-435A-9BDD-DF5A4742061C}"/>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BAA4802A-3F8A-434A-8CB3-2BB434735793}"/>
    <cellStyle name="40% - Accent2 7 2 2 3" xfId="25712" xr:uid="{B3BD9E69-010F-4F40-AB8F-F0A1305B62E4}"/>
    <cellStyle name="40% - Accent2 7 2 2 4" xfId="34152" xr:uid="{36FBEA2F-91E1-4EB4-A49A-9534AC25F33F}"/>
    <cellStyle name="40% - Accent2 7 2 3" xfId="13054" xr:uid="{E2B721E1-44FC-4A90-9700-A3645C2F56D3}"/>
    <cellStyle name="40% - Accent2 7 2 4" xfId="21495" xr:uid="{BA8048BB-BD5F-477B-BDA3-138821622956}"/>
    <cellStyle name="40% - Accent2 7 2 5" xfId="29935" xr:uid="{736F37D2-0984-4F7C-BB92-D5654E41C6AD}"/>
    <cellStyle name="40% - Accent2 7 3" xfId="5800" xr:uid="{00000000-0005-0000-0000-0000F9040000}"/>
    <cellStyle name="40% - Accent2 7 3 2" xfId="15126" xr:uid="{C601CAFA-28A8-4C43-AF89-36D4FA22236F}"/>
    <cellStyle name="40% - Accent2 7 3 3" xfId="23567" xr:uid="{7FB43991-6CF2-45FB-9055-883A5AE8ADE0}"/>
    <cellStyle name="40% - Accent2 7 3 4" xfId="32007" xr:uid="{39245753-AF16-4145-B61D-CCC3B105CA9B}"/>
    <cellStyle name="40% - Accent2 7 4" xfId="10909" xr:uid="{E84581D9-59A4-44B0-80F6-CD0C208EA760}"/>
    <cellStyle name="40% - Accent2 7 5" xfId="19350" xr:uid="{E8FBEA57-E13C-493D-9D86-516F1513B19D}"/>
    <cellStyle name="40% - Accent2 7 6" xfId="27790" xr:uid="{37BA59E8-7E58-4DBE-959A-E9246C4A6CD2}"/>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C8AE6DC5-8521-4F6E-8477-9B7F0CD21E54}"/>
    <cellStyle name="40% - Accent2 8 2 2 3" xfId="26125" xr:uid="{4A2668DA-64BD-47E7-9D21-176F3274CF84}"/>
    <cellStyle name="40% - Accent2 8 2 2 4" xfId="34565" xr:uid="{05085608-D817-4ADD-AF0F-BD63F99A34AF}"/>
    <cellStyle name="40% - Accent2 8 2 3" xfId="13467" xr:uid="{4CFF6808-B351-4935-9313-F53F2CCC2A3D}"/>
    <cellStyle name="40% - Accent2 8 2 4" xfId="21908" xr:uid="{18D99A49-EF01-4B40-8C0D-688B96512070}"/>
    <cellStyle name="40% - Accent2 8 2 5" xfId="30348" xr:uid="{27D31389-2FF3-4959-8E3E-A841741194BC}"/>
    <cellStyle name="40% - Accent2 8 3" xfId="6213" xr:uid="{00000000-0005-0000-0000-0000FD040000}"/>
    <cellStyle name="40% - Accent2 8 3 2" xfId="15539" xr:uid="{186199B7-D7A5-430B-A96C-87B0BD3E3CD2}"/>
    <cellStyle name="40% - Accent2 8 3 3" xfId="23980" xr:uid="{3B64935F-7C7F-4F9A-86F8-8FE8B536EDB3}"/>
    <cellStyle name="40% - Accent2 8 3 4" xfId="32420" xr:uid="{CAB72752-5974-4FD9-BE3F-09A06E5A0ED3}"/>
    <cellStyle name="40% - Accent2 8 4" xfId="11322" xr:uid="{9B8CC2A3-A4D2-449B-8F62-D15ACB4E3C2F}"/>
    <cellStyle name="40% - Accent2 8 5" xfId="19763" xr:uid="{371211B2-F4F2-4035-9BA7-23613CE627F4}"/>
    <cellStyle name="40% - Accent2 8 6" xfId="28203" xr:uid="{CE7CD8EE-CFA8-42C8-AD16-67D4E29AA0C3}"/>
    <cellStyle name="40% - Accent2 9" xfId="2320" xr:uid="{00000000-0005-0000-0000-0000FE040000}"/>
    <cellStyle name="40% - Accent2 9 2" xfId="6626" xr:uid="{00000000-0005-0000-0000-0000FF040000}"/>
    <cellStyle name="40% - Accent2 9 2 2" xfId="15952" xr:uid="{EFB2BD32-EED5-4290-9BC1-61064E469471}"/>
    <cellStyle name="40% - Accent2 9 2 3" xfId="24393" xr:uid="{DE969203-6E0B-42AC-B130-B0EB3AD6834D}"/>
    <cellStyle name="40% - Accent2 9 2 4" xfId="32833" xr:uid="{A013A63C-2FC0-4987-B136-02F81C4E19A8}"/>
    <cellStyle name="40% - Accent2 9 3" xfId="11735" xr:uid="{22EDBEA7-1528-4A60-A36C-19D99A4452C6}"/>
    <cellStyle name="40% - Accent2 9 4" xfId="20176" xr:uid="{F912B622-72B1-4034-9846-2018FE0B05C8}"/>
    <cellStyle name="40% - Accent2 9 5" xfId="28616" xr:uid="{550062B7-DE16-4DAB-861A-325EAFD026B5}"/>
    <cellStyle name="40% - Accent3" xfId="65" builtinId="39" customBuiltin="1"/>
    <cellStyle name="40% - Accent3 10" xfId="4568" xr:uid="{00000000-0005-0000-0000-000001050000}"/>
    <cellStyle name="40% - Accent3 10 2" xfId="13894" xr:uid="{2AE5BCCC-C68C-4D0B-8A5E-C3F6AA1F5D0A}"/>
    <cellStyle name="40% - Accent3 10 3" xfId="22335" xr:uid="{8BAB81E8-CC79-4C4F-9914-C4B341744EB5}"/>
    <cellStyle name="40% - Accent3 10 4" xfId="30775" xr:uid="{758F5C86-5202-407D-82AA-3E62946AE9D5}"/>
    <cellStyle name="40% - Accent3 11" xfId="8763" xr:uid="{CEFBFA85-5B68-4AEB-BF0D-8E604938B05F}"/>
    <cellStyle name="40% - Accent3 12" xfId="9677" xr:uid="{751BF2AB-58C8-491B-82C5-9044EFA01ECD}"/>
    <cellStyle name="40% - Accent3 13" xfId="18118" xr:uid="{954C438A-962A-4013-B7F9-64A93CAF05E9}"/>
    <cellStyle name="40% - Accent3 14" xfId="26558" xr:uid="{F242E5DF-67FB-4FE0-B2DF-50CC2ACA6646}"/>
    <cellStyle name="40% - Accent3 2" xfId="66" xr:uid="{00000000-0005-0000-0000-000002050000}"/>
    <cellStyle name="40% - Accent3 2 10" xfId="8800" xr:uid="{00FF2AAD-7D96-45B5-8981-0BB923A3505B}"/>
    <cellStyle name="40% - Accent3 2 11" xfId="9678" xr:uid="{1FED105A-C7C3-44BB-AEEF-11F92442E408}"/>
    <cellStyle name="40% - Accent3 2 12" xfId="18119" xr:uid="{099E5652-4D79-4196-98D7-B9D3A6D84483}"/>
    <cellStyle name="40% - Accent3 2 13" xfId="26559" xr:uid="{08FF4E70-95C6-4B01-8477-3B6478BA3C48}"/>
    <cellStyle name="40% - Accent3 2 2" xfId="67" xr:uid="{00000000-0005-0000-0000-000003050000}"/>
    <cellStyle name="40% - Accent3 2 2 10" xfId="9679" xr:uid="{CC0D89EE-A6BF-45D1-819B-E8FBCFE37692}"/>
    <cellStyle name="40% - Accent3 2 2 11" xfId="18120" xr:uid="{383793B5-1C08-4D67-84D4-D23BAAA2884E}"/>
    <cellStyle name="40% - Accent3 2 2 12" xfId="26560" xr:uid="{727FCDB6-D10C-45BF-8D09-360276D2375D}"/>
    <cellStyle name="40% - Accent3 2 2 2" xfId="68" xr:uid="{00000000-0005-0000-0000-000004050000}"/>
    <cellStyle name="40% - Accent3 2 2 2 10" xfId="18121" xr:uid="{171249F5-8DC2-4627-8225-CC165602828E}"/>
    <cellStyle name="40% - Accent3 2 2 2 11" xfId="26561" xr:uid="{9D668CB0-6F93-42C8-BB8A-3C4234F97D29}"/>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56161709-2F6C-4FD4-8A73-94F71372BDCE}"/>
    <cellStyle name="40% - Accent3 2 2 2 2 2 2 3" xfId="24897" xr:uid="{3B41F9F3-545C-4D74-9A8C-796F9F322442}"/>
    <cellStyle name="40% - Accent3 2 2 2 2 2 2 4" xfId="33337" xr:uid="{D6611DB3-8B20-4E05-9048-923875995E3B}"/>
    <cellStyle name="40% - Accent3 2 2 2 2 2 3" xfId="12239" xr:uid="{D67E347D-ACB9-4AFF-A874-B3D340C57080}"/>
    <cellStyle name="40% - Accent3 2 2 2 2 2 4" xfId="20680" xr:uid="{B02AAA99-4CF8-4339-AE79-E811F1DD373F}"/>
    <cellStyle name="40% - Accent3 2 2 2 2 2 5" xfId="29120" xr:uid="{3F5B8632-7F14-4139-87B7-16A90389CF18}"/>
    <cellStyle name="40% - Accent3 2 2 2 2 3" xfId="4985" xr:uid="{00000000-0005-0000-0000-000008050000}"/>
    <cellStyle name="40% - Accent3 2 2 2 2 3 2" xfId="14311" xr:uid="{2EE93D38-5611-4C0D-9491-37A15E52860B}"/>
    <cellStyle name="40% - Accent3 2 2 2 2 3 3" xfId="22752" xr:uid="{63E9643C-C6EA-42D7-B37A-E36337359BB4}"/>
    <cellStyle name="40% - Accent3 2 2 2 2 3 4" xfId="31192" xr:uid="{F20DFC4B-C757-4E6D-8BCD-30DC61CAC4A5}"/>
    <cellStyle name="40% - Accent3 2 2 2 2 4" xfId="9535" xr:uid="{3AC66435-D4C7-42EF-A799-3DC81A57BDF4}"/>
    <cellStyle name="40% - Accent3 2 2 2 2 5" xfId="10094" xr:uid="{A886FA8B-56B4-4BA8-B40A-5D63F29A44F2}"/>
    <cellStyle name="40% - Accent3 2 2 2 2 6" xfId="18535" xr:uid="{D64FC300-AF93-4BF2-A7F7-E52D3AB3CBFC}"/>
    <cellStyle name="40% - Accent3 2 2 2 2 7" xfId="26975" xr:uid="{02AE43CA-517B-418E-8730-73214023487F}"/>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FC73908B-068D-4970-B51A-A1D9B3B026BF}"/>
    <cellStyle name="40% - Accent3 2 2 2 3 2 2 3" xfId="25310" xr:uid="{0E263C8D-CA11-4265-AD0C-5C26D987AB23}"/>
    <cellStyle name="40% - Accent3 2 2 2 3 2 2 4" xfId="33750" xr:uid="{749E5ED6-1684-4339-BC0A-58C52B35683C}"/>
    <cellStyle name="40% - Accent3 2 2 2 3 2 3" xfId="12652" xr:uid="{14494E03-97E5-41A0-B62D-427341E2599E}"/>
    <cellStyle name="40% - Accent3 2 2 2 3 2 4" xfId="21093" xr:uid="{7315183A-D9E8-4A74-B246-52636DE68415}"/>
    <cellStyle name="40% - Accent3 2 2 2 3 2 5" xfId="29533" xr:uid="{E023997C-4D35-4D1B-B832-534236F4AD1C}"/>
    <cellStyle name="40% - Accent3 2 2 2 3 3" xfId="5398" xr:uid="{00000000-0005-0000-0000-00000C050000}"/>
    <cellStyle name="40% - Accent3 2 2 2 3 3 2" xfId="14724" xr:uid="{843A3728-0682-46C3-8403-229227A22DB6}"/>
    <cellStyle name="40% - Accent3 2 2 2 3 3 3" xfId="23165" xr:uid="{8C35342D-4601-4E0F-8A58-5A712286E6B4}"/>
    <cellStyle name="40% - Accent3 2 2 2 3 3 4" xfId="31605" xr:uid="{041462B7-2414-4815-BAB3-00E46E198CFB}"/>
    <cellStyle name="40% - Accent3 2 2 2 3 4" xfId="10507" xr:uid="{3A860EDE-4E57-42D4-85DE-F865AEAF2137}"/>
    <cellStyle name="40% - Accent3 2 2 2 3 5" xfId="18948" xr:uid="{56198A9D-89CC-49EA-B317-97FF2FE85984}"/>
    <cellStyle name="40% - Accent3 2 2 2 3 6" xfId="27388" xr:uid="{2C95492B-7E8E-48D3-8115-DC4006AB2833}"/>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BCB49900-C465-46C1-A0EB-10DE091BB582}"/>
    <cellStyle name="40% - Accent3 2 2 2 4 2 2 3" xfId="25723" xr:uid="{A2C891D6-EB1B-4C49-B2EE-8C45D855EC86}"/>
    <cellStyle name="40% - Accent3 2 2 2 4 2 2 4" xfId="34163" xr:uid="{C785064B-BD5A-4DED-879E-3934CC174034}"/>
    <cellStyle name="40% - Accent3 2 2 2 4 2 3" xfId="13065" xr:uid="{6F217740-1DBC-46A2-8936-4F09080F4A24}"/>
    <cellStyle name="40% - Accent3 2 2 2 4 2 4" xfId="21506" xr:uid="{800CBFBB-5D32-4B3B-8920-46886C6B0129}"/>
    <cellStyle name="40% - Accent3 2 2 2 4 2 5" xfId="29946" xr:uid="{4A5E15C1-5A3A-42C4-B550-00A3A284D060}"/>
    <cellStyle name="40% - Accent3 2 2 2 4 3" xfId="5811" xr:uid="{00000000-0005-0000-0000-000010050000}"/>
    <cellStyle name="40% - Accent3 2 2 2 4 3 2" xfId="15137" xr:uid="{9F58DCE3-C63C-4CB2-AE7C-BB7CF843243C}"/>
    <cellStyle name="40% - Accent3 2 2 2 4 3 3" xfId="23578" xr:uid="{817BEFF5-41AB-4DB5-BBE5-67D6D744486B}"/>
    <cellStyle name="40% - Accent3 2 2 2 4 3 4" xfId="32018" xr:uid="{39821677-80D2-4D73-B1CD-AE2382CBEA30}"/>
    <cellStyle name="40% - Accent3 2 2 2 4 4" xfId="10920" xr:uid="{121D0FD1-81E4-46F2-8133-1D06763EAAB0}"/>
    <cellStyle name="40% - Accent3 2 2 2 4 5" xfId="19361" xr:uid="{BADC7551-033D-403D-BCFD-45B62C92BA2B}"/>
    <cellStyle name="40% - Accent3 2 2 2 4 6" xfId="27801" xr:uid="{14D1F5C1-81A1-4F9D-807E-403B6027AE3F}"/>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0085F88C-59C0-4C95-BAE1-E5CDE82E1232}"/>
    <cellStyle name="40% - Accent3 2 2 2 5 2 2 3" xfId="26136" xr:uid="{5C1B3E53-D449-4B1A-A58A-8D520BB7F6D9}"/>
    <cellStyle name="40% - Accent3 2 2 2 5 2 2 4" xfId="34576" xr:uid="{F0ED3C27-7DA7-44DE-B22A-14EA27C559A9}"/>
    <cellStyle name="40% - Accent3 2 2 2 5 2 3" xfId="13478" xr:uid="{34F9C9BB-70B2-4324-8743-23033FABB8E8}"/>
    <cellStyle name="40% - Accent3 2 2 2 5 2 4" xfId="21919" xr:uid="{912B4CF5-E593-45CE-97BA-E662B5404934}"/>
    <cellStyle name="40% - Accent3 2 2 2 5 2 5" xfId="30359" xr:uid="{787B85F6-08D3-479C-B3BB-8483EEAA8AC3}"/>
    <cellStyle name="40% - Accent3 2 2 2 5 3" xfId="6224" xr:uid="{00000000-0005-0000-0000-000014050000}"/>
    <cellStyle name="40% - Accent3 2 2 2 5 3 2" xfId="15550" xr:uid="{31FD760C-A393-4C8A-8427-889D45640CD3}"/>
    <cellStyle name="40% - Accent3 2 2 2 5 3 3" xfId="23991" xr:uid="{4C6FA362-18B3-4C2D-A029-1CB9118B1151}"/>
    <cellStyle name="40% - Accent3 2 2 2 5 3 4" xfId="32431" xr:uid="{88BEAF45-ABC0-4143-B6F0-2D4E6B6500DE}"/>
    <cellStyle name="40% - Accent3 2 2 2 5 4" xfId="11333" xr:uid="{87738CD5-4F41-479C-BB78-FD88B3FA47A0}"/>
    <cellStyle name="40% - Accent3 2 2 2 5 5" xfId="19774" xr:uid="{FB9272B6-1B58-4923-83B3-CEEE41E77EB9}"/>
    <cellStyle name="40% - Accent3 2 2 2 5 6" xfId="28214" xr:uid="{9AD9B395-B494-45DE-9164-DC7E73FB0F67}"/>
    <cellStyle name="40% - Accent3 2 2 2 6" xfId="2331" xr:uid="{00000000-0005-0000-0000-000015050000}"/>
    <cellStyle name="40% - Accent3 2 2 2 6 2" xfId="6637" xr:uid="{00000000-0005-0000-0000-000016050000}"/>
    <cellStyle name="40% - Accent3 2 2 2 6 2 2" xfId="15963" xr:uid="{5DABFE77-582B-403F-A345-0BD198C87346}"/>
    <cellStyle name="40% - Accent3 2 2 2 6 2 3" xfId="24404" xr:uid="{412C5EF3-2AB8-4250-AC79-408E54C2C963}"/>
    <cellStyle name="40% - Accent3 2 2 2 6 2 4" xfId="32844" xr:uid="{E77F81BF-18D9-414F-A1A5-CC972EC3339F}"/>
    <cellStyle name="40% - Accent3 2 2 2 6 3" xfId="11746" xr:uid="{4542FC26-0FDB-435F-9DC7-F201661BE314}"/>
    <cellStyle name="40% - Accent3 2 2 2 6 4" xfId="20187" xr:uid="{2301022A-D198-44FC-B225-84B99872A4A8}"/>
    <cellStyle name="40% - Accent3 2 2 2 6 5" xfId="28627" xr:uid="{90854FF8-525B-4FB6-9A4C-AA76DA64C8F2}"/>
    <cellStyle name="40% - Accent3 2 2 2 7" xfId="4571" xr:uid="{00000000-0005-0000-0000-000017050000}"/>
    <cellStyle name="40% - Accent3 2 2 2 7 2" xfId="13897" xr:uid="{9CBACCD8-4451-4D50-883F-C2DE856E5340}"/>
    <cellStyle name="40% - Accent3 2 2 2 7 3" xfId="22338" xr:uid="{3A262961-53BC-424F-A38B-E68D31D0C876}"/>
    <cellStyle name="40% - Accent3 2 2 2 7 4" xfId="30778" xr:uid="{CEE4E708-AAFD-4FD8-968F-16C0BA3EAB32}"/>
    <cellStyle name="40% - Accent3 2 2 2 8" xfId="9110" xr:uid="{E41CBEF9-86F8-44B9-895F-532A7BDC9A2A}"/>
    <cellStyle name="40% - Accent3 2 2 2 9" xfId="9680" xr:uid="{F2391773-367E-4F80-9B69-CB21E103C606}"/>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2DA0913D-0937-489C-844A-9F07F8517D16}"/>
    <cellStyle name="40% - Accent3 2 2 3 2 2 3" xfId="24896" xr:uid="{025E14C3-2AD7-49C3-86C2-E8BD512EEFB8}"/>
    <cellStyle name="40% - Accent3 2 2 3 2 2 4" xfId="33336" xr:uid="{63E8549C-4A4E-4565-9EF9-91C8D9345B80}"/>
    <cellStyle name="40% - Accent3 2 2 3 2 3" xfId="12238" xr:uid="{A426BA14-E5BF-49D9-92F1-5C7EA7599976}"/>
    <cellStyle name="40% - Accent3 2 2 3 2 4" xfId="20679" xr:uid="{831E712D-61AA-4E04-9C95-6DF59C92D515}"/>
    <cellStyle name="40% - Accent3 2 2 3 2 5" xfId="29119" xr:uid="{3F48B3CB-7EC6-4072-9B73-3EA62D7FC05C}"/>
    <cellStyle name="40% - Accent3 2 2 3 3" xfId="4984" xr:uid="{00000000-0005-0000-0000-00001B050000}"/>
    <cellStyle name="40% - Accent3 2 2 3 3 2" xfId="14310" xr:uid="{CC5E2BF5-A046-4E85-B9FF-BBCCC64C289E}"/>
    <cellStyle name="40% - Accent3 2 2 3 3 3" xfId="22751" xr:uid="{288D1431-5B4F-4813-AF9D-7A136860954C}"/>
    <cellStyle name="40% - Accent3 2 2 3 3 4" xfId="31191" xr:uid="{CC4724D4-C754-4202-9D61-8D30BEBA99CF}"/>
    <cellStyle name="40% - Accent3 2 2 3 4" xfId="9328" xr:uid="{1DAEB9B9-01CE-426D-A8F1-CE08999D7264}"/>
    <cellStyle name="40% - Accent3 2 2 3 5" xfId="10093" xr:uid="{69F4DABE-45C4-4BFF-86B8-CD9CF8A0D133}"/>
    <cellStyle name="40% - Accent3 2 2 3 6" xfId="18534" xr:uid="{F4C865E7-5CA4-4D31-934E-5DE12144DED5}"/>
    <cellStyle name="40% - Accent3 2 2 3 7" xfId="26974" xr:uid="{6618531A-941A-4EDD-A51F-F79240D41BB5}"/>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3925665A-3699-45F8-8095-E25089C5AC4A}"/>
    <cellStyle name="40% - Accent3 2 2 4 2 2 3" xfId="25309" xr:uid="{5B94FE3F-CC04-4A6B-A291-266D7F3251AE}"/>
    <cellStyle name="40% - Accent3 2 2 4 2 2 4" xfId="33749" xr:uid="{B14A1BC5-C498-40F9-AF01-8532D7A5CFC1}"/>
    <cellStyle name="40% - Accent3 2 2 4 2 3" xfId="12651" xr:uid="{E1D32F8B-773D-411C-906D-7AF2F1B06DED}"/>
    <cellStyle name="40% - Accent3 2 2 4 2 4" xfId="21092" xr:uid="{E5B8406A-12D8-42F6-BF6D-7CC931D6791F}"/>
    <cellStyle name="40% - Accent3 2 2 4 2 5" xfId="29532" xr:uid="{15A0B156-8108-4035-8D15-348A63E5F556}"/>
    <cellStyle name="40% - Accent3 2 2 4 3" xfId="5397" xr:uid="{00000000-0005-0000-0000-00001F050000}"/>
    <cellStyle name="40% - Accent3 2 2 4 3 2" xfId="14723" xr:uid="{AE3F3265-3A6C-4CD2-97AD-2771A8047327}"/>
    <cellStyle name="40% - Accent3 2 2 4 3 3" xfId="23164" xr:uid="{5509A899-9406-4F91-BEE3-E0CC9802BB6E}"/>
    <cellStyle name="40% - Accent3 2 2 4 3 4" xfId="31604" xr:uid="{799EB9DE-B00C-4AE9-990D-BD75943334AD}"/>
    <cellStyle name="40% - Accent3 2 2 4 4" xfId="10506" xr:uid="{FA01980D-DFD6-4E6B-BC32-CC973D4A6948}"/>
    <cellStyle name="40% - Accent3 2 2 4 5" xfId="18947" xr:uid="{B3696132-2528-4AE5-A930-C17511BFD72D}"/>
    <cellStyle name="40% - Accent3 2 2 4 6" xfId="27387" xr:uid="{8B582C0F-224E-42F5-91C8-BE1C06DA7233}"/>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ACB50743-AE45-4D41-9E6C-D640723CB0C9}"/>
    <cellStyle name="40% - Accent3 2 2 5 2 2 3" xfId="25722" xr:uid="{178D4207-6A0C-4417-B936-C60F96C2284D}"/>
    <cellStyle name="40% - Accent3 2 2 5 2 2 4" xfId="34162" xr:uid="{9B619F83-5BA2-44EA-B93A-3125C07F1E15}"/>
    <cellStyle name="40% - Accent3 2 2 5 2 3" xfId="13064" xr:uid="{4BFA9ACB-F5E2-4210-9977-09AF3A9A7C56}"/>
    <cellStyle name="40% - Accent3 2 2 5 2 4" xfId="21505" xr:uid="{DEE9EBEA-8EB8-465F-93AD-F9AB773219EC}"/>
    <cellStyle name="40% - Accent3 2 2 5 2 5" xfId="29945" xr:uid="{1B008313-C0D9-4013-8E78-C20A26240403}"/>
    <cellStyle name="40% - Accent3 2 2 5 3" xfId="5810" xr:uid="{00000000-0005-0000-0000-000023050000}"/>
    <cellStyle name="40% - Accent3 2 2 5 3 2" xfId="15136" xr:uid="{23FAD784-E974-47ED-9A83-91BCEC4B9331}"/>
    <cellStyle name="40% - Accent3 2 2 5 3 3" xfId="23577" xr:uid="{E6E76DEF-046A-4E0B-B1B7-EE1A07C75565}"/>
    <cellStyle name="40% - Accent3 2 2 5 3 4" xfId="32017" xr:uid="{4D3CC4A2-633C-471B-8E5C-1F9096A585D9}"/>
    <cellStyle name="40% - Accent3 2 2 5 4" xfId="10919" xr:uid="{1423F294-8DB2-42F9-8867-035343437ABC}"/>
    <cellStyle name="40% - Accent3 2 2 5 5" xfId="19360" xr:uid="{3AB1C529-6E0C-4354-AE5A-C557590BB763}"/>
    <cellStyle name="40% - Accent3 2 2 5 6" xfId="27800" xr:uid="{7114AD49-880D-40FA-AA83-0C91E3DA3B6C}"/>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29161753-0D6C-4647-89DE-D75CE3AEF793}"/>
    <cellStyle name="40% - Accent3 2 2 6 2 2 3" xfId="26135" xr:uid="{DFD396EC-1D57-4061-8C27-8A608BEDBB95}"/>
    <cellStyle name="40% - Accent3 2 2 6 2 2 4" xfId="34575" xr:uid="{3C6BF9D7-16C7-4712-B0F7-A243887BA0CD}"/>
    <cellStyle name="40% - Accent3 2 2 6 2 3" xfId="13477" xr:uid="{52FDA723-3FCB-4D68-91D8-2C8719133D6D}"/>
    <cellStyle name="40% - Accent3 2 2 6 2 4" xfId="21918" xr:uid="{C58B4F68-B21A-415F-8889-894E8D8E2D9F}"/>
    <cellStyle name="40% - Accent3 2 2 6 2 5" xfId="30358" xr:uid="{96A6BA39-D88E-4518-A4AD-9248856D6D1B}"/>
    <cellStyle name="40% - Accent3 2 2 6 3" xfId="6223" xr:uid="{00000000-0005-0000-0000-000027050000}"/>
    <cellStyle name="40% - Accent3 2 2 6 3 2" xfId="15549" xr:uid="{823B3A04-5C53-45AB-BA0F-9B805BC4EE45}"/>
    <cellStyle name="40% - Accent3 2 2 6 3 3" xfId="23990" xr:uid="{9596A48F-398E-4635-B375-25FAB99ACCC2}"/>
    <cellStyle name="40% - Accent3 2 2 6 3 4" xfId="32430" xr:uid="{DD317C77-F8E8-4E45-93E9-34FB393F3A1C}"/>
    <cellStyle name="40% - Accent3 2 2 6 4" xfId="11332" xr:uid="{8FB45A37-7D12-4857-90C4-3D9E2BA08A86}"/>
    <cellStyle name="40% - Accent3 2 2 6 5" xfId="19773" xr:uid="{6B3DDADF-375F-4BE5-8B16-723B768FF925}"/>
    <cellStyle name="40% - Accent3 2 2 6 6" xfId="28213" xr:uid="{CC8220BB-6881-4B90-B00B-2A742590CD34}"/>
    <cellStyle name="40% - Accent3 2 2 7" xfId="2330" xr:uid="{00000000-0005-0000-0000-000028050000}"/>
    <cellStyle name="40% - Accent3 2 2 7 2" xfId="6636" xr:uid="{00000000-0005-0000-0000-000029050000}"/>
    <cellStyle name="40% - Accent3 2 2 7 2 2" xfId="15962" xr:uid="{5EE06824-ABAD-4BC6-A4AA-32028E5EB88D}"/>
    <cellStyle name="40% - Accent3 2 2 7 2 3" xfId="24403" xr:uid="{2901A742-D8A9-48D3-AEEC-AF396EC5F9D0}"/>
    <cellStyle name="40% - Accent3 2 2 7 2 4" xfId="32843" xr:uid="{2866F8C6-AABD-41D4-BC54-F8A639CFF561}"/>
    <cellStyle name="40% - Accent3 2 2 7 3" xfId="11745" xr:uid="{5BC9DF68-3619-48EA-9460-E837D63DAA50}"/>
    <cellStyle name="40% - Accent3 2 2 7 4" xfId="20186" xr:uid="{78A5CD20-43C4-4C9B-8FB6-B96FF41C1881}"/>
    <cellStyle name="40% - Accent3 2 2 7 5" xfId="28626" xr:uid="{8D9AFDD1-A9CE-4550-8BA8-1A1FD15FE035}"/>
    <cellStyle name="40% - Accent3 2 2 8" xfId="4570" xr:uid="{00000000-0005-0000-0000-00002A050000}"/>
    <cellStyle name="40% - Accent3 2 2 8 2" xfId="13896" xr:uid="{DAD6560D-2486-4FD1-86F8-D4E42C91DE52}"/>
    <cellStyle name="40% - Accent3 2 2 8 3" xfId="22337" xr:uid="{A7BAAAEE-7116-45F3-ABA8-D6977E650E02}"/>
    <cellStyle name="40% - Accent3 2 2 8 4" xfId="30777" xr:uid="{7F85993D-5426-4586-90BB-64D7A70CE8D0}"/>
    <cellStyle name="40% - Accent3 2 2 9" xfId="8903" xr:uid="{D9C85917-26AE-466C-8B98-905BCDA9E329}"/>
    <cellStyle name="40% - Accent3 2 3" xfId="69" xr:uid="{00000000-0005-0000-0000-00002B050000}"/>
    <cellStyle name="40% - Accent3 2 3 10" xfId="18122" xr:uid="{B9021803-6E85-4A02-B6EC-D9679141A394}"/>
    <cellStyle name="40% - Accent3 2 3 11" xfId="26562" xr:uid="{9175E3A8-0F7D-4AF2-ABD4-612E975EBC3E}"/>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525A6CAE-A60A-4302-B41A-4085A129E8E7}"/>
    <cellStyle name="40% - Accent3 2 3 2 2 2 3" xfId="24898" xr:uid="{D214BEA4-538B-496D-BE21-C870F37AF64F}"/>
    <cellStyle name="40% - Accent3 2 3 2 2 2 4" xfId="33338" xr:uid="{549DD24E-907A-48B8-AB2E-938C62B8BB21}"/>
    <cellStyle name="40% - Accent3 2 3 2 2 3" xfId="12240" xr:uid="{296A7BBC-0CF4-4EE6-BFBF-AAFBCB75F941}"/>
    <cellStyle name="40% - Accent3 2 3 2 2 4" xfId="20681" xr:uid="{0988D3D3-EE1B-4261-B283-AD2784796539}"/>
    <cellStyle name="40% - Accent3 2 3 2 2 5" xfId="29121" xr:uid="{8DA0C39F-E28C-44AA-8FF7-12FB320E7A5F}"/>
    <cellStyle name="40% - Accent3 2 3 2 3" xfId="4986" xr:uid="{00000000-0005-0000-0000-00002F050000}"/>
    <cellStyle name="40% - Accent3 2 3 2 3 2" xfId="14312" xr:uid="{14933254-5852-44D8-97A2-74BAE843432C}"/>
    <cellStyle name="40% - Accent3 2 3 2 3 3" xfId="22753" xr:uid="{FE11B451-2C09-460F-8567-DD434F0549B5}"/>
    <cellStyle name="40% - Accent3 2 3 2 3 4" xfId="31193" xr:uid="{ECA3F7D5-E80E-4AA1-997A-ED8CF258F9D6}"/>
    <cellStyle name="40% - Accent3 2 3 2 4" xfId="9432" xr:uid="{54D6848B-0200-4F42-820D-262A8F9A2C0F}"/>
    <cellStyle name="40% - Accent3 2 3 2 5" xfId="10095" xr:uid="{0587F532-62A0-45B4-AAEC-966680A4C3F5}"/>
    <cellStyle name="40% - Accent3 2 3 2 6" xfId="18536" xr:uid="{2FF1E892-F15B-4BFC-BBE4-62F461E8B6A7}"/>
    <cellStyle name="40% - Accent3 2 3 2 7" xfId="26976" xr:uid="{535270F4-2EB6-4A4A-8A39-DB158CD58677}"/>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C1C3170C-D36E-40AF-A178-6B0E16EDE2EB}"/>
    <cellStyle name="40% - Accent3 2 3 3 2 2 3" xfId="25311" xr:uid="{758E8651-0F12-4A7C-BF87-0CCDA771F5A1}"/>
    <cellStyle name="40% - Accent3 2 3 3 2 2 4" xfId="33751" xr:uid="{879D5951-A334-4C35-9649-5C193DE6C661}"/>
    <cellStyle name="40% - Accent3 2 3 3 2 3" xfId="12653" xr:uid="{B6BB4954-654B-433C-AF6B-7279E92F367C}"/>
    <cellStyle name="40% - Accent3 2 3 3 2 4" xfId="21094" xr:uid="{AED2E9F3-8965-4F5E-90CD-EBD9221FA6C3}"/>
    <cellStyle name="40% - Accent3 2 3 3 2 5" xfId="29534" xr:uid="{FD962FDF-449E-47DB-98EF-27A97AD6D5C1}"/>
    <cellStyle name="40% - Accent3 2 3 3 3" xfId="5399" xr:uid="{00000000-0005-0000-0000-000033050000}"/>
    <cellStyle name="40% - Accent3 2 3 3 3 2" xfId="14725" xr:uid="{52A8DFDF-5879-4622-AF06-72004715CDC4}"/>
    <cellStyle name="40% - Accent3 2 3 3 3 3" xfId="23166" xr:uid="{D825DEAD-0294-4CBB-B5B4-72AF48473561}"/>
    <cellStyle name="40% - Accent3 2 3 3 3 4" xfId="31606" xr:uid="{A2EE3668-88A0-40F5-9974-BA5B2AFC9AE5}"/>
    <cellStyle name="40% - Accent3 2 3 3 4" xfId="10508" xr:uid="{74EC96B8-E68B-45FF-BDFD-BACFB04B2F08}"/>
    <cellStyle name="40% - Accent3 2 3 3 5" xfId="18949" xr:uid="{CEDCECB3-CCCA-456E-ADB0-F8C99C3AE4AD}"/>
    <cellStyle name="40% - Accent3 2 3 3 6" xfId="27389" xr:uid="{CEF245A3-6CC1-433F-9111-DE255B5C13AD}"/>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AF5A8064-46E8-44BA-ADE2-C6FA21360371}"/>
    <cellStyle name="40% - Accent3 2 3 4 2 2 3" xfId="25724" xr:uid="{1BDDCF7E-A586-40A0-B275-D6E32002129E}"/>
    <cellStyle name="40% - Accent3 2 3 4 2 2 4" xfId="34164" xr:uid="{44B16185-B7CE-490F-A5E4-EA2446710A29}"/>
    <cellStyle name="40% - Accent3 2 3 4 2 3" xfId="13066" xr:uid="{16B0FC54-20F0-4341-9328-1483192B3399}"/>
    <cellStyle name="40% - Accent3 2 3 4 2 4" xfId="21507" xr:uid="{100D70D0-DF11-45FE-9321-5497D31A2AC5}"/>
    <cellStyle name="40% - Accent3 2 3 4 2 5" xfId="29947" xr:uid="{2DCC6ADD-A993-401E-9ED2-6DD8CC4FF5CE}"/>
    <cellStyle name="40% - Accent3 2 3 4 3" xfId="5812" xr:uid="{00000000-0005-0000-0000-000037050000}"/>
    <cellStyle name="40% - Accent3 2 3 4 3 2" xfId="15138" xr:uid="{82CF5C29-1A03-460D-A7CA-CD1A54BA0F31}"/>
    <cellStyle name="40% - Accent3 2 3 4 3 3" xfId="23579" xr:uid="{999FF4F6-0E25-4B44-95BE-94F9D70E0252}"/>
    <cellStyle name="40% - Accent3 2 3 4 3 4" xfId="32019" xr:uid="{5281F5B9-075D-4113-BBC0-726A24C8F330}"/>
    <cellStyle name="40% - Accent3 2 3 4 4" xfId="10921" xr:uid="{0AA1DCCC-BF2B-4F84-82C7-25D7AC925E26}"/>
    <cellStyle name="40% - Accent3 2 3 4 5" xfId="19362" xr:uid="{371EAE51-42F5-4086-BDEF-32B5D8A80D42}"/>
    <cellStyle name="40% - Accent3 2 3 4 6" xfId="27802" xr:uid="{8DBCCAE2-17D9-4665-A530-FC7256BF984B}"/>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F8AACBE4-18BF-4E3E-BC4F-2F6C8E746EAA}"/>
    <cellStyle name="40% - Accent3 2 3 5 2 2 3" xfId="26137" xr:uid="{DF2C464C-43C3-4D40-B7F3-317371530157}"/>
    <cellStyle name="40% - Accent3 2 3 5 2 2 4" xfId="34577" xr:uid="{5F64D828-DA99-4E47-831D-2A40F6EDD29A}"/>
    <cellStyle name="40% - Accent3 2 3 5 2 3" xfId="13479" xr:uid="{161D90BC-4C97-4C3F-8B63-F2DE85626111}"/>
    <cellStyle name="40% - Accent3 2 3 5 2 4" xfId="21920" xr:uid="{8CF0260A-7D24-4642-A785-6537CDE420C7}"/>
    <cellStyle name="40% - Accent3 2 3 5 2 5" xfId="30360" xr:uid="{17E8AE76-9EF4-4739-9C81-2D3292C656BC}"/>
    <cellStyle name="40% - Accent3 2 3 5 3" xfId="6225" xr:uid="{00000000-0005-0000-0000-00003B050000}"/>
    <cellStyle name="40% - Accent3 2 3 5 3 2" xfId="15551" xr:uid="{6F9808FC-5429-45D9-8039-74ED0504BCC9}"/>
    <cellStyle name="40% - Accent3 2 3 5 3 3" xfId="23992" xr:uid="{EC64CA6C-CC34-4386-A3E8-9A7BE3916CBB}"/>
    <cellStyle name="40% - Accent3 2 3 5 3 4" xfId="32432" xr:uid="{F66A7EE3-EE42-4B87-8780-4A759705C5B3}"/>
    <cellStyle name="40% - Accent3 2 3 5 4" xfId="11334" xr:uid="{F3D6A6FC-4251-41E0-B5CE-E773B09F5AD7}"/>
    <cellStyle name="40% - Accent3 2 3 5 5" xfId="19775" xr:uid="{75390C59-6FE2-458C-A6FC-66510A880457}"/>
    <cellStyle name="40% - Accent3 2 3 5 6" xfId="28215" xr:uid="{4918AD5A-1E98-466A-A52F-C4D7019A85A3}"/>
    <cellStyle name="40% - Accent3 2 3 6" xfId="2332" xr:uid="{00000000-0005-0000-0000-00003C050000}"/>
    <cellStyle name="40% - Accent3 2 3 6 2" xfId="6638" xr:uid="{00000000-0005-0000-0000-00003D050000}"/>
    <cellStyle name="40% - Accent3 2 3 6 2 2" xfId="15964" xr:uid="{C2857C44-F613-4225-9A4A-7D577D8D1F07}"/>
    <cellStyle name="40% - Accent3 2 3 6 2 3" xfId="24405" xr:uid="{81DC2FB4-C520-4B50-8DDC-901FCAEB861F}"/>
    <cellStyle name="40% - Accent3 2 3 6 2 4" xfId="32845" xr:uid="{E2CE4543-6DA7-4908-A692-1B9F709C2EE9}"/>
    <cellStyle name="40% - Accent3 2 3 6 3" xfId="11747" xr:uid="{75CBA97E-A503-412E-BF92-AD4C836D0C17}"/>
    <cellStyle name="40% - Accent3 2 3 6 4" xfId="20188" xr:uid="{A253E691-CC98-4CF7-8481-E782D4FB2CF5}"/>
    <cellStyle name="40% - Accent3 2 3 6 5" xfId="28628" xr:uid="{4AE10988-0E1C-48C4-AF59-E21154F3F900}"/>
    <cellStyle name="40% - Accent3 2 3 7" xfId="4572" xr:uid="{00000000-0005-0000-0000-00003E050000}"/>
    <cellStyle name="40% - Accent3 2 3 7 2" xfId="13898" xr:uid="{52C7E9F2-A6F6-4C14-BB82-14737ECA75D6}"/>
    <cellStyle name="40% - Accent3 2 3 7 3" xfId="22339" xr:uid="{B5DFB352-0BEE-440B-B1F6-BB8255A5D5DA}"/>
    <cellStyle name="40% - Accent3 2 3 7 4" xfId="30779" xr:uid="{89459A55-2E2F-4D4F-90BF-5F6377D78CCA}"/>
    <cellStyle name="40% - Accent3 2 3 8" xfId="9007" xr:uid="{2DEFD82C-2A62-4C1E-AA8D-7F2606BD9091}"/>
    <cellStyle name="40% - Accent3 2 3 9" xfId="9681" xr:uid="{41E23510-692B-477B-9ED7-F0A2A4330767}"/>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055399E0-DDEA-4F37-A269-7DFC5C09A36E}"/>
    <cellStyle name="40% - Accent3 2 4 2 2 3" xfId="24895" xr:uid="{250C609E-8307-4965-AB94-FD78D7273429}"/>
    <cellStyle name="40% - Accent3 2 4 2 2 4" xfId="33335" xr:uid="{00A78090-56EC-4253-AE9A-D9AFB2F357F3}"/>
    <cellStyle name="40% - Accent3 2 4 2 3" xfId="12237" xr:uid="{DB16763E-B450-42B5-B3D8-2054D65AAA93}"/>
    <cellStyle name="40% - Accent3 2 4 2 4" xfId="20678" xr:uid="{0C16CDB8-39B7-4010-A7ED-9ED1CC804A3A}"/>
    <cellStyle name="40% - Accent3 2 4 2 5" xfId="29118" xr:uid="{5A136FDC-E8F9-47F7-A615-B1A98373758F}"/>
    <cellStyle name="40% - Accent3 2 4 3" xfId="4983" xr:uid="{00000000-0005-0000-0000-000042050000}"/>
    <cellStyle name="40% - Accent3 2 4 3 2" xfId="14309" xr:uid="{9DF4E0E4-91EE-4580-AD42-AD2F0D021DDF}"/>
    <cellStyle name="40% - Accent3 2 4 3 3" xfId="22750" xr:uid="{CD89623A-C467-420F-8FDB-6922F598A3EF}"/>
    <cellStyle name="40% - Accent3 2 4 3 4" xfId="31190" xr:uid="{4D0254EA-B7AF-4EDD-9AD6-376FF79B435F}"/>
    <cellStyle name="40% - Accent3 2 4 4" xfId="9224" xr:uid="{6B91012A-BFF2-4F1F-901C-A91F06F80031}"/>
    <cellStyle name="40% - Accent3 2 4 5" xfId="10092" xr:uid="{B2B904B2-A647-4D0A-8E57-4EB846FEA193}"/>
    <cellStyle name="40% - Accent3 2 4 6" xfId="18533" xr:uid="{2E9EF0B1-8FDD-4A70-96A2-FCD38D96D94C}"/>
    <cellStyle name="40% - Accent3 2 4 7" xfId="26973" xr:uid="{4DACEDC4-6015-4521-A82C-B6E71E8C8B44}"/>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44368200-5893-4270-BD7A-1C1758EAB4F6}"/>
    <cellStyle name="40% - Accent3 2 5 2 2 3" xfId="25308" xr:uid="{289877C2-50B1-408D-9B6E-7D5BC3F551E9}"/>
    <cellStyle name="40% - Accent3 2 5 2 2 4" xfId="33748" xr:uid="{050FECA3-FF6C-4C1A-AF56-4B85819AE286}"/>
    <cellStyle name="40% - Accent3 2 5 2 3" xfId="12650" xr:uid="{08625CE8-8845-4C97-9F6F-76B61FE34737}"/>
    <cellStyle name="40% - Accent3 2 5 2 4" xfId="21091" xr:uid="{95C32557-6835-4B41-B071-16DEF4245024}"/>
    <cellStyle name="40% - Accent3 2 5 2 5" xfId="29531" xr:uid="{4736EC5C-9A07-4FC4-9898-CFAC3EFF9DF6}"/>
    <cellStyle name="40% - Accent3 2 5 3" xfId="5396" xr:uid="{00000000-0005-0000-0000-000046050000}"/>
    <cellStyle name="40% - Accent3 2 5 3 2" xfId="14722" xr:uid="{0158F942-544C-4D6B-B4E6-20EE99C3C227}"/>
    <cellStyle name="40% - Accent3 2 5 3 3" xfId="23163" xr:uid="{7AAD694C-130C-417C-93A2-3516BF03AF66}"/>
    <cellStyle name="40% - Accent3 2 5 3 4" xfId="31603" xr:uid="{8C5F66C5-2366-41AA-B156-93283E78AE8B}"/>
    <cellStyle name="40% - Accent3 2 5 4" xfId="10505" xr:uid="{4EBEE512-85E2-4878-8DC3-A688057E4A6F}"/>
    <cellStyle name="40% - Accent3 2 5 5" xfId="18946" xr:uid="{86D70269-6145-4FF1-BF06-261D4CC22F0C}"/>
    <cellStyle name="40% - Accent3 2 5 6" xfId="27386" xr:uid="{A2B96FAB-853E-4E99-A966-8052B04AB0EA}"/>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EC7E992F-C8BB-436B-913E-18370B8E8E40}"/>
    <cellStyle name="40% - Accent3 2 6 2 2 3" xfId="25721" xr:uid="{DD17A931-EE76-436F-9CA8-8ADF501E7784}"/>
    <cellStyle name="40% - Accent3 2 6 2 2 4" xfId="34161" xr:uid="{2946BD70-D993-439C-B975-A4D41623460E}"/>
    <cellStyle name="40% - Accent3 2 6 2 3" xfId="13063" xr:uid="{F5B73429-DA7A-46F5-B57D-71DCDF34D1B3}"/>
    <cellStyle name="40% - Accent3 2 6 2 4" xfId="21504" xr:uid="{E2678DF4-283B-4240-A5F9-177A551F3032}"/>
    <cellStyle name="40% - Accent3 2 6 2 5" xfId="29944" xr:uid="{348D7FC7-E6A4-4565-92DD-7B44483D6B5C}"/>
    <cellStyle name="40% - Accent3 2 6 3" xfId="5809" xr:uid="{00000000-0005-0000-0000-00004A050000}"/>
    <cellStyle name="40% - Accent3 2 6 3 2" xfId="15135" xr:uid="{F3199E24-CE14-4585-87C5-8EA8D0FEEE47}"/>
    <cellStyle name="40% - Accent3 2 6 3 3" xfId="23576" xr:uid="{5CDB7E02-004D-4041-9B95-6E96C009845E}"/>
    <cellStyle name="40% - Accent3 2 6 3 4" xfId="32016" xr:uid="{05B25458-A595-408E-95A8-E2BD7DC165E5}"/>
    <cellStyle name="40% - Accent3 2 6 4" xfId="10918" xr:uid="{303760FE-FC4E-449E-A72C-0B7418F774BB}"/>
    <cellStyle name="40% - Accent3 2 6 5" xfId="19359" xr:uid="{A3998B95-B3C1-4142-BD11-AB725665991A}"/>
    <cellStyle name="40% - Accent3 2 6 6" xfId="27799" xr:uid="{B65AF9A0-626B-4B50-9CA4-F35034230767}"/>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78C83CEE-9F6C-4743-A6BA-2BF507B41A46}"/>
    <cellStyle name="40% - Accent3 2 7 2 2 3" xfId="26134" xr:uid="{8067E27A-680C-4D51-9F23-BE246518D71F}"/>
    <cellStyle name="40% - Accent3 2 7 2 2 4" xfId="34574" xr:uid="{67E371C1-1EDF-46D0-A550-CFD741034867}"/>
    <cellStyle name="40% - Accent3 2 7 2 3" xfId="13476" xr:uid="{9C07CBFC-B4C8-4CDE-96D2-EED896EBD9B1}"/>
    <cellStyle name="40% - Accent3 2 7 2 4" xfId="21917" xr:uid="{D4CC351F-32E4-453A-B7A4-5D9BE92932DA}"/>
    <cellStyle name="40% - Accent3 2 7 2 5" xfId="30357" xr:uid="{F09564CF-94A8-45C6-856E-3B0F70BF08C1}"/>
    <cellStyle name="40% - Accent3 2 7 3" xfId="6222" xr:uid="{00000000-0005-0000-0000-00004E050000}"/>
    <cellStyle name="40% - Accent3 2 7 3 2" xfId="15548" xr:uid="{3998D108-004B-4E97-A855-EDF6A847EBB7}"/>
    <cellStyle name="40% - Accent3 2 7 3 3" xfId="23989" xr:uid="{391723AF-8CC6-49A2-A6B1-9C5FCA973BFD}"/>
    <cellStyle name="40% - Accent3 2 7 3 4" xfId="32429" xr:uid="{6147020D-1843-4630-8626-97FE380BA89C}"/>
    <cellStyle name="40% - Accent3 2 7 4" xfId="11331" xr:uid="{FEA957BE-4B63-4F9B-85E0-39901FF04C64}"/>
    <cellStyle name="40% - Accent3 2 7 5" xfId="19772" xr:uid="{BAEE0AC9-0F26-40D0-8ED8-CBEC83291060}"/>
    <cellStyle name="40% - Accent3 2 7 6" xfId="28212" xr:uid="{473142C2-2778-4C4A-9DFE-CB2EDE771AA4}"/>
    <cellStyle name="40% - Accent3 2 8" xfId="2329" xr:uid="{00000000-0005-0000-0000-00004F050000}"/>
    <cellStyle name="40% - Accent3 2 8 2" xfId="6635" xr:uid="{00000000-0005-0000-0000-000050050000}"/>
    <cellStyle name="40% - Accent3 2 8 2 2" xfId="15961" xr:uid="{A7E0FCCF-5BE6-485B-854E-61B88DF52573}"/>
    <cellStyle name="40% - Accent3 2 8 2 3" xfId="24402" xr:uid="{AF5EBC4D-CDEE-4095-88A8-F5C078DF3CD7}"/>
    <cellStyle name="40% - Accent3 2 8 2 4" xfId="32842" xr:uid="{0A2145E0-2B87-4EF2-9AE0-3BD17F383FEF}"/>
    <cellStyle name="40% - Accent3 2 8 3" xfId="11744" xr:uid="{96FD2E6A-1685-4AE6-8FE7-26EEA44DB364}"/>
    <cellStyle name="40% - Accent3 2 8 4" xfId="20185" xr:uid="{0F54D229-0490-4468-BB7D-AA692427ADE0}"/>
    <cellStyle name="40% - Accent3 2 8 5" xfId="28625" xr:uid="{14C64469-FCF4-45B9-AFAD-F579DF3B19D4}"/>
    <cellStyle name="40% - Accent3 2 9" xfId="4569" xr:uid="{00000000-0005-0000-0000-000051050000}"/>
    <cellStyle name="40% - Accent3 2 9 2" xfId="13895" xr:uid="{25D7AF37-3387-4C6E-A844-5D8914FDF107}"/>
    <cellStyle name="40% - Accent3 2 9 3" xfId="22336" xr:uid="{A1E438FD-CA3C-4F1D-A2DF-6B8C6D59EC7A}"/>
    <cellStyle name="40% - Accent3 2 9 4" xfId="30776" xr:uid="{7D4ACC5D-3AEB-45B6-80D0-1161D76E6B03}"/>
    <cellStyle name="40% - Accent3 3" xfId="70" xr:uid="{00000000-0005-0000-0000-000052050000}"/>
    <cellStyle name="40% - Accent3 3 10" xfId="9682" xr:uid="{2E328939-51B8-4D28-9D19-80472B24E9C9}"/>
    <cellStyle name="40% - Accent3 3 11" xfId="18123" xr:uid="{F1BEF942-D493-4865-ABD4-237759D25547}"/>
    <cellStyle name="40% - Accent3 3 12" xfId="26563" xr:uid="{FFBFB402-4C82-46FE-B317-289777EB98B4}"/>
    <cellStyle name="40% - Accent3 3 2" xfId="71" xr:uid="{00000000-0005-0000-0000-000053050000}"/>
    <cellStyle name="40% - Accent3 3 2 10" xfId="18124" xr:uid="{23711745-05A2-4CDB-B61E-99AD54995EEC}"/>
    <cellStyle name="40% - Accent3 3 2 11" xfId="26564" xr:uid="{9C88E128-38AC-4829-B2BE-411333804E77}"/>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AAFCDE58-8617-4477-AC19-A2C64596FC8F}"/>
    <cellStyle name="40% - Accent3 3 2 2 2 2 3" xfId="24900" xr:uid="{7F9F84F6-CDEA-41DD-9E42-74850C7D96DF}"/>
    <cellStyle name="40% - Accent3 3 2 2 2 2 4" xfId="33340" xr:uid="{9033F758-C9DC-4581-A154-AE0BCD5DCD9F}"/>
    <cellStyle name="40% - Accent3 3 2 2 2 3" xfId="12242" xr:uid="{5AE3FFD8-BCD0-4A80-AB3A-04465D7004FD}"/>
    <cellStyle name="40% - Accent3 3 2 2 2 4" xfId="20683" xr:uid="{BC058E76-422E-46EF-8546-385C5CEBE2B6}"/>
    <cellStyle name="40% - Accent3 3 2 2 2 5" xfId="29123" xr:uid="{017C817B-C9F8-4CA5-9F55-04AAE5781CAD}"/>
    <cellStyle name="40% - Accent3 3 2 2 3" xfId="4988" xr:uid="{00000000-0005-0000-0000-000057050000}"/>
    <cellStyle name="40% - Accent3 3 2 2 3 2" xfId="14314" xr:uid="{67F7D977-7AB8-429C-A5D2-CD187FD830F9}"/>
    <cellStyle name="40% - Accent3 3 2 2 3 3" xfId="22755" xr:uid="{68E09C76-58A3-480C-BD5E-51715FF1A714}"/>
    <cellStyle name="40% - Accent3 3 2 2 3 4" xfId="31195" xr:uid="{0BD28521-5684-437D-BF12-D73EC699EBFB}"/>
    <cellStyle name="40% - Accent3 3 2 2 4" xfId="9498" xr:uid="{7C43CF58-5AE0-4BAA-9D2B-CAB92F3612F1}"/>
    <cellStyle name="40% - Accent3 3 2 2 5" xfId="10097" xr:uid="{48038065-748A-4433-80EE-A3A9AF523F00}"/>
    <cellStyle name="40% - Accent3 3 2 2 6" xfId="18538" xr:uid="{64018CF5-5AEF-49D2-810C-BCFE3FA2D0AF}"/>
    <cellStyle name="40% - Accent3 3 2 2 7" xfId="26978" xr:uid="{31A4A1F8-AF4C-4D2B-9D63-CECB50AC69F7}"/>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8E04536E-6556-4EFB-BFC1-A7B536501411}"/>
    <cellStyle name="40% - Accent3 3 2 3 2 2 3" xfId="25313" xr:uid="{D6F34553-4840-4658-91CE-60756DAF99E0}"/>
    <cellStyle name="40% - Accent3 3 2 3 2 2 4" xfId="33753" xr:uid="{1DD52949-BC83-4119-BBFA-D4231417E60B}"/>
    <cellStyle name="40% - Accent3 3 2 3 2 3" xfId="12655" xr:uid="{79B2C139-8DC3-496D-8EBD-CA4AD65F8FD5}"/>
    <cellStyle name="40% - Accent3 3 2 3 2 4" xfId="21096" xr:uid="{3CFF78D5-E753-4D5E-80ED-DF4D60A3A390}"/>
    <cellStyle name="40% - Accent3 3 2 3 2 5" xfId="29536" xr:uid="{E24EE5B1-1A2F-423B-997C-6249F06404C4}"/>
    <cellStyle name="40% - Accent3 3 2 3 3" xfId="5401" xr:uid="{00000000-0005-0000-0000-00005B050000}"/>
    <cellStyle name="40% - Accent3 3 2 3 3 2" xfId="14727" xr:uid="{13D292FA-27BE-411F-85D9-996F9A786EB0}"/>
    <cellStyle name="40% - Accent3 3 2 3 3 3" xfId="23168" xr:uid="{AA803461-D633-456B-9841-FB854E1B06A0}"/>
    <cellStyle name="40% - Accent3 3 2 3 3 4" xfId="31608" xr:uid="{CFFC1569-5DF2-4C49-8AD1-0C73F4304443}"/>
    <cellStyle name="40% - Accent3 3 2 3 4" xfId="10510" xr:uid="{54C8C81E-C09D-43CC-9833-DF759EBA14D9}"/>
    <cellStyle name="40% - Accent3 3 2 3 5" xfId="18951" xr:uid="{0AA9A17A-31F1-4C96-A4E7-02996D1DA7F2}"/>
    <cellStyle name="40% - Accent3 3 2 3 6" xfId="27391" xr:uid="{7F8A5E75-5860-44AA-B24F-1222D0CC3F86}"/>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696B7A2B-6EA1-4573-8CC1-73FD25BFA646}"/>
    <cellStyle name="40% - Accent3 3 2 4 2 2 3" xfId="25726" xr:uid="{4D4758AC-2869-4510-B52C-FC5A12C44EE2}"/>
    <cellStyle name="40% - Accent3 3 2 4 2 2 4" xfId="34166" xr:uid="{87BB855B-9F12-4B33-B255-ACF9D2547C1F}"/>
    <cellStyle name="40% - Accent3 3 2 4 2 3" xfId="13068" xr:uid="{EA4EDC49-90A1-4074-943E-52E4BC9C9197}"/>
    <cellStyle name="40% - Accent3 3 2 4 2 4" xfId="21509" xr:uid="{40149CA8-1CB7-4E5D-9304-9386861F565F}"/>
    <cellStyle name="40% - Accent3 3 2 4 2 5" xfId="29949" xr:uid="{5A10DFF6-B3B1-4077-BA03-3CD862B14720}"/>
    <cellStyle name="40% - Accent3 3 2 4 3" xfId="5814" xr:uid="{00000000-0005-0000-0000-00005F050000}"/>
    <cellStyle name="40% - Accent3 3 2 4 3 2" xfId="15140" xr:uid="{82CBCF0A-DFFD-4004-BED4-2982A5EABE81}"/>
    <cellStyle name="40% - Accent3 3 2 4 3 3" xfId="23581" xr:uid="{D9740C15-B2FA-4B7D-AF00-1710E92E5BFE}"/>
    <cellStyle name="40% - Accent3 3 2 4 3 4" xfId="32021" xr:uid="{90920144-62D9-42B2-94C6-EAB7A1295FB3}"/>
    <cellStyle name="40% - Accent3 3 2 4 4" xfId="10923" xr:uid="{2C1F2788-D767-436A-B587-00DDAA018D15}"/>
    <cellStyle name="40% - Accent3 3 2 4 5" xfId="19364" xr:uid="{259A7C30-9108-47D2-B403-F95E711241FD}"/>
    <cellStyle name="40% - Accent3 3 2 4 6" xfId="27804" xr:uid="{781145D7-622B-4FC8-8157-533D443F17BF}"/>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5F74F9E7-639A-4900-ABE4-350AE516D82A}"/>
    <cellStyle name="40% - Accent3 3 2 5 2 2 3" xfId="26139" xr:uid="{A6B82E36-4D75-4A95-9127-AAE7A46146A0}"/>
    <cellStyle name="40% - Accent3 3 2 5 2 2 4" xfId="34579" xr:uid="{A711F747-CACC-44EA-BDAC-730D53946510}"/>
    <cellStyle name="40% - Accent3 3 2 5 2 3" xfId="13481" xr:uid="{AF8E32D0-22D1-4D0E-8B5B-27E2573162DC}"/>
    <cellStyle name="40% - Accent3 3 2 5 2 4" xfId="21922" xr:uid="{A1FD1931-84C5-4EE2-9795-0370F13823B3}"/>
    <cellStyle name="40% - Accent3 3 2 5 2 5" xfId="30362" xr:uid="{77FBF5C6-58A7-4892-9CD1-A1C872CE0B7B}"/>
    <cellStyle name="40% - Accent3 3 2 5 3" xfId="6227" xr:uid="{00000000-0005-0000-0000-000063050000}"/>
    <cellStyle name="40% - Accent3 3 2 5 3 2" xfId="15553" xr:uid="{DDA05E2F-2D71-4DA3-9CFE-82390D062FDB}"/>
    <cellStyle name="40% - Accent3 3 2 5 3 3" xfId="23994" xr:uid="{B23D77AC-D838-4B15-B331-2EF6461844C6}"/>
    <cellStyle name="40% - Accent3 3 2 5 3 4" xfId="32434" xr:uid="{CDE5DD8F-EC51-46A2-80FE-E27E306A8FF7}"/>
    <cellStyle name="40% - Accent3 3 2 5 4" xfId="11336" xr:uid="{BD8BE0D8-F6E6-4D65-A7E1-5B0DEDE56A24}"/>
    <cellStyle name="40% - Accent3 3 2 5 5" xfId="19777" xr:uid="{AAF81717-8A5A-4703-9856-EEEC85463C0B}"/>
    <cellStyle name="40% - Accent3 3 2 5 6" xfId="28217" xr:uid="{A0CBCCDF-7052-4035-AABE-6F09DB73C226}"/>
    <cellStyle name="40% - Accent3 3 2 6" xfId="2334" xr:uid="{00000000-0005-0000-0000-000064050000}"/>
    <cellStyle name="40% - Accent3 3 2 6 2" xfId="6640" xr:uid="{00000000-0005-0000-0000-000065050000}"/>
    <cellStyle name="40% - Accent3 3 2 6 2 2" xfId="15966" xr:uid="{52E57CA6-0DAF-4A48-930B-81CEB5BC7E2E}"/>
    <cellStyle name="40% - Accent3 3 2 6 2 3" xfId="24407" xr:uid="{7400B2E5-741C-4C25-A86C-3CA27D25A450}"/>
    <cellStyle name="40% - Accent3 3 2 6 2 4" xfId="32847" xr:uid="{B39C4F74-10E2-403C-8569-499668297210}"/>
    <cellStyle name="40% - Accent3 3 2 6 3" xfId="11749" xr:uid="{B6AB29AB-A8C6-433D-859B-2F03EED3446B}"/>
    <cellStyle name="40% - Accent3 3 2 6 4" xfId="20190" xr:uid="{FF902F5F-2598-4B92-88E7-D3B8DEDFE60F}"/>
    <cellStyle name="40% - Accent3 3 2 6 5" xfId="28630" xr:uid="{A48474E3-0C6D-40E8-B0AF-520A899AA422}"/>
    <cellStyle name="40% - Accent3 3 2 7" xfId="4574" xr:uid="{00000000-0005-0000-0000-000066050000}"/>
    <cellStyle name="40% - Accent3 3 2 7 2" xfId="13900" xr:uid="{A077D353-3533-4487-B6D5-8927583E4C3D}"/>
    <cellStyle name="40% - Accent3 3 2 7 3" xfId="22341" xr:uid="{12D90A8B-2550-4C20-99CD-2B12A7C2D551}"/>
    <cellStyle name="40% - Accent3 3 2 7 4" xfId="30781" xr:uid="{AF541251-F0D9-421B-981D-EE2C8B02074B}"/>
    <cellStyle name="40% - Accent3 3 2 8" xfId="9073" xr:uid="{0E71C752-2CF0-411D-A05E-4DA4A73CFC34}"/>
    <cellStyle name="40% - Accent3 3 2 9" xfId="9683" xr:uid="{B3DEB2C4-A72D-4F3B-BDB8-A548EAAB0C1E}"/>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8F2D7517-8972-4EBA-9CC2-11F555843982}"/>
    <cellStyle name="40% - Accent3 3 3 2 2 3" xfId="24899" xr:uid="{98C8C710-4509-407F-A6BE-75185F2F579E}"/>
    <cellStyle name="40% - Accent3 3 3 2 2 4" xfId="33339" xr:uid="{4A20AEDD-33B0-4416-B5AC-43358ECBDD54}"/>
    <cellStyle name="40% - Accent3 3 3 2 3" xfId="12241" xr:uid="{EDDB5B29-AC99-4D69-AD6B-C2DC78DE514E}"/>
    <cellStyle name="40% - Accent3 3 3 2 4" xfId="20682" xr:uid="{D24EC1CF-5511-43E2-B496-C37F80D74FCA}"/>
    <cellStyle name="40% - Accent3 3 3 2 5" xfId="29122" xr:uid="{7D701C4C-83C4-41DB-8294-57173A804B8E}"/>
    <cellStyle name="40% - Accent3 3 3 3" xfId="4987" xr:uid="{00000000-0005-0000-0000-00006A050000}"/>
    <cellStyle name="40% - Accent3 3 3 3 2" xfId="14313" xr:uid="{9259CAD1-FB4B-4734-8B0C-54BC512AAC98}"/>
    <cellStyle name="40% - Accent3 3 3 3 3" xfId="22754" xr:uid="{624B8913-E708-4517-B4E2-DE50408048B9}"/>
    <cellStyle name="40% - Accent3 3 3 3 4" xfId="31194" xr:uid="{9F344179-1871-4A48-8D0F-902038A2BDC9}"/>
    <cellStyle name="40% - Accent3 3 3 4" xfId="9291" xr:uid="{59AB3F6D-A8C6-4A37-A8E3-967850079A77}"/>
    <cellStyle name="40% - Accent3 3 3 5" xfId="10096" xr:uid="{1F5C0581-FF53-40FD-A816-A058A45BC285}"/>
    <cellStyle name="40% - Accent3 3 3 6" xfId="18537" xr:uid="{F604A036-AC9C-49D3-B1E7-631833CB8A91}"/>
    <cellStyle name="40% - Accent3 3 3 7" xfId="26977" xr:uid="{21F00C9F-9450-48E5-BDC8-7CF97554E66B}"/>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984C9527-615A-4FE0-B95F-670BCD15BF0D}"/>
    <cellStyle name="40% - Accent3 3 4 2 2 3" xfId="25312" xr:uid="{25984B2C-E0D6-48C8-A1A7-7C67C4964423}"/>
    <cellStyle name="40% - Accent3 3 4 2 2 4" xfId="33752" xr:uid="{4F6F9EE2-3D8D-42AB-8568-6CC0CBFC460A}"/>
    <cellStyle name="40% - Accent3 3 4 2 3" xfId="12654" xr:uid="{76AFDFE2-E67E-4C11-AE49-1087957B2928}"/>
    <cellStyle name="40% - Accent3 3 4 2 4" xfId="21095" xr:uid="{DF826A71-C842-420D-A2F6-9114C9AA92D2}"/>
    <cellStyle name="40% - Accent3 3 4 2 5" xfId="29535" xr:uid="{4199669E-7B7C-4A89-A5BD-CD6879890497}"/>
    <cellStyle name="40% - Accent3 3 4 3" xfId="5400" xr:uid="{00000000-0005-0000-0000-00006E050000}"/>
    <cellStyle name="40% - Accent3 3 4 3 2" xfId="14726" xr:uid="{CDEC4CDC-3416-4DC8-A9B9-69B4F4FD5E10}"/>
    <cellStyle name="40% - Accent3 3 4 3 3" xfId="23167" xr:uid="{26E96F69-1F45-48D9-8516-4014E1E4365E}"/>
    <cellStyle name="40% - Accent3 3 4 3 4" xfId="31607" xr:uid="{A2A1DB79-327A-4BB0-A8C1-63189EFBF83A}"/>
    <cellStyle name="40% - Accent3 3 4 4" xfId="10509" xr:uid="{7B386709-F853-495E-B1AE-603E92E04C4D}"/>
    <cellStyle name="40% - Accent3 3 4 5" xfId="18950" xr:uid="{7A9EF1A2-98AF-4DE0-85A4-F7ED9989678C}"/>
    <cellStyle name="40% - Accent3 3 4 6" xfId="27390" xr:uid="{2D1B3212-AD73-4ABA-90D3-4FAD886FFE1D}"/>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EAEFE6AC-7311-44B6-A413-907DAC60DFAE}"/>
    <cellStyle name="40% - Accent3 3 5 2 2 3" xfId="25725" xr:uid="{50071B95-52E9-452A-B294-76E1048EDB2A}"/>
    <cellStyle name="40% - Accent3 3 5 2 2 4" xfId="34165" xr:uid="{E034A7AD-D7C5-4871-861D-C535D76D4576}"/>
    <cellStyle name="40% - Accent3 3 5 2 3" xfId="13067" xr:uid="{675BEB03-204A-47B8-95AB-458302B12E1E}"/>
    <cellStyle name="40% - Accent3 3 5 2 4" xfId="21508" xr:uid="{276EB964-6CB7-434D-8F2C-75C3720594F0}"/>
    <cellStyle name="40% - Accent3 3 5 2 5" xfId="29948" xr:uid="{5395FE89-5309-4F0B-9188-517461936C68}"/>
    <cellStyle name="40% - Accent3 3 5 3" xfId="5813" xr:uid="{00000000-0005-0000-0000-000072050000}"/>
    <cellStyle name="40% - Accent3 3 5 3 2" xfId="15139" xr:uid="{A9A59179-EA6E-4CF7-ABA4-EEA8F480998A}"/>
    <cellStyle name="40% - Accent3 3 5 3 3" xfId="23580" xr:uid="{BEDDF6B0-93C4-4BA3-98EC-88E243F1F66C}"/>
    <cellStyle name="40% - Accent3 3 5 3 4" xfId="32020" xr:uid="{A51DEA4D-5BA9-4A55-97D1-FAF905C0DF16}"/>
    <cellStyle name="40% - Accent3 3 5 4" xfId="10922" xr:uid="{FE8662F3-D6E1-4D01-85C5-CD3D56FA6F5A}"/>
    <cellStyle name="40% - Accent3 3 5 5" xfId="19363" xr:uid="{5E72A54B-769C-45D6-906E-F1770A67E6C1}"/>
    <cellStyle name="40% - Accent3 3 5 6" xfId="27803" xr:uid="{0CD6A8FC-E67E-4504-BF61-71090DD13097}"/>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9593C17B-EEF4-4E9F-8804-148E93E38A1A}"/>
    <cellStyle name="40% - Accent3 3 6 2 2 3" xfId="26138" xr:uid="{376FBDB9-1530-4561-8214-E9157676CBA7}"/>
    <cellStyle name="40% - Accent3 3 6 2 2 4" xfId="34578" xr:uid="{A6751107-60D6-429D-AE2F-5B6D697CB7CD}"/>
    <cellStyle name="40% - Accent3 3 6 2 3" xfId="13480" xr:uid="{9CAF8FF0-5E31-4754-AB00-96081581C894}"/>
    <cellStyle name="40% - Accent3 3 6 2 4" xfId="21921" xr:uid="{83681CEF-EA70-4589-85ED-8A8C699CC7D9}"/>
    <cellStyle name="40% - Accent3 3 6 2 5" xfId="30361" xr:uid="{3E9D5A6E-23E9-41C6-B3E4-5F9597BF5DC3}"/>
    <cellStyle name="40% - Accent3 3 6 3" xfId="6226" xr:uid="{00000000-0005-0000-0000-000076050000}"/>
    <cellStyle name="40% - Accent3 3 6 3 2" xfId="15552" xr:uid="{89CE5776-40DA-4DCB-9DB5-F428BFE1B03C}"/>
    <cellStyle name="40% - Accent3 3 6 3 3" xfId="23993" xr:uid="{8887A64A-EB13-4F32-9349-E12FCD75A044}"/>
    <cellStyle name="40% - Accent3 3 6 3 4" xfId="32433" xr:uid="{1D3FA388-25E5-4766-80D0-8472CD479CE4}"/>
    <cellStyle name="40% - Accent3 3 6 4" xfId="11335" xr:uid="{EF521D4C-BEAC-4814-91CC-8EE11758BE88}"/>
    <cellStyle name="40% - Accent3 3 6 5" xfId="19776" xr:uid="{8FA1845A-5971-4072-814E-50F4CC800716}"/>
    <cellStyle name="40% - Accent3 3 6 6" xfId="28216" xr:uid="{507B0887-0B32-4AE9-9A19-134087B31026}"/>
    <cellStyle name="40% - Accent3 3 7" xfId="2333" xr:uid="{00000000-0005-0000-0000-000077050000}"/>
    <cellStyle name="40% - Accent3 3 7 2" xfId="6639" xr:uid="{00000000-0005-0000-0000-000078050000}"/>
    <cellStyle name="40% - Accent3 3 7 2 2" xfId="15965" xr:uid="{BDBD1588-D9A9-46DA-915F-FD5DE86D4394}"/>
    <cellStyle name="40% - Accent3 3 7 2 3" xfId="24406" xr:uid="{149ADED6-5707-4190-B960-8A2442C6C051}"/>
    <cellStyle name="40% - Accent3 3 7 2 4" xfId="32846" xr:uid="{4481A0A1-278C-4A3D-9876-487BCE1BA0DA}"/>
    <cellStyle name="40% - Accent3 3 7 3" xfId="11748" xr:uid="{FD1A8764-AB23-4326-9FAB-6B589E33D684}"/>
    <cellStyle name="40% - Accent3 3 7 4" xfId="20189" xr:uid="{10F6D0A1-55F7-497F-A22E-E4706FD9D116}"/>
    <cellStyle name="40% - Accent3 3 7 5" xfId="28629" xr:uid="{09A836E9-E877-4876-894E-36A451CF29DC}"/>
    <cellStyle name="40% - Accent3 3 8" xfId="4573" xr:uid="{00000000-0005-0000-0000-000079050000}"/>
    <cellStyle name="40% - Accent3 3 8 2" xfId="13899" xr:uid="{F02FB85F-153D-4859-9474-13B0EE4CA89B}"/>
    <cellStyle name="40% - Accent3 3 8 3" xfId="22340" xr:uid="{2B5B3BFA-C27A-4316-BEA1-61DB987D52CB}"/>
    <cellStyle name="40% - Accent3 3 8 4" xfId="30780" xr:uid="{880DA9A4-88FA-4FF4-8E24-D5A25F4B6A47}"/>
    <cellStyle name="40% - Accent3 3 9" xfId="8866" xr:uid="{1A1EF43E-4A2B-42A8-98A3-CEC34DD3B00D}"/>
    <cellStyle name="40% - Accent3 4" xfId="72" xr:uid="{00000000-0005-0000-0000-00007A050000}"/>
    <cellStyle name="40% - Accent3 4 10" xfId="18125" xr:uid="{D38E6A80-D271-4562-B5C1-72D6B16B1766}"/>
    <cellStyle name="40% - Accent3 4 11" xfId="26565" xr:uid="{5C6B786F-44E5-4692-A545-FC5BD5FD6FAD}"/>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F1CBFACE-A590-4108-A9BC-0EFB924D9CE8}"/>
    <cellStyle name="40% - Accent3 4 2 2 2 3" xfId="24901" xr:uid="{E8E64B35-AD03-4D78-A530-4016FCE4483E}"/>
    <cellStyle name="40% - Accent3 4 2 2 2 4" xfId="33341" xr:uid="{43E58DEC-AA46-45A8-8CD7-B8010A87A634}"/>
    <cellStyle name="40% - Accent3 4 2 2 3" xfId="12243" xr:uid="{692B8EC2-FDD2-41AD-8C50-92A4E818394A}"/>
    <cellStyle name="40% - Accent3 4 2 2 4" xfId="20684" xr:uid="{37C158D2-FD06-421A-9B65-B829740FDECA}"/>
    <cellStyle name="40% - Accent3 4 2 2 5" xfId="29124" xr:uid="{5EF6E6A9-D308-4A5D-9196-377C211C911E}"/>
    <cellStyle name="40% - Accent3 4 2 3" xfId="4989" xr:uid="{00000000-0005-0000-0000-00007E050000}"/>
    <cellStyle name="40% - Accent3 4 2 3 2" xfId="14315" xr:uid="{94F49F37-8493-4CAB-8546-53C9DF30E4D9}"/>
    <cellStyle name="40% - Accent3 4 2 3 3" xfId="22756" xr:uid="{76D86C7A-465F-4FE6-9659-1099327B434D}"/>
    <cellStyle name="40% - Accent3 4 2 3 4" xfId="31196" xr:uid="{8E0D4552-F3C7-4CB5-BDFD-0B907D444CEA}"/>
    <cellStyle name="40% - Accent3 4 2 4" xfId="9377" xr:uid="{F4393833-4E73-4685-9332-CF918D5239A9}"/>
    <cellStyle name="40% - Accent3 4 2 5" xfId="10098" xr:uid="{3906BAC6-01F3-424C-AA41-821054B1B3FA}"/>
    <cellStyle name="40% - Accent3 4 2 6" xfId="18539" xr:uid="{E7375FF4-5039-4524-AE19-F5633A4B637A}"/>
    <cellStyle name="40% - Accent3 4 2 7" xfId="26979" xr:uid="{D973A232-7575-48D1-B233-773850F9E122}"/>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DEABD067-A79F-40EE-A69A-FF632CCB85B5}"/>
    <cellStyle name="40% - Accent3 4 3 2 2 3" xfId="25314" xr:uid="{55032366-907E-429D-B770-81AABEE4DD52}"/>
    <cellStyle name="40% - Accent3 4 3 2 2 4" xfId="33754" xr:uid="{0A8798B3-502D-4ABD-AFA9-129D006A6214}"/>
    <cellStyle name="40% - Accent3 4 3 2 3" xfId="12656" xr:uid="{CE5BA692-47F6-485F-ACE5-B7C485BE90C6}"/>
    <cellStyle name="40% - Accent3 4 3 2 4" xfId="21097" xr:uid="{FC79794A-EC02-45C7-88EC-A32D2900D4D1}"/>
    <cellStyle name="40% - Accent3 4 3 2 5" xfId="29537" xr:uid="{ADA3B12B-BEAF-4E55-961F-C8F445952508}"/>
    <cellStyle name="40% - Accent3 4 3 3" xfId="5402" xr:uid="{00000000-0005-0000-0000-000082050000}"/>
    <cellStyle name="40% - Accent3 4 3 3 2" xfId="14728" xr:uid="{101729D2-B0FD-48C3-8CAD-A58B38A5B9FC}"/>
    <cellStyle name="40% - Accent3 4 3 3 3" xfId="23169" xr:uid="{0F57BAB8-1800-4E4A-94E6-269CCE46A12E}"/>
    <cellStyle name="40% - Accent3 4 3 3 4" xfId="31609" xr:uid="{58B65AFB-103B-4BD3-8351-75BA5CBC3B58}"/>
    <cellStyle name="40% - Accent3 4 3 4" xfId="10511" xr:uid="{D8D2FF5E-ED2F-4F86-A2CE-8B8392D7DE0C}"/>
    <cellStyle name="40% - Accent3 4 3 5" xfId="18952" xr:uid="{3895222D-940B-48EB-9A3D-86EFBB6918E2}"/>
    <cellStyle name="40% - Accent3 4 3 6" xfId="27392" xr:uid="{0EB74586-22B1-481E-8404-74A9DEDC6EE4}"/>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97810E1C-C0F1-46D1-9189-DD8E3BC73C02}"/>
    <cellStyle name="40% - Accent3 4 4 2 2 3" xfId="25727" xr:uid="{086A02A7-5F0A-4E24-9ACF-36C68E630484}"/>
    <cellStyle name="40% - Accent3 4 4 2 2 4" xfId="34167" xr:uid="{416E9530-0BDE-4F3E-A58E-73C339D04986}"/>
    <cellStyle name="40% - Accent3 4 4 2 3" xfId="13069" xr:uid="{EE74F375-DBCC-4217-866B-4F51061ECEE0}"/>
    <cellStyle name="40% - Accent3 4 4 2 4" xfId="21510" xr:uid="{F5164586-5E00-4466-8373-CACDE32997EA}"/>
    <cellStyle name="40% - Accent3 4 4 2 5" xfId="29950" xr:uid="{DA4AFFA0-0E83-4B48-A85C-9154983D1FF0}"/>
    <cellStyle name="40% - Accent3 4 4 3" xfId="5815" xr:uid="{00000000-0005-0000-0000-000086050000}"/>
    <cellStyle name="40% - Accent3 4 4 3 2" xfId="15141" xr:uid="{8D856A4C-CA6A-4962-AF35-44815C98D290}"/>
    <cellStyle name="40% - Accent3 4 4 3 3" xfId="23582" xr:uid="{39DAEE6F-88A1-408F-9841-5753A4F07039}"/>
    <cellStyle name="40% - Accent3 4 4 3 4" xfId="32022" xr:uid="{AB19CA6B-2F08-46AF-B666-6FA73CBF619C}"/>
    <cellStyle name="40% - Accent3 4 4 4" xfId="10924" xr:uid="{E0B5919C-BFA3-4209-8E3C-04627DD70675}"/>
    <cellStyle name="40% - Accent3 4 4 5" xfId="19365" xr:uid="{C5DC6A8F-C34A-42DB-8322-A72B4E0E4A96}"/>
    <cellStyle name="40% - Accent3 4 4 6" xfId="27805" xr:uid="{5D2D7E38-227E-43C1-B329-D03388CA43AB}"/>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853E50C4-1907-4CBD-AE2D-2C0E60973165}"/>
    <cellStyle name="40% - Accent3 4 5 2 2 3" xfId="26140" xr:uid="{DE01A8EC-1ECC-4710-A344-94A30C3CA647}"/>
    <cellStyle name="40% - Accent3 4 5 2 2 4" xfId="34580" xr:uid="{4BA7D864-DD65-41AE-B8F3-1E24C1459B1E}"/>
    <cellStyle name="40% - Accent3 4 5 2 3" xfId="13482" xr:uid="{5D8C9BD5-F917-4109-945A-7D0EF35ADBD1}"/>
    <cellStyle name="40% - Accent3 4 5 2 4" xfId="21923" xr:uid="{54DE7139-96A6-463A-BAA3-281CD1E78399}"/>
    <cellStyle name="40% - Accent3 4 5 2 5" xfId="30363" xr:uid="{6AA278D7-8526-467C-A775-845F218AEEE0}"/>
    <cellStyle name="40% - Accent3 4 5 3" xfId="6228" xr:uid="{00000000-0005-0000-0000-00008A050000}"/>
    <cellStyle name="40% - Accent3 4 5 3 2" xfId="15554" xr:uid="{67949591-EF90-43CB-A978-4E4D66F167AB}"/>
    <cellStyle name="40% - Accent3 4 5 3 3" xfId="23995" xr:uid="{00E0A66A-733C-41C2-B54D-E7208C731ABB}"/>
    <cellStyle name="40% - Accent3 4 5 3 4" xfId="32435" xr:uid="{186EBBFA-F97F-4006-8D89-707AD332B287}"/>
    <cellStyle name="40% - Accent3 4 5 4" xfId="11337" xr:uid="{193AC65E-4F46-4B8E-86C5-B67BC1F97A91}"/>
    <cellStyle name="40% - Accent3 4 5 5" xfId="19778" xr:uid="{B37B1686-F5FD-4E3B-A724-7F732AC8FEA2}"/>
    <cellStyle name="40% - Accent3 4 5 6" xfId="28218" xr:uid="{CA32C60A-91C3-407A-8982-8653415143D0}"/>
    <cellStyle name="40% - Accent3 4 6" xfId="2335" xr:uid="{00000000-0005-0000-0000-00008B050000}"/>
    <cellStyle name="40% - Accent3 4 6 2" xfId="6641" xr:uid="{00000000-0005-0000-0000-00008C050000}"/>
    <cellStyle name="40% - Accent3 4 6 2 2" xfId="15967" xr:uid="{B5D9E7C3-B5E0-41E9-A04E-4A2F85AB8605}"/>
    <cellStyle name="40% - Accent3 4 6 2 3" xfId="24408" xr:uid="{2A339B56-A14D-480D-95F8-6EC9B6F50921}"/>
    <cellStyle name="40% - Accent3 4 6 2 4" xfId="32848" xr:uid="{2641C5A0-A317-4930-A514-D6118E7C9ACB}"/>
    <cellStyle name="40% - Accent3 4 6 3" xfId="11750" xr:uid="{FBD473AD-B1FC-4B3F-A8F2-723ECFAFA19D}"/>
    <cellStyle name="40% - Accent3 4 6 4" xfId="20191" xr:uid="{C6B01AF9-225A-4B1F-8C00-364E8AF8C641}"/>
    <cellStyle name="40% - Accent3 4 6 5" xfId="28631" xr:uid="{4ED352C8-4288-4FEB-93CF-E6FF9F408A5A}"/>
    <cellStyle name="40% - Accent3 4 7" xfId="4575" xr:uid="{00000000-0005-0000-0000-00008D050000}"/>
    <cellStyle name="40% - Accent3 4 7 2" xfId="13901" xr:uid="{D0957764-73CD-4559-8D94-CB32268F900D}"/>
    <cellStyle name="40% - Accent3 4 7 3" xfId="22342" xr:uid="{B1C54321-7BE3-456B-8B6B-C0A83DC4188A}"/>
    <cellStyle name="40% - Accent3 4 7 4" xfId="30782" xr:uid="{56DB47CD-26CE-414C-99F5-ECB824EF7054}"/>
    <cellStyle name="40% - Accent3 4 8" xfId="8952" xr:uid="{74BF8F1E-4A34-4787-9BA1-0B97E446635F}"/>
    <cellStyle name="40% - Accent3 4 9" xfId="9684" xr:uid="{5000BB65-5451-43B7-8552-D8ED03CDB26E}"/>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0015F794-DDBB-4054-94C1-19DA216B82DD}"/>
    <cellStyle name="40% - Accent3 5 2 2 3" xfId="24894" xr:uid="{783F5968-B1AA-4535-838A-DA05EB838D6E}"/>
    <cellStyle name="40% - Accent3 5 2 2 4" xfId="33334" xr:uid="{99059AE1-E8E6-45E7-B126-F7CB131BFD66}"/>
    <cellStyle name="40% - Accent3 5 2 3" xfId="12236" xr:uid="{7EBEDB60-678D-4444-B098-44EC4F732C0E}"/>
    <cellStyle name="40% - Accent3 5 2 4" xfId="20677" xr:uid="{B724792B-4376-4F68-83D3-EC9B1642E84A}"/>
    <cellStyle name="40% - Accent3 5 2 5" xfId="29117" xr:uid="{43194B1B-CB6B-4905-A85D-87C86C9D6B37}"/>
    <cellStyle name="40% - Accent3 5 3" xfId="4982" xr:uid="{00000000-0005-0000-0000-000091050000}"/>
    <cellStyle name="40% - Accent3 5 3 2" xfId="14308" xr:uid="{56A351DB-DEB3-4125-B502-5BB2BA7CD3CA}"/>
    <cellStyle name="40% - Accent3 5 3 3" xfId="22749" xr:uid="{9ECDFAF4-4B20-4FD5-8D09-05D0DEC7AB85}"/>
    <cellStyle name="40% - Accent3 5 3 4" xfId="31189" xr:uid="{4C13262C-5591-401E-863D-081D6AD14D4E}"/>
    <cellStyle name="40% - Accent3 5 4" xfId="9185" xr:uid="{526F025D-EBF7-4976-9E38-4C0631A2843B}"/>
    <cellStyle name="40% - Accent3 5 5" xfId="10091" xr:uid="{A41361E1-6E44-4823-B71C-B037B534F5EE}"/>
    <cellStyle name="40% - Accent3 5 6" xfId="18532" xr:uid="{06916533-6630-4A8B-B0C5-FDE86546B5AD}"/>
    <cellStyle name="40% - Accent3 5 7" xfId="26972" xr:uid="{D154BAEF-5D8D-4E7E-A5F3-30768D9CCF69}"/>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EC1A7C3D-1B6C-4628-900E-D6CA369802A6}"/>
    <cellStyle name="40% - Accent3 6 2 2 3" xfId="25307" xr:uid="{0F0CD485-F678-452A-A9A2-F214BA4ECC80}"/>
    <cellStyle name="40% - Accent3 6 2 2 4" xfId="33747" xr:uid="{8ED99269-DC7C-40CF-AE9C-311781E59839}"/>
    <cellStyle name="40% - Accent3 6 2 3" xfId="12649" xr:uid="{2C2FD6D7-8C1C-428C-B236-6DB1AB21BF75}"/>
    <cellStyle name="40% - Accent3 6 2 4" xfId="21090" xr:uid="{A968EA6C-F08E-4FA4-A416-1634CE5245C1}"/>
    <cellStyle name="40% - Accent3 6 2 5" xfId="29530" xr:uid="{BBF022B5-D7B6-4BC8-9592-3030A513D98A}"/>
    <cellStyle name="40% - Accent3 6 3" xfId="5395" xr:uid="{00000000-0005-0000-0000-000095050000}"/>
    <cellStyle name="40% - Accent3 6 3 2" xfId="14721" xr:uid="{1316A782-2387-4BEE-B104-85CF73153D97}"/>
    <cellStyle name="40% - Accent3 6 3 3" xfId="23162" xr:uid="{A5DE0866-C46B-469F-89B8-1FF921A618F1}"/>
    <cellStyle name="40% - Accent3 6 3 4" xfId="31602" xr:uid="{6205F4D4-B961-460A-A910-DF22D8A685D5}"/>
    <cellStyle name="40% - Accent3 6 4" xfId="10504" xr:uid="{9F22095E-1202-4AC8-B456-DEF50A102439}"/>
    <cellStyle name="40% - Accent3 6 5" xfId="18945" xr:uid="{503BFBA9-CA6C-4BC5-8053-97ED8A0C83F1}"/>
    <cellStyle name="40% - Accent3 6 6" xfId="27385" xr:uid="{A084F2B8-3F54-40BF-9E61-49C4ACE372D2}"/>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E3A84E41-BA7B-4EC4-9EED-317A36EBE032}"/>
    <cellStyle name="40% - Accent3 7 2 2 3" xfId="25720" xr:uid="{274FC666-1676-4121-9A7D-89FA3CC59CE3}"/>
    <cellStyle name="40% - Accent3 7 2 2 4" xfId="34160" xr:uid="{3985C278-8CBF-43B5-A3D5-EF1395F51A6F}"/>
    <cellStyle name="40% - Accent3 7 2 3" xfId="13062" xr:uid="{DC335BCC-BEB8-44D6-96EE-F99CCB5BBFEA}"/>
    <cellStyle name="40% - Accent3 7 2 4" xfId="21503" xr:uid="{6A1C3F5C-95F0-4FAB-B96F-DC25738F66F2}"/>
    <cellStyle name="40% - Accent3 7 2 5" xfId="29943" xr:uid="{4F5F9B0A-FDB2-44C6-94D1-DC0F2C122FB9}"/>
    <cellStyle name="40% - Accent3 7 3" xfId="5808" xr:uid="{00000000-0005-0000-0000-000099050000}"/>
    <cellStyle name="40% - Accent3 7 3 2" xfId="15134" xr:uid="{55E85D19-C001-490D-8776-3099BFD383A6}"/>
    <cellStyle name="40% - Accent3 7 3 3" xfId="23575" xr:uid="{6951C676-AB74-4553-BA83-8139ACAE818B}"/>
    <cellStyle name="40% - Accent3 7 3 4" xfId="32015" xr:uid="{9FD68FE2-08E8-4FE8-81C8-1F494901722D}"/>
    <cellStyle name="40% - Accent3 7 4" xfId="10917" xr:uid="{E17D3264-3BF2-4AF9-BAB5-ECE29E1D7AB3}"/>
    <cellStyle name="40% - Accent3 7 5" xfId="19358" xr:uid="{FE281FC3-DC9E-469C-B58D-9F2C2943F167}"/>
    <cellStyle name="40% - Accent3 7 6" xfId="27798" xr:uid="{A84AADB8-9362-49E0-89B6-55D4F5A35CA0}"/>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CBBBADCC-0091-41A6-96B0-28D3EC7A6E86}"/>
    <cellStyle name="40% - Accent3 8 2 2 3" xfId="26133" xr:uid="{85F7946A-E9C0-4DB8-AFE6-530834866C48}"/>
    <cellStyle name="40% - Accent3 8 2 2 4" xfId="34573" xr:uid="{E3A18EE4-B072-4E6F-840B-EBB9F5DDD4F7}"/>
    <cellStyle name="40% - Accent3 8 2 3" xfId="13475" xr:uid="{E69D10F7-4881-4615-8258-AFBB9C0F96C2}"/>
    <cellStyle name="40% - Accent3 8 2 4" xfId="21916" xr:uid="{B0E25A69-EC56-452A-A310-0DE6054E81E9}"/>
    <cellStyle name="40% - Accent3 8 2 5" xfId="30356" xr:uid="{26AB6E4F-B09C-4AE3-B8AE-F39EE7BD7C9A}"/>
    <cellStyle name="40% - Accent3 8 3" xfId="6221" xr:uid="{00000000-0005-0000-0000-00009D050000}"/>
    <cellStyle name="40% - Accent3 8 3 2" xfId="15547" xr:uid="{D6F42194-1012-49EC-9897-C0912BF1CA2A}"/>
    <cellStyle name="40% - Accent3 8 3 3" xfId="23988" xr:uid="{84C14ED4-73A1-49C2-ADBC-C5DE7C43CD96}"/>
    <cellStyle name="40% - Accent3 8 3 4" xfId="32428" xr:uid="{F2123574-DD47-42E4-938F-F3C11D67751E}"/>
    <cellStyle name="40% - Accent3 8 4" xfId="11330" xr:uid="{AA415043-55C1-4F57-AD0D-B7038A7C3669}"/>
    <cellStyle name="40% - Accent3 8 5" xfId="19771" xr:uid="{5EB8D0E2-DD85-4D1E-B964-603AA9FA0ED1}"/>
    <cellStyle name="40% - Accent3 8 6" xfId="28211" xr:uid="{19BA6167-4FBB-4BB4-93AE-CBFDED3FF59F}"/>
    <cellStyle name="40% - Accent3 9" xfId="2328" xr:uid="{00000000-0005-0000-0000-00009E050000}"/>
    <cellStyle name="40% - Accent3 9 2" xfId="6634" xr:uid="{00000000-0005-0000-0000-00009F050000}"/>
    <cellStyle name="40% - Accent3 9 2 2" xfId="15960" xr:uid="{EA6BB7AE-EFBD-49B1-8031-D2F558352EC3}"/>
    <cellStyle name="40% - Accent3 9 2 3" xfId="24401" xr:uid="{42297A9A-31AE-40CC-8C08-49687432233F}"/>
    <cellStyle name="40% - Accent3 9 2 4" xfId="32841" xr:uid="{42E72858-EC8A-4360-A5DF-D743841254B4}"/>
    <cellStyle name="40% - Accent3 9 3" xfId="11743" xr:uid="{913E65AD-DB86-4F7C-9F49-2E4CEB7FC0A4}"/>
    <cellStyle name="40% - Accent3 9 4" xfId="20184" xr:uid="{86556A0C-82CD-4C54-AF6C-FA1B4D135E4E}"/>
    <cellStyle name="40% - Accent3 9 5" xfId="28624" xr:uid="{28123DCC-0048-48BB-B096-55A2FD9351A8}"/>
    <cellStyle name="40% - Accent4" xfId="73" builtinId="43" customBuiltin="1"/>
    <cellStyle name="40% - Accent4 10" xfId="4576" xr:uid="{00000000-0005-0000-0000-0000A1050000}"/>
    <cellStyle name="40% - Accent4 10 2" xfId="13902" xr:uid="{933C0472-391C-4E48-9860-BACCCA6D33BF}"/>
    <cellStyle name="40% - Accent4 10 3" xfId="22343" xr:uid="{B8D8ABE0-383C-49BF-8583-5C49902C4EEC}"/>
    <cellStyle name="40% - Accent4 10 4" xfId="30783" xr:uid="{B086AD9A-A35B-4EB3-AE60-C727AFD949C2}"/>
    <cellStyle name="40% - Accent4 11" xfId="8765" xr:uid="{18B6B6D6-5043-43D1-BB02-3855BF7027C3}"/>
    <cellStyle name="40% - Accent4 12" xfId="9685" xr:uid="{B34D13EB-FC1D-4AE9-A4F9-2A1074F16E0A}"/>
    <cellStyle name="40% - Accent4 13" xfId="18126" xr:uid="{79C8ECF3-FF61-4D49-8587-DA99559F6BFF}"/>
    <cellStyle name="40% - Accent4 14" xfId="26566" xr:uid="{7E3843E3-FD26-4849-A1FC-41726E75E872}"/>
    <cellStyle name="40% - Accent4 2" xfId="74" xr:uid="{00000000-0005-0000-0000-0000A2050000}"/>
    <cellStyle name="40% - Accent4 2 10" xfId="8801" xr:uid="{223FCC58-A05E-4022-8080-E75A80678FA6}"/>
    <cellStyle name="40% - Accent4 2 11" xfId="9686" xr:uid="{DD745FBE-6136-4CFA-B1D5-616F854B9789}"/>
    <cellStyle name="40% - Accent4 2 12" xfId="18127" xr:uid="{84ACB17F-1C5A-4128-A6CA-37F06AB532D1}"/>
    <cellStyle name="40% - Accent4 2 13" xfId="26567" xr:uid="{EFCEDD8E-F774-4796-A453-9E09FCF8684B}"/>
    <cellStyle name="40% - Accent4 2 2" xfId="75" xr:uid="{00000000-0005-0000-0000-0000A3050000}"/>
    <cellStyle name="40% - Accent4 2 2 10" xfId="9687" xr:uid="{F0C4E02E-7FAC-4C98-B0E2-CA1CEDEFEC2F}"/>
    <cellStyle name="40% - Accent4 2 2 11" xfId="18128" xr:uid="{45A17DE7-C1A9-4808-BA1F-C70C5AE69C3E}"/>
    <cellStyle name="40% - Accent4 2 2 12" xfId="26568" xr:uid="{0DC2EE8E-9C9F-4316-ACBC-3FB3841E6D2B}"/>
    <cellStyle name="40% - Accent4 2 2 2" xfId="76" xr:uid="{00000000-0005-0000-0000-0000A4050000}"/>
    <cellStyle name="40% - Accent4 2 2 2 10" xfId="18129" xr:uid="{A6E20699-96EF-487C-BD96-6C55687B4F79}"/>
    <cellStyle name="40% - Accent4 2 2 2 11" xfId="26569" xr:uid="{B633D67E-9D46-4D85-9179-009F5372E98E}"/>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A414467F-E7C1-486C-BAE4-1F4F0FF94E09}"/>
    <cellStyle name="40% - Accent4 2 2 2 2 2 2 3" xfId="24905" xr:uid="{52965970-AFA0-426A-9ED0-2F3170E026FC}"/>
    <cellStyle name="40% - Accent4 2 2 2 2 2 2 4" xfId="33345" xr:uid="{6310DEF8-4682-44C1-AEE6-1FA4BB5F1782}"/>
    <cellStyle name="40% - Accent4 2 2 2 2 2 3" xfId="12247" xr:uid="{B12E2957-5E9F-42BC-BF8E-8CBAA3F7A05A}"/>
    <cellStyle name="40% - Accent4 2 2 2 2 2 4" xfId="20688" xr:uid="{7ED5409D-2741-47A7-B395-2BA0E0CC0213}"/>
    <cellStyle name="40% - Accent4 2 2 2 2 2 5" xfId="29128" xr:uid="{F564184A-806A-403A-91C3-FF1AAD38FEB8}"/>
    <cellStyle name="40% - Accent4 2 2 2 2 3" xfId="4993" xr:uid="{00000000-0005-0000-0000-0000A8050000}"/>
    <cellStyle name="40% - Accent4 2 2 2 2 3 2" xfId="14319" xr:uid="{B9FECD07-A04F-4AE0-85D3-79C427D2D81F}"/>
    <cellStyle name="40% - Accent4 2 2 2 2 3 3" xfId="22760" xr:uid="{46CCE982-513E-41CB-9E76-A8BA7F981166}"/>
    <cellStyle name="40% - Accent4 2 2 2 2 3 4" xfId="31200" xr:uid="{27C0597A-BE9F-4580-AECE-EF0206A59115}"/>
    <cellStyle name="40% - Accent4 2 2 2 2 4" xfId="9536" xr:uid="{4351D24F-CE30-4CFD-968F-4B882F0FC9B5}"/>
    <cellStyle name="40% - Accent4 2 2 2 2 5" xfId="10102" xr:uid="{F96CD60F-7CBE-4D80-BCE1-DC44CEFECA62}"/>
    <cellStyle name="40% - Accent4 2 2 2 2 6" xfId="18543" xr:uid="{2FC7C0B8-B975-4C2C-8EF9-ED3609D6A9F4}"/>
    <cellStyle name="40% - Accent4 2 2 2 2 7" xfId="26983" xr:uid="{2A118744-0BBA-4D1D-9870-D7EEC207B501}"/>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4B4599B2-13E9-498C-B4B1-F19B1918B5AF}"/>
    <cellStyle name="40% - Accent4 2 2 2 3 2 2 3" xfId="25318" xr:uid="{AFD2CBB2-6703-4C28-864F-4D9F074FAEA6}"/>
    <cellStyle name="40% - Accent4 2 2 2 3 2 2 4" xfId="33758" xr:uid="{5A947C5C-951D-4BD1-98A4-0C4BF5F45A01}"/>
    <cellStyle name="40% - Accent4 2 2 2 3 2 3" xfId="12660" xr:uid="{7432212C-429D-45E7-A3EC-D03C575E787E}"/>
    <cellStyle name="40% - Accent4 2 2 2 3 2 4" xfId="21101" xr:uid="{E494606B-2189-4376-BA3B-9C5AC2CEEC6E}"/>
    <cellStyle name="40% - Accent4 2 2 2 3 2 5" xfId="29541" xr:uid="{4983CC4C-47B5-4A45-91B5-938A7B763102}"/>
    <cellStyle name="40% - Accent4 2 2 2 3 3" xfId="5406" xr:uid="{00000000-0005-0000-0000-0000AC050000}"/>
    <cellStyle name="40% - Accent4 2 2 2 3 3 2" xfId="14732" xr:uid="{72A2C621-4A80-42FD-8348-3B8AD4C14545}"/>
    <cellStyle name="40% - Accent4 2 2 2 3 3 3" xfId="23173" xr:uid="{FC9C5BC2-A08B-47AF-9831-FB356559E0DE}"/>
    <cellStyle name="40% - Accent4 2 2 2 3 3 4" xfId="31613" xr:uid="{75A05C35-E498-4982-A2C9-91898822419A}"/>
    <cellStyle name="40% - Accent4 2 2 2 3 4" xfId="10515" xr:uid="{3AAE6E89-CB53-4EA8-A6F2-4D31942FC8A8}"/>
    <cellStyle name="40% - Accent4 2 2 2 3 5" xfId="18956" xr:uid="{E37956F6-C90A-4F84-9F2B-8676F6C4F44A}"/>
    <cellStyle name="40% - Accent4 2 2 2 3 6" xfId="27396" xr:uid="{EC92DCB7-FCAE-4150-9D7E-35B4D9FF878A}"/>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1DCB43DB-9D22-4DD8-99A4-E6174C257FE6}"/>
    <cellStyle name="40% - Accent4 2 2 2 4 2 2 3" xfId="25731" xr:uid="{CDA20F3E-6D73-4B21-A80A-812DEC8DDF21}"/>
    <cellStyle name="40% - Accent4 2 2 2 4 2 2 4" xfId="34171" xr:uid="{BDC3CE7E-E695-4723-8900-93858FD9529A}"/>
    <cellStyle name="40% - Accent4 2 2 2 4 2 3" xfId="13073" xr:uid="{076B6E56-B499-4994-B98D-E31F5DB5BCEE}"/>
    <cellStyle name="40% - Accent4 2 2 2 4 2 4" xfId="21514" xr:uid="{797F1F8F-994A-45D5-9D29-E51C9E2688CD}"/>
    <cellStyle name="40% - Accent4 2 2 2 4 2 5" xfId="29954" xr:uid="{D3DD2499-A2A0-47DE-97C8-DC20909603D0}"/>
    <cellStyle name="40% - Accent4 2 2 2 4 3" xfId="5819" xr:uid="{00000000-0005-0000-0000-0000B0050000}"/>
    <cellStyle name="40% - Accent4 2 2 2 4 3 2" xfId="15145" xr:uid="{B2D7518E-A3CB-4219-B148-99AB1CFCBC1E}"/>
    <cellStyle name="40% - Accent4 2 2 2 4 3 3" xfId="23586" xr:uid="{08F9F6A6-2E57-478C-9553-D003ABA0607E}"/>
    <cellStyle name="40% - Accent4 2 2 2 4 3 4" xfId="32026" xr:uid="{2E146FD2-20DC-450C-92D9-D29ACAC2B639}"/>
    <cellStyle name="40% - Accent4 2 2 2 4 4" xfId="10928" xr:uid="{D34C0D89-94F6-4B49-AF69-98F387BDBCE7}"/>
    <cellStyle name="40% - Accent4 2 2 2 4 5" xfId="19369" xr:uid="{52442A52-C029-44F2-975F-D9F1B2D6D41C}"/>
    <cellStyle name="40% - Accent4 2 2 2 4 6" xfId="27809" xr:uid="{79F792DF-087F-4055-8EFA-162584BE1A66}"/>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5BD3F9A5-C5D7-4479-A6CD-F709F5C8C565}"/>
    <cellStyle name="40% - Accent4 2 2 2 5 2 2 3" xfId="26144" xr:uid="{51ABCD2A-0D2A-44AD-9AB8-C8E542376493}"/>
    <cellStyle name="40% - Accent4 2 2 2 5 2 2 4" xfId="34584" xr:uid="{058E02D8-50F2-4608-ABBA-0404D73669BD}"/>
    <cellStyle name="40% - Accent4 2 2 2 5 2 3" xfId="13486" xr:uid="{23922720-C2D9-497F-A7AA-CCE2CC36DB1E}"/>
    <cellStyle name="40% - Accent4 2 2 2 5 2 4" xfId="21927" xr:uid="{6E944F64-A881-44FD-91C5-A0F07408055E}"/>
    <cellStyle name="40% - Accent4 2 2 2 5 2 5" xfId="30367" xr:uid="{B2752053-7F05-44CD-A84A-38BB67FA34CD}"/>
    <cellStyle name="40% - Accent4 2 2 2 5 3" xfId="6232" xr:uid="{00000000-0005-0000-0000-0000B4050000}"/>
    <cellStyle name="40% - Accent4 2 2 2 5 3 2" xfId="15558" xr:uid="{0C8C26F4-0509-4010-B31C-FD3A891DAA84}"/>
    <cellStyle name="40% - Accent4 2 2 2 5 3 3" xfId="23999" xr:uid="{EB9B0F76-5FAB-44FD-91D1-7127D87B8695}"/>
    <cellStyle name="40% - Accent4 2 2 2 5 3 4" xfId="32439" xr:uid="{46793010-DDA0-4907-89AD-32B8905A8576}"/>
    <cellStyle name="40% - Accent4 2 2 2 5 4" xfId="11341" xr:uid="{19AB850D-C480-4F71-9897-ED467A955241}"/>
    <cellStyle name="40% - Accent4 2 2 2 5 5" xfId="19782" xr:uid="{58C8829A-5053-48B5-81CE-4800964F4045}"/>
    <cellStyle name="40% - Accent4 2 2 2 5 6" xfId="28222" xr:uid="{12625C81-48D1-4830-88A0-2B91380F5EA0}"/>
    <cellStyle name="40% - Accent4 2 2 2 6" xfId="2339" xr:uid="{00000000-0005-0000-0000-0000B5050000}"/>
    <cellStyle name="40% - Accent4 2 2 2 6 2" xfId="6645" xr:uid="{00000000-0005-0000-0000-0000B6050000}"/>
    <cellStyle name="40% - Accent4 2 2 2 6 2 2" xfId="15971" xr:uid="{B2EC6735-9BB9-4E3B-B38D-4A23D0D016E3}"/>
    <cellStyle name="40% - Accent4 2 2 2 6 2 3" xfId="24412" xr:uid="{070D9E39-C13D-4AA2-9524-099C4638F099}"/>
    <cellStyle name="40% - Accent4 2 2 2 6 2 4" xfId="32852" xr:uid="{FE374CB4-3FC2-4A69-83A1-065A6EE2D5E8}"/>
    <cellStyle name="40% - Accent4 2 2 2 6 3" xfId="11754" xr:uid="{0E4BDCF7-A6F8-491C-ADCA-CBC13ECD7D16}"/>
    <cellStyle name="40% - Accent4 2 2 2 6 4" xfId="20195" xr:uid="{340F2A56-E728-4E3B-A418-F69DB555B838}"/>
    <cellStyle name="40% - Accent4 2 2 2 6 5" xfId="28635" xr:uid="{EEADD117-A05A-4BA1-95E2-4E99B32D3407}"/>
    <cellStyle name="40% - Accent4 2 2 2 7" xfId="4579" xr:uid="{00000000-0005-0000-0000-0000B7050000}"/>
    <cellStyle name="40% - Accent4 2 2 2 7 2" xfId="13905" xr:uid="{38C4240A-70CF-4950-ABEE-04C47E1C0876}"/>
    <cellStyle name="40% - Accent4 2 2 2 7 3" xfId="22346" xr:uid="{BDD42F6C-74EC-4D17-B685-CE97D5074E5F}"/>
    <cellStyle name="40% - Accent4 2 2 2 7 4" xfId="30786" xr:uid="{CFADBDEA-D1F1-47A2-BAC0-C178C8D82676}"/>
    <cellStyle name="40% - Accent4 2 2 2 8" xfId="9111" xr:uid="{1DD86F12-0D11-497C-88D9-78D90E1EF65F}"/>
    <cellStyle name="40% - Accent4 2 2 2 9" xfId="9688" xr:uid="{326C7FB3-2428-4CF9-9D61-2E80DD93D005}"/>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325A0A99-F509-4BF5-9E35-D10E75EAE6CC}"/>
    <cellStyle name="40% - Accent4 2 2 3 2 2 3" xfId="24904" xr:uid="{8909396F-0E35-43A7-A6FA-73C435E5728E}"/>
    <cellStyle name="40% - Accent4 2 2 3 2 2 4" xfId="33344" xr:uid="{3BB6A24D-D71E-4F30-B500-EB452DC21C86}"/>
    <cellStyle name="40% - Accent4 2 2 3 2 3" xfId="12246" xr:uid="{E862A3D4-FEAD-465A-8537-3DCF3AC0F39A}"/>
    <cellStyle name="40% - Accent4 2 2 3 2 4" xfId="20687" xr:uid="{94FE497C-7CA4-44B7-8AAB-88113BE9B79A}"/>
    <cellStyle name="40% - Accent4 2 2 3 2 5" xfId="29127" xr:uid="{D43F968B-9A98-4D97-B6ED-23E4E2F467BA}"/>
    <cellStyle name="40% - Accent4 2 2 3 3" xfId="4992" xr:uid="{00000000-0005-0000-0000-0000BB050000}"/>
    <cellStyle name="40% - Accent4 2 2 3 3 2" xfId="14318" xr:uid="{69BF3FBC-DA47-4E73-B7D8-F7DC63879599}"/>
    <cellStyle name="40% - Accent4 2 2 3 3 3" xfId="22759" xr:uid="{4A4D5E6C-4E01-435F-B581-8F136DF1CB1C}"/>
    <cellStyle name="40% - Accent4 2 2 3 3 4" xfId="31199" xr:uid="{EB84EDA0-A52E-4A88-9A41-73D2377B28A0}"/>
    <cellStyle name="40% - Accent4 2 2 3 4" xfId="9329" xr:uid="{62CB3536-9FC4-4DBF-9121-AD0025D891C9}"/>
    <cellStyle name="40% - Accent4 2 2 3 5" xfId="10101" xr:uid="{46F883D1-10DA-4B34-9EB2-E8408B747BD0}"/>
    <cellStyle name="40% - Accent4 2 2 3 6" xfId="18542" xr:uid="{6B67EA9C-3304-4BFB-BD07-F17A83FFE43A}"/>
    <cellStyle name="40% - Accent4 2 2 3 7" xfId="26982" xr:uid="{70847EB9-D389-4D7C-8AD6-DCC37E64D240}"/>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7E864C2F-34F1-4D73-9DBF-582F6F27899D}"/>
    <cellStyle name="40% - Accent4 2 2 4 2 2 3" xfId="25317" xr:uid="{C021144D-F8D6-4326-AE61-C8E96482C52C}"/>
    <cellStyle name="40% - Accent4 2 2 4 2 2 4" xfId="33757" xr:uid="{B6885683-4877-4715-8239-B7590FF8AE29}"/>
    <cellStyle name="40% - Accent4 2 2 4 2 3" xfId="12659" xr:uid="{0F2B86BB-99EF-44DA-A4DC-4A7D594770D5}"/>
    <cellStyle name="40% - Accent4 2 2 4 2 4" xfId="21100" xr:uid="{E52481A5-61BB-4AFE-B2A0-84B733C85219}"/>
    <cellStyle name="40% - Accent4 2 2 4 2 5" xfId="29540" xr:uid="{5AEA39AA-5F84-4729-AAC0-9A6558D7A860}"/>
    <cellStyle name="40% - Accent4 2 2 4 3" xfId="5405" xr:uid="{00000000-0005-0000-0000-0000BF050000}"/>
    <cellStyle name="40% - Accent4 2 2 4 3 2" xfId="14731" xr:uid="{BC0586A6-5D32-46C1-9341-EDCE5B6E78B3}"/>
    <cellStyle name="40% - Accent4 2 2 4 3 3" xfId="23172" xr:uid="{0C6DC041-99F3-4D77-A4A9-6B4F891B397C}"/>
    <cellStyle name="40% - Accent4 2 2 4 3 4" xfId="31612" xr:uid="{EA154D32-352D-4880-AC94-AEFBBC845F0A}"/>
    <cellStyle name="40% - Accent4 2 2 4 4" xfId="10514" xr:uid="{37F8768B-552C-4657-AECB-7AE551888241}"/>
    <cellStyle name="40% - Accent4 2 2 4 5" xfId="18955" xr:uid="{532F9051-6853-41C4-8455-00E182BD6196}"/>
    <cellStyle name="40% - Accent4 2 2 4 6" xfId="27395" xr:uid="{528FF871-AB9A-43AB-96DA-B67EE4923ED0}"/>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E9B90C82-1213-4AF9-9E90-4BE31F36281C}"/>
    <cellStyle name="40% - Accent4 2 2 5 2 2 3" xfId="25730" xr:uid="{4BF0D97F-554C-4E71-B30A-B5404DAC7B2D}"/>
    <cellStyle name="40% - Accent4 2 2 5 2 2 4" xfId="34170" xr:uid="{E3D8CE3B-C91E-442A-AE20-88C5D49A3BAE}"/>
    <cellStyle name="40% - Accent4 2 2 5 2 3" xfId="13072" xr:uid="{33645B3E-5377-4319-B3FA-2424882EFBF4}"/>
    <cellStyle name="40% - Accent4 2 2 5 2 4" xfId="21513" xr:uid="{D1AD0F23-6B8B-48D0-A596-1F0EF0A9E517}"/>
    <cellStyle name="40% - Accent4 2 2 5 2 5" xfId="29953" xr:uid="{BBADF325-10D4-447B-A4CC-8A45307BD35C}"/>
    <cellStyle name="40% - Accent4 2 2 5 3" xfId="5818" xr:uid="{00000000-0005-0000-0000-0000C3050000}"/>
    <cellStyle name="40% - Accent4 2 2 5 3 2" xfId="15144" xr:uid="{B60D40B2-FA70-4D3E-A26E-52B41745884D}"/>
    <cellStyle name="40% - Accent4 2 2 5 3 3" xfId="23585" xr:uid="{744D1350-2ED7-47BF-BEAF-CC0B783D2AB2}"/>
    <cellStyle name="40% - Accent4 2 2 5 3 4" xfId="32025" xr:uid="{446C9833-81CD-4741-AE55-4851A355762D}"/>
    <cellStyle name="40% - Accent4 2 2 5 4" xfId="10927" xr:uid="{102D0C63-83E8-4653-92DC-7FCE7B6FF055}"/>
    <cellStyle name="40% - Accent4 2 2 5 5" xfId="19368" xr:uid="{F8588BCD-72EF-4849-8D25-135F0B5FB703}"/>
    <cellStyle name="40% - Accent4 2 2 5 6" xfId="27808" xr:uid="{68664926-7BBC-43BA-B7DE-C312D473A478}"/>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B48EEA7C-1BF9-4131-8910-0FDCA2305FF0}"/>
    <cellStyle name="40% - Accent4 2 2 6 2 2 3" xfId="26143" xr:uid="{63C2187D-953A-403B-9CED-C02B49C5C660}"/>
    <cellStyle name="40% - Accent4 2 2 6 2 2 4" xfId="34583" xr:uid="{4125E548-7242-45AC-9340-262E9F059A92}"/>
    <cellStyle name="40% - Accent4 2 2 6 2 3" xfId="13485" xr:uid="{F2A28778-3998-41E3-8D37-F257F8F6EFF1}"/>
    <cellStyle name="40% - Accent4 2 2 6 2 4" xfId="21926" xr:uid="{1D551906-74D3-45A0-B755-9B7EDD1FAF0D}"/>
    <cellStyle name="40% - Accent4 2 2 6 2 5" xfId="30366" xr:uid="{BE6833E0-452A-448E-B2EF-94202DE37DED}"/>
    <cellStyle name="40% - Accent4 2 2 6 3" xfId="6231" xr:uid="{00000000-0005-0000-0000-0000C7050000}"/>
    <cellStyle name="40% - Accent4 2 2 6 3 2" xfId="15557" xr:uid="{906E257F-1566-4B00-92B2-C69135910ED9}"/>
    <cellStyle name="40% - Accent4 2 2 6 3 3" xfId="23998" xr:uid="{DC07DE2B-64E5-4C3B-A887-3F02E9569BE3}"/>
    <cellStyle name="40% - Accent4 2 2 6 3 4" xfId="32438" xr:uid="{3C4FCAED-1C20-4DB6-A10C-51F671751858}"/>
    <cellStyle name="40% - Accent4 2 2 6 4" xfId="11340" xr:uid="{BD9E8556-4C7B-4141-8DB6-CF05C15B5834}"/>
    <cellStyle name="40% - Accent4 2 2 6 5" xfId="19781" xr:uid="{2AEAA847-3715-4CF1-800F-1495FBC6B013}"/>
    <cellStyle name="40% - Accent4 2 2 6 6" xfId="28221" xr:uid="{24EAA7B6-21AC-4E85-A8B1-3E53F32A2D31}"/>
    <cellStyle name="40% - Accent4 2 2 7" xfId="2338" xr:uid="{00000000-0005-0000-0000-0000C8050000}"/>
    <cellStyle name="40% - Accent4 2 2 7 2" xfId="6644" xr:uid="{00000000-0005-0000-0000-0000C9050000}"/>
    <cellStyle name="40% - Accent4 2 2 7 2 2" xfId="15970" xr:uid="{4ED1C964-34C5-450D-98AA-A569AACBB6F5}"/>
    <cellStyle name="40% - Accent4 2 2 7 2 3" xfId="24411" xr:uid="{39A714AB-3B35-4467-B430-7345B90C2252}"/>
    <cellStyle name="40% - Accent4 2 2 7 2 4" xfId="32851" xr:uid="{FAFBE10A-8507-45DF-9D76-6C171A2F0610}"/>
    <cellStyle name="40% - Accent4 2 2 7 3" xfId="11753" xr:uid="{745D6210-6F6D-4A0D-A737-6C2EE7CF0AD7}"/>
    <cellStyle name="40% - Accent4 2 2 7 4" xfId="20194" xr:uid="{B9D8279C-BFC3-4EFD-AE66-1041EBC1FFAA}"/>
    <cellStyle name="40% - Accent4 2 2 7 5" xfId="28634" xr:uid="{B51740B4-9437-41DF-A94C-34EFEF09E4AD}"/>
    <cellStyle name="40% - Accent4 2 2 8" xfId="4578" xr:uid="{00000000-0005-0000-0000-0000CA050000}"/>
    <cellStyle name="40% - Accent4 2 2 8 2" xfId="13904" xr:uid="{FCD89829-6E55-409B-9E30-F552FA93B4AC}"/>
    <cellStyle name="40% - Accent4 2 2 8 3" xfId="22345" xr:uid="{9FC0E3DE-144B-4101-8191-082351881269}"/>
    <cellStyle name="40% - Accent4 2 2 8 4" xfId="30785" xr:uid="{BE5FA37C-1E90-4C54-A61A-6A767EFBE40E}"/>
    <cellStyle name="40% - Accent4 2 2 9" xfId="8904" xr:uid="{64C959C5-2FAF-462D-88B6-14B59CDC763B}"/>
    <cellStyle name="40% - Accent4 2 3" xfId="77" xr:uid="{00000000-0005-0000-0000-0000CB050000}"/>
    <cellStyle name="40% - Accent4 2 3 10" xfId="18130" xr:uid="{4DF0FA70-1453-4DDF-B61A-3C8153DA74B7}"/>
    <cellStyle name="40% - Accent4 2 3 11" xfId="26570" xr:uid="{8004828E-A926-4470-8FE1-D1D31981B55F}"/>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E6E0E6EC-E273-492B-B3F1-265E9578158D}"/>
    <cellStyle name="40% - Accent4 2 3 2 2 2 3" xfId="24906" xr:uid="{3F3E07DC-30C7-4213-B5DE-65C873B57EBD}"/>
    <cellStyle name="40% - Accent4 2 3 2 2 2 4" xfId="33346" xr:uid="{CEC3E8B9-CB6F-4342-B49A-4E3031442DA0}"/>
    <cellStyle name="40% - Accent4 2 3 2 2 3" xfId="12248" xr:uid="{1F3A5489-E2FD-44F1-9A16-1345B126E689}"/>
    <cellStyle name="40% - Accent4 2 3 2 2 4" xfId="20689" xr:uid="{7C9363FD-1806-48B0-95B4-168BB2B4890C}"/>
    <cellStyle name="40% - Accent4 2 3 2 2 5" xfId="29129" xr:uid="{77B5F4E2-5051-4AC4-A0A2-AA0B63BF497F}"/>
    <cellStyle name="40% - Accent4 2 3 2 3" xfId="4994" xr:uid="{00000000-0005-0000-0000-0000CF050000}"/>
    <cellStyle name="40% - Accent4 2 3 2 3 2" xfId="14320" xr:uid="{CBA78C98-457F-4579-BAC9-9B86C9D8A2CC}"/>
    <cellStyle name="40% - Accent4 2 3 2 3 3" xfId="22761" xr:uid="{096235B5-740E-44DC-8E56-EACE0C8D0AE1}"/>
    <cellStyle name="40% - Accent4 2 3 2 3 4" xfId="31201" xr:uid="{1196E29C-3FCD-4D98-BD45-00C1E62CFFEF}"/>
    <cellStyle name="40% - Accent4 2 3 2 4" xfId="9433" xr:uid="{058786D1-7E7D-40D9-9218-B4C7219F4E53}"/>
    <cellStyle name="40% - Accent4 2 3 2 5" xfId="10103" xr:uid="{1C13E3C1-0C04-4283-B8FB-3A23783ACEC2}"/>
    <cellStyle name="40% - Accent4 2 3 2 6" xfId="18544" xr:uid="{AE99A297-2E7C-43CE-814A-7EE6009C7513}"/>
    <cellStyle name="40% - Accent4 2 3 2 7" xfId="26984" xr:uid="{6924D871-8544-49E9-B8B0-F293446E1733}"/>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F9753F29-B32C-4138-8F26-580414734D02}"/>
    <cellStyle name="40% - Accent4 2 3 3 2 2 3" xfId="25319" xr:uid="{CB4BF447-582F-4FED-9EE5-1E45733C1E0A}"/>
    <cellStyle name="40% - Accent4 2 3 3 2 2 4" xfId="33759" xr:uid="{5ABF03CB-1184-4D17-BBD9-E401EB987EBB}"/>
    <cellStyle name="40% - Accent4 2 3 3 2 3" xfId="12661" xr:uid="{85BA0F46-AB6F-48C9-88D8-43BE0FA2AD0F}"/>
    <cellStyle name="40% - Accent4 2 3 3 2 4" xfId="21102" xr:uid="{465B7476-DD11-41FA-8DB9-853EF76BA64D}"/>
    <cellStyle name="40% - Accent4 2 3 3 2 5" xfId="29542" xr:uid="{FF050A5E-37FF-4789-8708-DD7B48221360}"/>
    <cellStyle name="40% - Accent4 2 3 3 3" xfId="5407" xr:uid="{00000000-0005-0000-0000-0000D3050000}"/>
    <cellStyle name="40% - Accent4 2 3 3 3 2" xfId="14733" xr:uid="{120071F5-A4C3-45E4-9388-1C605182EC05}"/>
    <cellStyle name="40% - Accent4 2 3 3 3 3" xfId="23174" xr:uid="{00ECA9BA-117E-476C-8A90-C6C7946661C8}"/>
    <cellStyle name="40% - Accent4 2 3 3 3 4" xfId="31614" xr:uid="{6CE2E8B4-F6D2-4A7A-837D-0931C3D8CEF8}"/>
    <cellStyle name="40% - Accent4 2 3 3 4" xfId="10516" xr:uid="{ABB447C3-636A-4E7F-BE3D-1D35D1669DB4}"/>
    <cellStyle name="40% - Accent4 2 3 3 5" xfId="18957" xr:uid="{93AE6EC2-0651-46FA-9E44-DDED334E9C3F}"/>
    <cellStyle name="40% - Accent4 2 3 3 6" xfId="27397" xr:uid="{E3854E02-CABD-4B2E-A971-82DF250BF396}"/>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51788EA7-0479-4EC8-8F4D-48081D9F1E0A}"/>
    <cellStyle name="40% - Accent4 2 3 4 2 2 3" xfId="25732" xr:uid="{8726DBBF-9832-40BC-B155-9088A38788A0}"/>
    <cellStyle name="40% - Accent4 2 3 4 2 2 4" xfId="34172" xr:uid="{4307CF78-F24F-46D6-AAF1-DBB46CE62595}"/>
    <cellStyle name="40% - Accent4 2 3 4 2 3" xfId="13074" xr:uid="{D41F5DAC-F33E-4AA0-B1B7-F9F5D990E0B7}"/>
    <cellStyle name="40% - Accent4 2 3 4 2 4" xfId="21515" xr:uid="{B1C89ACF-4E35-46B4-88A8-ACD21441D991}"/>
    <cellStyle name="40% - Accent4 2 3 4 2 5" xfId="29955" xr:uid="{100CB138-6B5D-45A3-B572-F21857DFE756}"/>
    <cellStyle name="40% - Accent4 2 3 4 3" xfId="5820" xr:uid="{00000000-0005-0000-0000-0000D7050000}"/>
    <cellStyle name="40% - Accent4 2 3 4 3 2" xfId="15146" xr:uid="{1722B675-0B24-4075-B799-080418100AC9}"/>
    <cellStyle name="40% - Accent4 2 3 4 3 3" xfId="23587" xr:uid="{C51C5402-09FA-469B-BDAF-E9FEF4F2667D}"/>
    <cellStyle name="40% - Accent4 2 3 4 3 4" xfId="32027" xr:uid="{FF483E9A-3667-439E-8321-46F4DBB8DC98}"/>
    <cellStyle name="40% - Accent4 2 3 4 4" xfId="10929" xr:uid="{FEBEAF43-7B13-47C1-8DF6-EBD0C181DB51}"/>
    <cellStyle name="40% - Accent4 2 3 4 5" xfId="19370" xr:uid="{A02906B9-5DE5-480E-8035-5395C1C11F2A}"/>
    <cellStyle name="40% - Accent4 2 3 4 6" xfId="27810" xr:uid="{2B2D89EF-AC2E-4A72-8D98-8B0103CD0072}"/>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AF7DD0A2-47BF-48D1-8475-3C0BA0010905}"/>
    <cellStyle name="40% - Accent4 2 3 5 2 2 3" xfId="26145" xr:uid="{70664C2A-AE63-4E4E-8C93-831D61102794}"/>
    <cellStyle name="40% - Accent4 2 3 5 2 2 4" xfId="34585" xr:uid="{012BBDC3-15DD-44BD-A3FB-75A0ED98B4E0}"/>
    <cellStyle name="40% - Accent4 2 3 5 2 3" xfId="13487" xr:uid="{EF54ABBA-DABF-44BA-8463-FF4D08CE9825}"/>
    <cellStyle name="40% - Accent4 2 3 5 2 4" xfId="21928" xr:uid="{5B2E7304-9FDA-45EB-A02A-878CEEAF3690}"/>
    <cellStyle name="40% - Accent4 2 3 5 2 5" xfId="30368" xr:uid="{876190DE-8222-4FAB-B4E7-7410A0AD4EDC}"/>
    <cellStyle name="40% - Accent4 2 3 5 3" xfId="6233" xr:uid="{00000000-0005-0000-0000-0000DB050000}"/>
    <cellStyle name="40% - Accent4 2 3 5 3 2" xfId="15559" xr:uid="{D4D6949D-726A-47DC-989E-C014390757F2}"/>
    <cellStyle name="40% - Accent4 2 3 5 3 3" xfId="24000" xr:uid="{CE415280-479C-41D0-A0D3-06F80D22418E}"/>
    <cellStyle name="40% - Accent4 2 3 5 3 4" xfId="32440" xr:uid="{59D7BDBF-9379-42B8-9565-8F01E7068F42}"/>
    <cellStyle name="40% - Accent4 2 3 5 4" xfId="11342" xr:uid="{1F9B1227-B173-4035-A885-15A7502E3476}"/>
    <cellStyle name="40% - Accent4 2 3 5 5" xfId="19783" xr:uid="{F4F3DBEB-FC41-46BB-AD5C-0990E80F9D27}"/>
    <cellStyle name="40% - Accent4 2 3 5 6" xfId="28223" xr:uid="{EED196D7-C2C4-45FC-B5C9-FB931C828401}"/>
    <cellStyle name="40% - Accent4 2 3 6" xfId="2340" xr:uid="{00000000-0005-0000-0000-0000DC050000}"/>
    <cellStyle name="40% - Accent4 2 3 6 2" xfId="6646" xr:uid="{00000000-0005-0000-0000-0000DD050000}"/>
    <cellStyle name="40% - Accent4 2 3 6 2 2" xfId="15972" xr:uid="{33131E89-1599-4F58-990C-19EB9DA02AB3}"/>
    <cellStyle name="40% - Accent4 2 3 6 2 3" xfId="24413" xr:uid="{2F70A9DF-2B29-4890-A078-AEDDE634600C}"/>
    <cellStyle name="40% - Accent4 2 3 6 2 4" xfId="32853" xr:uid="{C5AAD4E0-0138-446F-991F-4FA9C6C425A4}"/>
    <cellStyle name="40% - Accent4 2 3 6 3" xfId="11755" xr:uid="{60544ECA-BC6D-42BD-AFAD-7DD1B681A1A3}"/>
    <cellStyle name="40% - Accent4 2 3 6 4" xfId="20196" xr:uid="{8DE7D0C4-CFEA-4124-B0C6-C0E97A5DAB3F}"/>
    <cellStyle name="40% - Accent4 2 3 6 5" xfId="28636" xr:uid="{EC329B77-081F-4319-B47E-32DB1C62F831}"/>
    <cellStyle name="40% - Accent4 2 3 7" xfId="4580" xr:uid="{00000000-0005-0000-0000-0000DE050000}"/>
    <cellStyle name="40% - Accent4 2 3 7 2" xfId="13906" xr:uid="{2CB14BB3-177D-47C3-814D-A37D186B48E1}"/>
    <cellStyle name="40% - Accent4 2 3 7 3" xfId="22347" xr:uid="{723B55B5-48C9-4706-8DED-53CCBF86D68F}"/>
    <cellStyle name="40% - Accent4 2 3 7 4" xfId="30787" xr:uid="{DB5B56BE-5E5A-4FA0-8816-9E2FCFA9A9E6}"/>
    <cellStyle name="40% - Accent4 2 3 8" xfId="9008" xr:uid="{270F4CAB-C86F-4D9D-804F-69497913908B}"/>
    <cellStyle name="40% - Accent4 2 3 9" xfId="9689" xr:uid="{91D979AC-500F-4014-82BE-8A67F5BAE796}"/>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142F7ABB-A713-480A-870C-39EDB2F809EB}"/>
    <cellStyle name="40% - Accent4 2 4 2 2 3" xfId="24903" xr:uid="{2ABC03D3-207D-4C99-B077-59AE658FB651}"/>
    <cellStyle name="40% - Accent4 2 4 2 2 4" xfId="33343" xr:uid="{F8216BB6-09E9-450F-A6BF-2D7E17E0143A}"/>
    <cellStyle name="40% - Accent4 2 4 2 3" xfId="12245" xr:uid="{B32D8DC4-32A0-4A61-A5E3-E8B4DD37808F}"/>
    <cellStyle name="40% - Accent4 2 4 2 4" xfId="20686" xr:uid="{F04D1E96-CBC8-4BB2-A71A-ABEB407515CD}"/>
    <cellStyle name="40% - Accent4 2 4 2 5" xfId="29126" xr:uid="{3FCB630B-1FD1-4F6D-B714-0FC67E1D5A2B}"/>
    <cellStyle name="40% - Accent4 2 4 3" xfId="4991" xr:uid="{00000000-0005-0000-0000-0000E2050000}"/>
    <cellStyle name="40% - Accent4 2 4 3 2" xfId="14317" xr:uid="{2E138DCF-0000-4644-B92F-FEAD0FBE6242}"/>
    <cellStyle name="40% - Accent4 2 4 3 3" xfId="22758" xr:uid="{B054763B-03B3-4EE0-987A-42DD723CDD03}"/>
    <cellStyle name="40% - Accent4 2 4 3 4" xfId="31198" xr:uid="{A757D710-1BA6-4D27-898F-7466FE5BD515}"/>
    <cellStyle name="40% - Accent4 2 4 4" xfId="9225" xr:uid="{40EEB981-54C4-40E4-A2F9-BCD479248D23}"/>
    <cellStyle name="40% - Accent4 2 4 5" xfId="10100" xr:uid="{409BDE79-1959-4191-8575-3CFCE1C8DDD7}"/>
    <cellStyle name="40% - Accent4 2 4 6" xfId="18541" xr:uid="{778B18B1-6D9D-4E5F-B1C3-C187A1480AC6}"/>
    <cellStyle name="40% - Accent4 2 4 7" xfId="26981" xr:uid="{AE6AD0F2-D3B2-4CE9-A650-9F397AD9D2F5}"/>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7AD350CB-AC74-46B9-83B8-FCE3BA5B079C}"/>
    <cellStyle name="40% - Accent4 2 5 2 2 3" xfId="25316" xr:uid="{FEEA66BB-DCF9-4817-841E-41E11134DB10}"/>
    <cellStyle name="40% - Accent4 2 5 2 2 4" xfId="33756" xr:uid="{52D603A1-33FC-4B2D-BC70-960BF54491B1}"/>
    <cellStyle name="40% - Accent4 2 5 2 3" xfId="12658" xr:uid="{E9FF505A-93C4-424B-B413-5B646B83FFCD}"/>
    <cellStyle name="40% - Accent4 2 5 2 4" xfId="21099" xr:uid="{BEC2AFE0-6505-4C4B-BA90-08AFABCDE3C4}"/>
    <cellStyle name="40% - Accent4 2 5 2 5" xfId="29539" xr:uid="{4A38F1BD-906A-454E-921C-DA0BAA6B2573}"/>
    <cellStyle name="40% - Accent4 2 5 3" xfId="5404" xr:uid="{00000000-0005-0000-0000-0000E6050000}"/>
    <cellStyle name="40% - Accent4 2 5 3 2" xfId="14730" xr:uid="{B2BB86A8-8EA4-4D8E-9B72-89AF5D3D289C}"/>
    <cellStyle name="40% - Accent4 2 5 3 3" xfId="23171" xr:uid="{678C8F2F-D92B-41DC-8283-E434F10AAE15}"/>
    <cellStyle name="40% - Accent4 2 5 3 4" xfId="31611" xr:uid="{75C5DC4D-5D67-4D53-96CC-0B314CCE74A4}"/>
    <cellStyle name="40% - Accent4 2 5 4" xfId="10513" xr:uid="{6B12DDC4-473E-4063-BDAF-4AB47F04953E}"/>
    <cellStyle name="40% - Accent4 2 5 5" xfId="18954" xr:uid="{6C2B9480-02A8-4E3F-BA56-8C31EA568207}"/>
    <cellStyle name="40% - Accent4 2 5 6" xfId="27394" xr:uid="{83603634-23EF-4442-A136-3F4EB7650BB4}"/>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8267E2AB-C8BB-4A8A-92C1-4CEB8F6D6790}"/>
    <cellStyle name="40% - Accent4 2 6 2 2 3" xfId="25729" xr:uid="{87F29474-3901-4BCC-A971-9F4A6A8AAFB2}"/>
    <cellStyle name="40% - Accent4 2 6 2 2 4" xfId="34169" xr:uid="{9503B28F-4B0A-49A4-936B-1C3F6CE5D389}"/>
    <cellStyle name="40% - Accent4 2 6 2 3" xfId="13071" xr:uid="{D5DB865A-B4A1-414F-AC3F-F3F502B14713}"/>
    <cellStyle name="40% - Accent4 2 6 2 4" xfId="21512" xr:uid="{C8C8A535-1A11-432D-885C-8D540E495DC7}"/>
    <cellStyle name="40% - Accent4 2 6 2 5" xfId="29952" xr:uid="{44B0C1C8-4240-4CFF-921E-B438289142D9}"/>
    <cellStyle name="40% - Accent4 2 6 3" xfId="5817" xr:uid="{00000000-0005-0000-0000-0000EA050000}"/>
    <cellStyle name="40% - Accent4 2 6 3 2" xfId="15143" xr:uid="{6EC15FCD-3DBC-42BF-BEC0-D06B1B5EB034}"/>
    <cellStyle name="40% - Accent4 2 6 3 3" xfId="23584" xr:uid="{16E91EAD-8E8E-4EE8-9A1E-8C438ECF037B}"/>
    <cellStyle name="40% - Accent4 2 6 3 4" xfId="32024" xr:uid="{A4AAF5E1-0493-41FC-A50F-EEBF168B5137}"/>
    <cellStyle name="40% - Accent4 2 6 4" xfId="10926" xr:uid="{82689BE1-C860-4B86-A834-A004246EB8DF}"/>
    <cellStyle name="40% - Accent4 2 6 5" xfId="19367" xr:uid="{6CF7DD14-0289-4FD3-ADB9-806A2F4A63A7}"/>
    <cellStyle name="40% - Accent4 2 6 6" xfId="27807" xr:uid="{4E78B7D1-E0F7-4761-B90E-59F69202D766}"/>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A5E71243-8238-4678-90E8-689D93AD8369}"/>
    <cellStyle name="40% - Accent4 2 7 2 2 3" xfId="26142" xr:uid="{3069AF06-E8A7-44FC-B3C4-547C787970A2}"/>
    <cellStyle name="40% - Accent4 2 7 2 2 4" xfId="34582" xr:uid="{7C1AA820-A0C5-4C93-9C7C-B8940544F529}"/>
    <cellStyle name="40% - Accent4 2 7 2 3" xfId="13484" xr:uid="{CF5779D5-AC1C-4D9C-842A-480BC057B6AC}"/>
    <cellStyle name="40% - Accent4 2 7 2 4" xfId="21925" xr:uid="{D6ABAE8E-D0E9-42EF-9B66-1757F1E20A5E}"/>
    <cellStyle name="40% - Accent4 2 7 2 5" xfId="30365" xr:uid="{E4005841-204C-454E-9D1E-FAD411DDB19C}"/>
    <cellStyle name="40% - Accent4 2 7 3" xfId="6230" xr:uid="{00000000-0005-0000-0000-0000EE050000}"/>
    <cellStyle name="40% - Accent4 2 7 3 2" xfId="15556" xr:uid="{69400282-B033-4DFC-89E1-C247EA79B609}"/>
    <cellStyle name="40% - Accent4 2 7 3 3" xfId="23997" xr:uid="{07664A30-FC25-4C9D-A130-631E9B0A6D30}"/>
    <cellStyle name="40% - Accent4 2 7 3 4" xfId="32437" xr:uid="{D2734B65-F3CC-420C-A019-3DAE055FA018}"/>
    <cellStyle name="40% - Accent4 2 7 4" xfId="11339" xr:uid="{73EDD587-0FB9-47E0-8BB8-ECF4D62D8143}"/>
    <cellStyle name="40% - Accent4 2 7 5" xfId="19780" xr:uid="{B2FE82B6-96AF-45DF-A628-6CD07253668C}"/>
    <cellStyle name="40% - Accent4 2 7 6" xfId="28220" xr:uid="{DF83151C-0A0E-4B87-B299-EA0373ADDBFB}"/>
    <cellStyle name="40% - Accent4 2 8" xfId="2337" xr:uid="{00000000-0005-0000-0000-0000EF050000}"/>
    <cellStyle name="40% - Accent4 2 8 2" xfId="6643" xr:uid="{00000000-0005-0000-0000-0000F0050000}"/>
    <cellStyle name="40% - Accent4 2 8 2 2" xfId="15969" xr:uid="{A1581F8E-9F5A-413C-BE56-9122C3059DFD}"/>
    <cellStyle name="40% - Accent4 2 8 2 3" xfId="24410" xr:uid="{64198862-9E57-4AF0-B69D-95B84BC51AFD}"/>
    <cellStyle name="40% - Accent4 2 8 2 4" xfId="32850" xr:uid="{17585924-4D9F-437C-A8C7-7E14B5DD95F1}"/>
    <cellStyle name="40% - Accent4 2 8 3" xfId="11752" xr:uid="{8161F1FB-7826-4B3A-B95A-A49A9E317B28}"/>
    <cellStyle name="40% - Accent4 2 8 4" xfId="20193" xr:uid="{6C2438D7-F3C2-4104-AE84-4F1E29798402}"/>
    <cellStyle name="40% - Accent4 2 8 5" xfId="28633" xr:uid="{271338FD-4916-4FD2-99B7-6106871D9DD4}"/>
    <cellStyle name="40% - Accent4 2 9" xfId="4577" xr:uid="{00000000-0005-0000-0000-0000F1050000}"/>
    <cellStyle name="40% - Accent4 2 9 2" xfId="13903" xr:uid="{81C8FFD9-C17D-443D-BB1A-BCFAB28CFF2F}"/>
    <cellStyle name="40% - Accent4 2 9 3" xfId="22344" xr:uid="{F18A45B5-C93A-4396-8569-5DB0B994DE68}"/>
    <cellStyle name="40% - Accent4 2 9 4" xfId="30784" xr:uid="{81AE1102-0D0C-40AA-8E94-5644C3BF69E3}"/>
    <cellStyle name="40% - Accent4 3" xfId="78" xr:uid="{00000000-0005-0000-0000-0000F2050000}"/>
    <cellStyle name="40% - Accent4 3 10" xfId="9690" xr:uid="{A6D2B258-E0E5-4334-BB70-460F7F81F497}"/>
    <cellStyle name="40% - Accent4 3 11" xfId="18131" xr:uid="{D8D207BE-7306-41A8-9580-25042959B8E3}"/>
    <cellStyle name="40% - Accent4 3 12" xfId="26571" xr:uid="{FD541701-B114-462C-88D5-BC6C55B3BF64}"/>
    <cellStyle name="40% - Accent4 3 2" xfId="79" xr:uid="{00000000-0005-0000-0000-0000F3050000}"/>
    <cellStyle name="40% - Accent4 3 2 10" xfId="18132" xr:uid="{A291F565-8206-4994-B7B5-8DF95ED9BDE3}"/>
    <cellStyle name="40% - Accent4 3 2 11" xfId="26572" xr:uid="{63FF77A7-E2DB-46C4-A9AD-D76DBF8C50DA}"/>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DC445DE9-E6BE-4D78-B543-5419357EC496}"/>
    <cellStyle name="40% - Accent4 3 2 2 2 2 3" xfId="24908" xr:uid="{CC1E147E-41F5-47CD-BDAF-F7850382E7CB}"/>
    <cellStyle name="40% - Accent4 3 2 2 2 2 4" xfId="33348" xr:uid="{B22D8AF9-6DEF-4662-9D56-0E78252D186C}"/>
    <cellStyle name="40% - Accent4 3 2 2 2 3" xfId="12250" xr:uid="{024F3B80-A659-4669-96DB-574B8DAD1D6C}"/>
    <cellStyle name="40% - Accent4 3 2 2 2 4" xfId="20691" xr:uid="{1024B060-8630-42C0-A579-AB18CD97F864}"/>
    <cellStyle name="40% - Accent4 3 2 2 2 5" xfId="29131" xr:uid="{CAEBC0E6-757A-45F4-A5DD-5B2E735F84C5}"/>
    <cellStyle name="40% - Accent4 3 2 2 3" xfId="4996" xr:uid="{00000000-0005-0000-0000-0000F7050000}"/>
    <cellStyle name="40% - Accent4 3 2 2 3 2" xfId="14322" xr:uid="{103B5BCF-C4BB-4176-829F-8813480B4481}"/>
    <cellStyle name="40% - Accent4 3 2 2 3 3" xfId="22763" xr:uid="{A4A26BE1-92E5-47E7-98D4-F91ABAAC16E3}"/>
    <cellStyle name="40% - Accent4 3 2 2 3 4" xfId="31203" xr:uid="{5F6A02DF-F4CE-4B19-A0DF-40436A1AC824}"/>
    <cellStyle name="40% - Accent4 3 2 2 4" xfId="9500" xr:uid="{EAAAC99F-A3A1-40FB-B78D-6862EF121B7A}"/>
    <cellStyle name="40% - Accent4 3 2 2 5" xfId="10105" xr:uid="{D53DFF65-65D0-40E5-832E-83F6687CF9BA}"/>
    <cellStyle name="40% - Accent4 3 2 2 6" xfId="18546" xr:uid="{D6185C58-D9AE-40F3-A4F8-870953C8E750}"/>
    <cellStyle name="40% - Accent4 3 2 2 7" xfId="26986" xr:uid="{855456BE-1BD8-4C1B-BD55-81E1C476A15C}"/>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F0C6E0B7-E2AA-4C2D-8F37-F1F52DB2CE37}"/>
    <cellStyle name="40% - Accent4 3 2 3 2 2 3" xfId="25321" xr:uid="{E01E7370-69CA-45D4-BD0B-32AB850058B3}"/>
    <cellStyle name="40% - Accent4 3 2 3 2 2 4" xfId="33761" xr:uid="{EBC2D002-2600-4158-ABB2-CC7392A25C52}"/>
    <cellStyle name="40% - Accent4 3 2 3 2 3" xfId="12663" xr:uid="{E12C87FB-19AB-4689-916D-BD9255D3CC55}"/>
    <cellStyle name="40% - Accent4 3 2 3 2 4" xfId="21104" xr:uid="{0BBBD041-70B0-421B-8CD8-8A5850547AEF}"/>
    <cellStyle name="40% - Accent4 3 2 3 2 5" xfId="29544" xr:uid="{7FA98A4D-DD51-42EC-949F-5D79659F2675}"/>
    <cellStyle name="40% - Accent4 3 2 3 3" xfId="5409" xr:uid="{00000000-0005-0000-0000-0000FB050000}"/>
    <cellStyle name="40% - Accent4 3 2 3 3 2" xfId="14735" xr:uid="{F62AED2A-BAE1-49EE-8FB0-6479722E76B7}"/>
    <cellStyle name="40% - Accent4 3 2 3 3 3" xfId="23176" xr:uid="{5AAC7026-485B-4EB2-B77B-62DF6794EC63}"/>
    <cellStyle name="40% - Accent4 3 2 3 3 4" xfId="31616" xr:uid="{88A467E7-1E4E-4655-95DF-137D470687FA}"/>
    <cellStyle name="40% - Accent4 3 2 3 4" xfId="10518" xr:uid="{8F869A82-42D8-4923-9EE5-FA7A2D5094AC}"/>
    <cellStyle name="40% - Accent4 3 2 3 5" xfId="18959" xr:uid="{FC2F35F6-B1EC-48CA-B2EF-DE742C1142A6}"/>
    <cellStyle name="40% - Accent4 3 2 3 6" xfId="27399" xr:uid="{DF04B6DE-FA35-4367-8613-58BA8D59CF86}"/>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78BFB817-9CFC-49BD-BE9A-F0369D9071F3}"/>
    <cellStyle name="40% - Accent4 3 2 4 2 2 3" xfId="25734" xr:uid="{4D05E137-2D07-4D71-9792-91071E412A6D}"/>
    <cellStyle name="40% - Accent4 3 2 4 2 2 4" xfId="34174" xr:uid="{C40FA9D7-E35A-484B-9766-235D9720D34D}"/>
    <cellStyle name="40% - Accent4 3 2 4 2 3" xfId="13076" xr:uid="{D7AFB79D-0D59-488C-AAC6-1D9AA8185193}"/>
    <cellStyle name="40% - Accent4 3 2 4 2 4" xfId="21517" xr:uid="{2AA9A7C0-16EF-4665-B0CD-3631C459A300}"/>
    <cellStyle name="40% - Accent4 3 2 4 2 5" xfId="29957" xr:uid="{CB3D0AB0-D239-43D6-B64B-F482C5CB6A0C}"/>
    <cellStyle name="40% - Accent4 3 2 4 3" xfId="5822" xr:uid="{00000000-0005-0000-0000-0000FF050000}"/>
    <cellStyle name="40% - Accent4 3 2 4 3 2" xfId="15148" xr:uid="{D181A5EB-CB46-4602-9336-C14F99010827}"/>
    <cellStyle name="40% - Accent4 3 2 4 3 3" xfId="23589" xr:uid="{FA931795-B37D-4091-B3A4-BD92502E7089}"/>
    <cellStyle name="40% - Accent4 3 2 4 3 4" xfId="32029" xr:uid="{BCEDAAC0-55F1-4CD8-A9EA-42E7EF3BAA48}"/>
    <cellStyle name="40% - Accent4 3 2 4 4" xfId="10931" xr:uid="{88B241DA-CA87-46A1-BE87-4EFE0D937DC2}"/>
    <cellStyle name="40% - Accent4 3 2 4 5" xfId="19372" xr:uid="{6FF1E25D-D426-48AB-A877-981EA36D9498}"/>
    <cellStyle name="40% - Accent4 3 2 4 6" xfId="27812" xr:uid="{93822349-A798-40C4-A681-B9284FBCD729}"/>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0BBBBCE7-5FE6-4167-91B7-29455A0BFE3E}"/>
    <cellStyle name="40% - Accent4 3 2 5 2 2 3" xfId="26147" xr:uid="{84EEC286-2657-488A-ADB7-C4AABD33D371}"/>
    <cellStyle name="40% - Accent4 3 2 5 2 2 4" xfId="34587" xr:uid="{9DF36469-9C1E-4F1D-94DC-725892771381}"/>
    <cellStyle name="40% - Accent4 3 2 5 2 3" xfId="13489" xr:uid="{3971297C-6C0B-475C-9DBA-E87A2B39E938}"/>
    <cellStyle name="40% - Accent4 3 2 5 2 4" xfId="21930" xr:uid="{87D433D6-702B-4CE1-8962-890555E87ED6}"/>
    <cellStyle name="40% - Accent4 3 2 5 2 5" xfId="30370" xr:uid="{B1BE2397-F662-4393-ABD5-48D5C83D4B8E}"/>
    <cellStyle name="40% - Accent4 3 2 5 3" xfId="6235" xr:uid="{00000000-0005-0000-0000-000003060000}"/>
    <cellStyle name="40% - Accent4 3 2 5 3 2" xfId="15561" xr:uid="{3D2744BD-78A2-4EFA-988B-5601FD716F8D}"/>
    <cellStyle name="40% - Accent4 3 2 5 3 3" xfId="24002" xr:uid="{F2C66822-0161-4663-8EDF-076B041BB6C3}"/>
    <cellStyle name="40% - Accent4 3 2 5 3 4" xfId="32442" xr:uid="{C907AB3A-E414-4BC3-A5E1-C485480B3653}"/>
    <cellStyle name="40% - Accent4 3 2 5 4" xfId="11344" xr:uid="{5544E2ED-04A4-4209-932C-B305A591927A}"/>
    <cellStyle name="40% - Accent4 3 2 5 5" xfId="19785" xr:uid="{13505D3D-3443-48DC-9998-2BB77CDA8A0A}"/>
    <cellStyle name="40% - Accent4 3 2 5 6" xfId="28225" xr:uid="{77017AB8-9F9E-4EC0-8130-4452F6C062AD}"/>
    <cellStyle name="40% - Accent4 3 2 6" xfId="2342" xr:uid="{00000000-0005-0000-0000-000004060000}"/>
    <cellStyle name="40% - Accent4 3 2 6 2" xfId="6648" xr:uid="{00000000-0005-0000-0000-000005060000}"/>
    <cellStyle name="40% - Accent4 3 2 6 2 2" xfId="15974" xr:uid="{2B81B77A-79CE-4B6C-9D10-8A4AAF69F224}"/>
    <cellStyle name="40% - Accent4 3 2 6 2 3" xfId="24415" xr:uid="{F120415B-6347-4B93-B4FD-66471ABFAFE5}"/>
    <cellStyle name="40% - Accent4 3 2 6 2 4" xfId="32855" xr:uid="{A8BC3A2E-B71B-4677-AD65-EFA0CD83851F}"/>
    <cellStyle name="40% - Accent4 3 2 6 3" xfId="11757" xr:uid="{7E20AB09-694A-46A5-9FFF-B7685850061D}"/>
    <cellStyle name="40% - Accent4 3 2 6 4" xfId="20198" xr:uid="{A472D190-2148-4153-BDDC-2A544FADF5D4}"/>
    <cellStyle name="40% - Accent4 3 2 6 5" xfId="28638" xr:uid="{EA3B36BF-52FE-4E21-832C-BD89E2B03391}"/>
    <cellStyle name="40% - Accent4 3 2 7" xfId="4582" xr:uid="{00000000-0005-0000-0000-000006060000}"/>
    <cellStyle name="40% - Accent4 3 2 7 2" xfId="13908" xr:uid="{D244D24F-0F1F-4FC6-92C4-645E3220C6E4}"/>
    <cellStyle name="40% - Accent4 3 2 7 3" xfId="22349" xr:uid="{2C1BF4ED-D72A-4ED4-99B9-D10F7FAA6128}"/>
    <cellStyle name="40% - Accent4 3 2 7 4" xfId="30789" xr:uid="{80FF57B6-716B-4AAA-9F41-DEDB81ABC2BB}"/>
    <cellStyle name="40% - Accent4 3 2 8" xfId="9075" xr:uid="{6C51FF47-5618-4E1E-BC97-01FFF287A6C3}"/>
    <cellStyle name="40% - Accent4 3 2 9" xfId="9691" xr:uid="{A3168997-D7D9-4E1F-868B-59C9303F174B}"/>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F82299D2-B2C5-42C9-8753-4D398EEAC5B5}"/>
    <cellStyle name="40% - Accent4 3 3 2 2 3" xfId="24907" xr:uid="{4A35BF0F-4EC7-4417-BFB8-A6F9455BA35B}"/>
    <cellStyle name="40% - Accent4 3 3 2 2 4" xfId="33347" xr:uid="{004FB2F8-7031-4025-88AC-F669BED7EF1E}"/>
    <cellStyle name="40% - Accent4 3 3 2 3" xfId="12249" xr:uid="{A1A89488-A7D6-4DEE-891A-629E9182FC8E}"/>
    <cellStyle name="40% - Accent4 3 3 2 4" xfId="20690" xr:uid="{69CF6771-F785-4C30-BB77-CC57EB4560E1}"/>
    <cellStyle name="40% - Accent4 3 3 2 5" xfId="29130" xr:uid="{0869F166-F264-4939-875E-E957DC071B3B}"/>
    <cellStyle name="40% - Accent4 3 3 3" xfId="4995" xr:uid="{00000000-0005-0000-0000-00000A060000}"/>
    <cellStyle name="40% - Accent4 3 3 3 2" xfId="14321" xr:uid="{BA637C85-7B47-40A4-8EBB-99166A2933E6}"/>
    <cellStyle name="40% - Accent4 3 3 3 3" xfId="22762" xr:uid="{C8F623FC-9DD2-4478-95D6-40FA8E2382B6}"/>
    <cellStyle name="40% - Accent4 3 3 3 4" xfId="31202" xr:uid="{936E1AE9-C15A-4C37-A18E-C95452D64C94}"/>
    <cellStyle name="40% - Accent4 3 3 4" xfId="9293" xr:uid="{4A28D7F5-3617-45DC-A350-6C6596CDA765}"/>
    <cellStyle name="40% - Accent4 3 3 5" xfId="10104" xr:uid="{DB9C8672-93C0-492B-8F0D-FB57F297E031}"/>
    <cellStyle name="40% - Accent4 3 3 6" xfId="18545" xr:uid="{180616F5-C0B0-40AA-937B-7E178DF0E168}"/>
    <cellStyle name="40% - Accent4 3 3 7" xfId="26985" xr:uid="{AE2D4D31-03E4-480E-9961-8C0D014B3455}"/>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A82A20A5-2496-45FC-8083-E4271EAAF9E6}"/>
    <cellStyle name="40% - Accent4 3 4 2 2 3" xfId="25320" xr:uid="{E85C419B-E351-4C82-AD11-6BB5EB6AF6B9}"/>
    <cellStyle name="40% - Accent4 3 4 2 2 4" xfId="33760" xr:uid="{6877F889-67C8-4966-AD0D-01E0F6380660}"/>
    <cellStyle name="40% - Accent4 3 4 2 3" xfId="12662" xr:uid="{73224D09-701B-4BF5-ADE2-1ECC63FC4287}"/>
    <cellStyle name="40% - Accent4 3 4 2 4" xfId="21103" xr:uid="{60615CD1-3BD0-41F4-8EE8-836E2B5BA226}"/>
    <cellStyle name="40% - Accent4 3 4 2 5" xfId="29543" xr:uid="{CE1709FC-9642-4E71-B223-97588A6901AD}"/>
    <cellStyle name="40% - Accent4 3 4 3" xfId="5408" xr:uid="{00000000-0005-0000-0000-00000E060000}"/>
    <cellStyle name="40% - Accent4 3 4 3 2" xfId="14734" xr:uid="{1017F5C4-CB02-4D8F-9B21-9CB9684F80B4}"/>
    <cellStyle name="40% - Accent4 3 4 3 3" xfId="23175" xr:uid="{16D7FBCF-1C51-445B-904F-E4F1EF11F0DD}"/>
    <cellStyle name="40% - Accent4 3 4 3 4" xfId="31615" xr:uid="{579C4F71-472B-4C75-B6D2-27E78DA586CB}"/>
    <cellStyle name="40% - Accent4 3 4 4" xfId="10517" xr:uid="{ABB68215-5BB4-45CE-A61F-AD66AC33B7FA}"/>
    <cellStyle name="40% - Accent4 3 4 5" xfId="18958" xr:uid="{4870F92D-B60F-4179-ACA5-DF10B7F2A59D}"/>
    <cellStyle name="40% - Accent4 3 4 6" xfId="27398" xr:uid="{70358E79-2845-4A11-8A68-2CDEA75C6000}"/>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761213F2-C517-423D-9461-B853211CD789}"/>
    <cellStyle name="40% - Accent4 3 5 2 2 3" xfId="25733" xr:uid="{3CFD878E-FD69-461C-AF63-996EBBFBCE04}"/>
    <cellStyle name="40% - Accent4 3 5 2 2 4" xfId="34173" xr:uid="{128760B9-1817-4E80-BDF8-7E00FE69696D}"/>
    <cellStyle name="40% - Accent4 3 5 2 3" xfId="13075" xr:uid="{0571062E-9C63-4F63-8DD2-0165A49A48F7}"/>
    <cellStyle name="40% - Accent4 3 5 2 4" xfId="21516" xr:uid="{2A88DE95-E635-4792-9A0F-235CC4C5403C}"/>
    <cellStyle name="40% - Accent4 3 5 2 5" xfId="29956" xr:uid="{F1D00CFC-B7BA-46D9-8819-17957206D30D}"/>
    <cellStyle name="40% - Accent4 3 5 3" xfId="5821" xr:uid="{00000000-0005-0000-0000-000012060000}"/>
    <cellStyle name="40% - Accent4 3 5 3 2" xfId="15147" xr:uid="{85F25E6B-2CE9-49D2-B5B4-176F5CC5285C}"/>
    <cellStyle name="40% - Accent4 3 5 3 3" xfId="23588" xr:uid="{8377C856-395B-4FB4-9ED5-983A96B9854D}"/>
    <cellStyle name="40% - Accent4 3 5 3 4" xfId="32028" xr:uid="{528C5EB9-F893-4735-A252-F47F4648BCD6}"/>
    <cellStyle name="40% - Accent4 3 5 4" xfId="10930" xr:uid="{9345D372-7D1F-4190-8D98-45CB9A8B9406}"/>
    <cellStyle name="40% - Accent4 3 5 5" xfId="19371" xr:uid="{DFAD3370-DF7C-4901-856A-CB73FDC8B983}"/>
    <cellStyle name="40% - Accent4 3 5 6" xfId="27811" xr:uid="{7283F0DE-E96F-4E34-958C-34A95F195A18}"/>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5451C932-8654-4B1A-8660-8D51DBD32BFA}"/>
    <cellStyle name="40% - Accent4 3 6 2 2 3" xfId="26146" xr:uid="{55D98A83-E09C-491D-837C-381825724531}"/>
    <cellStyle name="40% - Accent4 3 6 2 2 4" xfId="34586" xr:uid="{ADF1726E-54E7-4FA3-B892-5B483C95D46B}"/>
    <cellStyle name="40% - Accent4 3 6 2 3" xfId="13488" xr:uid="{F6DE85B0-1ACE-4FC4-831A-A89586CB8998}"/>
    <cellStyle name="40% - Accent4 3 6 2 4" xfId="21929" xr:uid="{8D837F1D-7649-48BB-A3A9-F1C49277FCD1}"/>
    <cellStyle name="40% - Accent4 3 6 2 5" xfId="30369" xr:uid="{C8E46400-F4C4-4EC6-B492-9D7E60CFED01}"/>
    <cellStyle name="40% - Accent4 3 6 3" xfId="6234" xr:uid="{00000000-0005-0000-0000-000016060000}"/>
    <cellStyle name="40% - Accent4 3 6 3 2" xfId="15560" xr:uid="{4817C1CB-258F-42F9-884B-8124633CF15F}"/>
    <cellStyle name="40% - Accent4 3 6 3 3" xfId="24001" xr:uid="{CD260AA2-7CE3-48A2-88ED-33B7664C2CE7}"/>
    <cellStyle name="40% - Accent4 3 6 3 4" xfId="32441" xr:uid="{F9853C57-247C-4F85-B9D8-936D3F0B8576}"/>
    <cellStyle name="40% - Accent4 3 6 4" xfId="11343" xr:uid="{E63C314B-5422-4EE6-B6DE-27DB46FC8E2C}"/>
    <cellStyle name="40% - Accent4 3 6 5" xfId="19784" xr:uid="{11152767-C07F-41DD-BF3A-B730DBCE9C91}"/>
    <cellStyle name="40% - Accent4 3 6 6" xfId="28224" xr:uid="{C0064411-EF2C-40F4-B719-B46813969CD5}"/>
    <cellStyle name="40% - Accent4 3 7" xfId="2341" xr:uid="{00000000-0005-0000-0000-000017060000}"/>
    <cellStyle name="40% - Accent4 3 7 2" xfId="6647" xr:uid="{00000000-0005-0000-0000-000018060000}"/>
    <cellStyle name="40% - Accent4 3 7 2 2" xfId="15973" xr:uid="{683D3A65-70CF-4432-8154-AFC80BAE816C}"/>
    <cellStyle name="40% - Accent4 3 7 2 3" xfId="24414" xr:uid="{E3E36B85-22E9-4EB1-9E6D-AF3416E4828B}"/>
    <cellStyle name="40% - Accent4 3 7 2 4" xfId="32854" xr:uid="{11262791-9D0F-420C-8FED-7D8EE0AC59BD}"/>
    <cellStyle name="40% - Accent4 3 7 3" xfId="11756" xr:uid="{CBE6F467-91C4-4A35-BD06-03579CA23FC0}"/>
    <cellStyle name="40% - Accent4 3 7 4" xfId="20197" xr:uid="{2CA96F1D-6491-45B8-912D-10B32758441C}"/>
    <cellStyle name="40% - Accent4 3 7 5" xfId="28637" xr:uid="{FF9EE7B8-238D-478D-BA31-5F79564E7824}"/>
    <cellStyle name="40% - Accent4 3 8" xfId="4581" xr:uid="{00000000-0005-0000-0000-000019060000}"/>
    <cellStyle name="40% - Accent4 3 8 2" xfId="13907" xr:uid="{EAD3936A-9FA2-42F4-B70F-160B988CF1F7}"/>
    <cellStyle name="40% - Accent4 3 8 3" xfId="22348" xr:uid="{96A1C8FB-A364-47F0-9036-E115CD8A92AF}"/>
    <cellStyle name="40% - Accent4 3 8 4" xfId="30788" xr:uid="{424C8DA6-43F0-4E27-BBDD-F00C91EB93C1}"/>
    <cellStyle name="40% - Accent4 3 9" xfId="8868" xr:uid="{538D9F50-ACCA-4DB0-A3F1-A129ACFFA0BF}"/>
    <cellStyle name="40% - Accent4 4" xfId="80" xr:uid="{00000000-0005-0000-0000-00001A060000}"/>
    <cellStyle name="40% - Accent4 4 10" xfId="18133" xr:uid="{1C172AD0-DEC5-44B3-AAFC-F51F7ADD4EDF}"/>
    <cellStyle name="40% - Accent4 4 11" xfId="26573" xr:uid="{32FADD77-D293-4B80-AA2E-6A77F7A669FA}"/>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0F1065C4-E1A2-40B2-B41B-F5F8464B5EE9}"/>
    <cellStyle name="40% - Accent4 4 2 2 2 3" xfId="24909" xr:uid="{5E12A3FD-6F02-4E3C-9956-92F4A224BD49}"/>
    <cellStyle name="40% - Accent4 4 2 2 2 4" xfId="33349" xr:uid="{52591664-9E29-4992-8CD1-CBEED2C3B4A4}"/>
    <cellStyle name="40% - Accent4 4 2 2 3" xfId="12251" xr:uid="{AA9DEF69-FEF8-4373-90C5-07D801CD34CF}"/>
    <cellStyle name="40% - Accent4 4 2 2 4" xfId="20692" xr:uid="{1C5C7F6A-A419-4B32-BDEE-F38DCDD147BA}"/>
    <cellStyle name="40% - Accent4 4 2 2 5" xfId="29132" xr:uid="{B6972FCC-C53A-467C-89C0-AADE2F5DA6C2}"/>
    <cellStyle name="40% - Accent4 4 2 3" xfId="4997" xr:uid="{00000000-0005-0000-0000-00001E060000}"/>
    <cellStyle name="40% - Accent4 4 2 3 2" xfId="14323" xr:uid="{6F49D0EA-02FB-4A12-9BFF-CF26BB3EF1F2}"/>
    <cellStyle name="40% - Accent4 4 2 3 3" xfId="22764" xr:uid="{B266F781-9C65-40D5-B62A-9FB390576FCF}"/>
    <cellStyle name="40% - Accent4 4 2 3 4" xfId="31204" xr:uid="{14AF0AC5-EE48-4094-9BB5-93E8D0AC29A8}"/>
    <cellStyle name="40% - Accent4 4 2 4" xfId="9379" xr:uid="{EE31EAE0-1741-4D6E-B7B4-C5DB59044F55}"/>
    <cellStyle name="40% - Accent4 4 2 5" xfId="10106" xr:uid="{2F4512E6-39BC-4D9D-8854-288CC1057FDF}"/>
    <cellStyle name="40% - Accent4 4 2 6" xfId="18547" xr:uid="{9FBCDF41-F94B-4E13-B979-F885CCEDCCBA}"/>
    <cellStyle name="40% - Accent4 4 2 7" xfId="26987" xr:uid="{4ABD40F2-1BA4-4272-940B-1760B8B892C6}"/>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CCCFF79C-2E7C-472D-9D20-E2BDD5F92D9A}"/>
    <cellStyle name="40% - Accent4 4 3 2 2 3" xfId="25322" xr:uid="{243A8AAE-DE35-40FC-B0D1-CD962554EE97}"/>
    <cellStyle name="40% - Accent4 4 3 2 2 4" xfId="33762" xr:uid="{91A05104-736F-42FC-A783-7ACE70495E8E}"/>
    <cellStyle name="40% - Accent4 4 3 2 3" xfId="12664" xr:uid="{A5C7A5DC-C03E-4F62-AA91-2E340AD0051E}"/>
    <cellStyle name="40% - Accent4 4 3 2 4" xfId="21105" xr:uid="{27749377-0DAD-475C-BC9F-B27C1F5CEF97}"/>
    <cellStyle name="40% - Accent4 4 3 2 5" xfId="29545" xr:uid="{83D34ADA-192A-48F3-8509-C4F4BCBF51B2}"/>
    <cellStyle name="40% - Accent4 4 3 3" xfId="5410" xr:uid="{00000000-0005-0000-0000-000022060000}"/>
    <cellStyle name="40% - Accent4 4 3 3 2" xfId="14736" xr:uid="{33D2E6C0-C7EF-4A2F-A63F-CD35593B958C}"/>
    <cellStyle name="40% - Accent4 4 3 3 3" xfId="23177" xr:uid="{576FA2EE-71D0-4988-8DC6-3298B82EFD66}"/>
    <cellStyle name="40% - Accent4 4 3 3 4" xfId="31617" xr:uid="{D25F20AE-705F-4915-ADCB-23BA055662B7}"/>
    <cellStyle name="40% - Accent4 4 3 4" xfId="10519" xr:uid="{20E407F5-2FDE-4829-A29C-781740BDE1A9}"/>
    <cellStyle name="40% - Accent4 4 3 5" xfId="18960" xr:uid="{1E2FE1E1-2AB6-42D1-B717-C78B58853563}"/>
    <cellStyle name="40% - Accent4 4 3 6" xfId="27400" xr:uid="{773C4D47-BBCF-41AC-B711-68560147DEB3}"/>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D64469CB-61D3-4D7F-AB89-3FA4277F36BD}"/>
    <cellStyle name="40% - Accent4 4 4 2 2 3" xfId="25735" xr:uid="{BFDE5837-33C9-4BF1-AF77-F54057F891B0}"/>
    <cellStyle name="40% - Accent4 4 4 2 2 4" xfId="34175" xr:uid="{D07D1FBA-3CFC-44A3-9DDD-E3C626463046}"/>
    <cellStyle name="40% - Accent4 4 4 2 3" xfId="13077" xr:uid="{521A8805-5F23-43A6-833F-E6D5B1733DC1}"/>
    <cellStyle name="40% - Accent4 4 4 2 4" xfId="21518" xr:uid="{5F77E90A-CB00-4538-9460-6407523E875F}"/>
    <cellStyle name="40% - Accent4 4 4 2 5" xfId="29958" xr:uid="{877340F4-FBF5-4E52-8CA0-C244E7FBB95C}"/>
    <cellStyle name="40% - Accent4 4 4 3" xfId="5823" xr:uid="{00000000-0005-0000-0000-000026060000}"/>
    <cellStyle name="40% - Accent4 4 4 3 2" xfId="15149" xr:uid="{BE7FFDB8-A783-4AC0-914E-19023640ACBA}"/>
    <cellStyle name="40% - Accent4 4 4 3 3" xfId="23590" xr:uid="{75D47959-F8FE-41E9-8FAC-919E55774E94}"/>
    <cellStyle name="40% - Accent4 4 4 3 4" xfId="32030" xr:uid="{7D11EEB7-C259-44A5-AF7B-EE1AAFA2B13C}"/>
    <cellStyle name="40% - Accent4 4 4 4" xfId="10932" xr:uid="{9581A9E8-DA42-427F-9447-EE10932064A6}"/>
    <cellStyle name="40% - Accent4 4 4 5" xfId="19373" xr:uid="{46C6E599-5344-494B-A68C-C9661FFF773C}"/>
    <cellStyle name="40% - Accent4 4 4 6" xfId="27813" xr:uid="{02FF238B-E74A-421A-A13B-1DA4BBD44580}"/>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EB8B071B-262B-45C9-8FFB-FD24B6E34512}"/>
    <cellStyle name="40% - Accent4 4 5 2 2 3" xfId="26148" xr:uid="{C0C067DF-4B09-41CE-B1AA-9B91CCCD01C0}"/>
    <cellStyle name="40% - Accent4 4 5 2 2 4" xfId="34588" xr:uid="{B4E9E63F-CA8E-4AB3-84ED-910AF5C5B65E}"/>
    <cellStyle name="40% - Accent4 4 5 2 3" xfId="13490" xr:uid="{644EF20C-0EC2-407A-8683-2F99737F68BC}"/>
    <cellStyle name="40% - Accent4 4 5 2 4" xfId="21931" xr:uid="{B6B48AD6-D23B-44E0-A2AD-C81C0F553608}"/>
    <cellStyle name="40% - Accent4 4 5 2 5" xfId="30371" xr:uid="{9D0A4B7D-AB71-449C-B302-3B0E3B3624BA}"/>
    <cellStyle name="40% - Accent4 4 5 3" xfId="6236" xr:uid="{00000000-0005-0000-0000-00002A060000}"/>
    <cellStyle name="40% - Accent4 4 5 3 2" xfId="15562" xr:uid="{A0A7C52C-ED3F-4757-97C5-AB1D1124A181}"/>
    <cellStyle name="40% - Accent4 4 5 3 3" xfId="24003" xr:uid="{A6529D3A-5D12-4FEE-B9BD-26D38621335C}"/>
    <cellStyle name="40% - Accent4 4 5 3 4" xfId="32443" xr:uid="{B65513B6-E538-47E2-B858-BA31BC7E210D}"/>
    <cellStyle name="40% - Accent4 4 5 4" xfId="11345" xr:uid="{480DB63E-D153-4CEB-A994-21FEEE0D81F7}"/>
    <cellStyle name="40% - Accent4 4 5 5" xfId="19786" xr:uid="{4F387339-DCAC-4F71-9029-D7D0E2508AF0}"/>
    <cellStyle name="40% - Accent4 4 5 6" xfId="28226" xr:uid="{E7CB21B7-96E8-4B71-A024-132AB02E69E3}"/>
    <cellStyle name="40% - Accent4 4 6" xfId="2343" xr:uid="{00000000-0005-0000-0000-00002B060000}"/>
    <cellStyle name="40% - Accent4 4 6 2" xfId="6649" xr:uid="{00000000-0005-0000-0000-00002C060000}"/>
    <cellStyle name="40% - Accent4 4 6 2 2" xfId="15975" xr:uid="{B4B55554-78B3-4647-B9C2-0A6BD93E6D47}"/>
    <cellStyle name="40% - Accent4 4 6 2 3" xfId="24416" xr:uid="{75906125-1351-41F1-964E-EED5BD7ADF1F}"/>
    <cellStyle name="40% - Accent4 4 6 2 4" xfId="32856" xr:uid="{47A01355-6ECA-4888-9D1D-2CBC2FA2904F}"/>
    <cellStyle name="40% - Accent4 4 6 3" xfId="11758" xr:uid="{717A3A81-0298-4887-AC18-2F55EA6C11CE}"/>
    <cellStyle name="40% - Accent4 4 6 4" xfId="20199" xr:uid="{19283F80-EDBA-4153-BBDE-33FF62881134}"/>
    <cellStyle name="40% - Accent4 4 6 5" xfId="28639" xr:uid="{019F1504-9376-43B0-AE72-C96D31DB77D9}"/>
    <cellStyle name="40% - Accent4 4 7" xfId="4583" xr:uid="{00000000-0005-0000-0000-00002D060000}"/>
    <cellStyle name="40% - Accent4 4 7 2" xfId="13909" xr:uid="{12FBD6AA-C260-4A85-9707-DC16797AAF14}"/>
    <cellStyle name="40% - Accent4 4 7 3" xfId="22350" xr:uid="{7E289181-8BBE-4302-94D5-A11F7EA9BC66}"/>
    <cellStyle name="40% - Accent4 4 7 4" xfId="30790" xr:uid="{3819EC08-CA04-4A10-9245-582C89EED45A}"/>
    <cellStyle name="40% - Accent4 4 8" xfId="8954" xr:uid="{2C178683-58B3-4513-85E7-15FAC3AC035D}"/>
    <cellStyle name="40% - Accent4 4 9" xfId="9692" xr:uid="{0DC5BEF0-1C93-4E21-84B6-F8577164CB63}"/>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7C7F5365-BDEB-4E89-8E6B-65BAD0D273A9}"/>
    <cellStyle name="40% - Accent4 5 2 2 3" xfId="24902" xr:uid="{896980E6-F5BE-4E9A-8B54-8FE3D3A7BAE0}"/>
    <cellStyle name="40% - Accent4 5 2 2 4" xfId="33342" xr:uid="{AA4189F0-D71D-4741-8687-9CE62CC36542}"/>
    <cellStyle name="40% - Accent4 5 2 3" xfId="12244" xr:uid="{DF74B046-AAA3-4B0C-9E42-D4F763A9AA11}"/>
    <cellStyle name="40% - Accent4 5 2 4" xfId="20685" xr:uid="{439FD2B4-3A74-45E0-BBCA-BD477AFF0C8D}"/>
    <cellStyle name="40% - Accent4 5 2 5" xfId="29125" xr:uid="{79D8FABD-77EA-4465-98DA-CB3CE75EB654}"/>
    <cellStyle name="40% - Accent4 5 3" xfId="4990" xr:uid="{00000000-0005-0000-0000-000031060000}"/>
    <cellStyle name="40% - Accent4 5 3 2" xfId="14316" xr:uid="{03388E24-ACE8-48C6-96C1-B73B3C55AEAF}"/>
    <cellStyle name="40% - Accent4 5 3 3" xfId="22757" xr:uid="{13B83B41-602E-48A1-9046-585BCDA45D75}"/>
    <cellStyle name="40% - Accent4 5 3 4" xfId="31197" xr:uid="{E6B906A8-D373-4818-BCCC-D75D487F0DC1}"/>
    <cellStyle name="40% - Accent4 5 4" xfId="9187" xr:uid="{33022C89-0CDD-4091-8005-358F63FF8F46}"/>
    <cellStyle name="40% - Accent4 5 5" xfId="10099" xr:uid="{B7C3D8F7-C99E-49EF-B77C-76F8CDD4B687}"/>
    <cellStyle name="40% - Accent4 5 6" xfId="18540" xr:uid="{2C00C59F-6C80-4356-A6A1-15E5610F4312}"/>
    <cellStyle name="40% - Accent4 5 7" xfId="26980" xr:uid="{8D4AB2FE-4550-42C5-94C9-052A21E188AC}"/>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AE21B0BC-A004-478C-AD24-1DA65A43154F}"/>
    <cellStyle name="40% - Accent4 6 2 2 3" xfId="25315" xr:uid="{D1AF5708-8049-430E-A471-E129A5033ABF}"/>
    <cellStyle name="40% - Accent4 6 2 2 4" xfId="33755" xr:uid="{9FF6D48D-8038-4530-847D-685A2EC5580A}"/>
    <cellStyle name="40% - Accent4 6 2 3" xfId="12657" xr:uid="{197889CA-AD8E-45F1-930B-B6B71D93223F}"/>
    <cellStyle name="40% - Accent4 6 2 4" xfId="21098" xr:uid="{D92465B3-B827-4E83-97B8-08302EBE5F4E}"/>
    <cellStyle name="40% - Accent4 6 2 5" xfId="29538" xr:uid="{D1DAE95A-E47C-443B-98F4-8394991D3789}"/>
    <cellStyle name="40% - Accent4 6 3" xfId="5403" xr:uid="{00000000-0005-0000-0000-000035060000}"/>
    <cellStyle name="40% - Accent4 6 3 2" xfId="14729" xr:uid="{3B071719-168F-48D2-819A-A31D8122E3CA}"/>
    <cellStyle name="40% - Accent4 6 3 3" xfId="23170" xr:uid="{0D5CA97C-3C56-49EE-AA32-887314CEC15A}"/>
    <cellStyle name="40% - Accent4 6 3 4" xfId="31610" xr:uid="{B9DD4A0A-A186-4453-8C5C-ECC76668E666}"/>
    <cellStyle name="40% - Accent4 6 4" xfId="10512" xr:uid="{9F22C513-5C2E-4A2E-9369-43147C9C173D}"/>
    <cellStyle name="40% - Accent4 6 5" xfId="18953" xr:uid="{22864C85-5456-49FB-B691-5C204ED67CCA}"/>
    <cellStyle name="40% - Accent4 6 6" xfId="27393" xr:uid="{DE3EFC79-81DD-4BD0-A2D6-971B4029CD36}"/>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D14AA312-326B-43BF-B184-045F94BC0355}"/>
    <cellStyle name="40% - Accent4 7 2 2 3" xfId="25728" xr:uid="{21C8AF33-4BA9-48AF-A311-4194EA931C4A}"/>
    <cellStyle name="40% - Accent4 7 2 2 4" xfId="34168" xr:uid="{8F7FF861-4F4F-4579-8BCD-3956611F49DF}"/>
    <cellStyle name="40% - Accent4 7 2 3" xfId="13070" xr:uid="{E2FF6C12-136C-431F-8C7B-4CA1AAB289A0}"/>
    <cellStyle name="40% - Accent4 7 2 4" xfId="21511" xr:uid="{AE03ADA7-BAD1-4064-A730-04EB8019C739}"/>
    <cellStyle name="40% - Accent4 7 2 5" xfId="29951" xr:uid="{2DC4E357-FF30-4FEE-80CD-3664F0BF4835}"/>
    <cellStyle name="40% - Accent4 7 3" xfId="5816" xr:uid="{00000000-0005-0000-0000-000039060000}"/>
    <cellStyle name="40% - Accent4 7 3 2" xfId="15142" xr:uid="{B367CC4E-47B8-4890-A71E-BAE23B305CB4}"/>
    <cellStyle name="40% - Accent4 7 3 3" xfId="23583" xr:uid="{F0873A60-3D0C-4592-A36A-A30A37662ADB}"/>
    <cellStyle name="40% - Accent4 7 3 4" xfId="32023" xr:uid="{DD3D8233-0461-4151-BDFA-257BB34D7201}"/>
    <cellStyle name="40% - Accent4 7 4" xfId="10925" xr:uid="{12095AE2-1062-4425-AFC3-2E3D8E5D76FD}"/>
    <cellStyle name="40% - Accent4 7 5" xfId="19366" xr:uid="{017AE307-D3F4-4949-867B-E5BBBF657E04}"/>
    <cellStyle name="40% - Accent4 7 6" xfId="27806" xr:uid="{CF2D6C22-7BAB-4946-8F3D-766CB131D015}"/>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C5F6C9DF-59C6-4A89-9F58-8E0E53AD0562}"/>
    <cellStyle name="40% - Accent4 8 2 2 3" xfId="26141" xr:uid="{6632761C-DC6F-463B-B21E-E6065C843E19}"/>
    <cellStyle name="40% - Accent4 8 2 2 4" xfId="34581" xr:uid="{CDA3A111-63D7-4D32-BD01-6A398ED1A102}"/>
    <cellStyle name="40% - Accent4 8 2 3" xfId="13483" xr:uid="{AAB03B69-8D2A-410F-AEDF-0E24D58BF4E1}"/>
    <cellStyle name="40% - Accent4 8 2 4" xfId="21924" xr:uid="{FA5B68E4-0E0F-4490-8C77-157A6EE784D2}"/>
    <cellStyle name="40% - Accent4 8 2 5" xfId="30364" xr:uid="{CCA52109-7558-44F2-8AC4-1C5A56204B63}"/>
    <cellStyle name="40% - Accent4 8 3" xfId="6229" xr:uid="{00000000-0005-0000-0000-00003D060000}"/>
    <cellStyle name="40% - Accent4 8 3 2" xfId="15555" xr:uid="{B01F91CA-ACA1-405A-812E-560B960E501C}"/>
    <cellStyle name="40% - Accent4 8 3 3" xfId="23996" xr:uid="{B72835C0-DF53-4701-B5F3-6ADBCACABC97}"/>
    <cellStyle name="40% - Accent4 8 3 4" xfId="32436" xr:uid="{66902B95-9251-4C78-BC8B-4CEAE21347C0}"/>
    <cellStyle name="40% - Accent4 8 4" xfId="11338" xr:uid="{08AFBE4D-671B-4582-80A6-EED6CD0B0251}"/>
    <cellStyle name="40% - Accent4 8 5" xfId="19779" xr:uid="{EF9EDC3A-54C3-4CD4-94B9-5F874F266D78}"/>
    <cellStyle name="40% - Accent4 8 6" xfId="28219" xr:uid="{ED73738A-3492-40AA-86D8-5AEF9314B289}"/>
    <cellStyle name="40% - Accent4 9" xfId="2336" xr:uid="{00000000-0005-0000-0000-00003E060000}"/>
    <cellStyle name="40% - Accent4 9 2" xfId="6642" xr:uid="{00000000-0005-0000-0000-00003F060000}"/>
    <cellStyle name="40% - Accent4 9 2 2" xfId="15968" xr:uid="{F5A0777D-19FB-4F68-9CDD-C58AD213D4A5}"/>
    <cellStyle name="40% - Accent4 9 2 3" xfId="24409" xr:uid="{D0C1CC01-0CF7-4F81-AEAE-761EA0BA31F0}"/>
    <cellStyle name="40% - Accent4 9 2 4" xfId="32849" xr:uid="{1A1F7081-6A0E-4F40-A6D9-290DC332A12E}"/>
    <cellStyle name="40% - Accent4 9 3" xfId="11751" xr:uid="{19205475-ED9D-4228-ADA6-DC2C8093CA07}"/>
    <cellStyle name="40% - Accent4 9 4" xfId="20192" xr:uid="{A362B321-1028-4DAD-9CCF-B9631C05CF70}"/>
    <cellStyle name="40% - Accent4 9 5" xfId="28632" xr:uid="{5EEA0B8B-79A4-4896-85F4-8CFB0CAD4E5C}"/>
    <cellStyle name="40% - Accent5" xfId="81" builtinId="47" customBuiltin="1"/>
    <cellStyle name="40% - Accent5 10" xfId="4584" xr:uid="{00000000-0005-0000-0000-000041060000}"/>
    <cellStyle name="40% - Accent5 10 2" xfId="13910" xr:uid="{E1D8ED3D-6330-4E6B-9DB3-572FAD9AEA13}"/>
    <cellStyle name="40% - Accent5 10 3" xfId="22351" xr:uid="{A93BB5F9-8709-4619-BE81-699863302FFD}"/>
    <cellStyle name="40% - Accent5 10 4" xfId="30791" xr:uid="{C462E1A9-423F-4A49-A303-EF2CDEDBFFD9}"/>
    <cellStyle name="40% - Accent5 11" xfId="8767" xr:uid="{7A46ADF8-3420-4D4A-A3FE-8E96F0FA38E7}"/>
    <cellStyle name="40% - Accent5 12" xfId="9693" xr:uid="{C3263F74-7EBE-4D39-B508-A3D4308E86D7}"/>
    <cellStyle name="40% - Accent5 13" xfId="18134" xr:uid="{D135E03D-0C43-4821-B730-20EEFDD28BAB}"/>
    <cellStyle name="40% - Accent5 14" xfId="26574" xr:uid="{EA5581CB-D602-4791-96EC-AE383E8FE46E}"/>
    <cellStyle name="40% - Accent5 2" xfId="82" xr:uid="{00000000-0005-0000-0000-000042060000}"/>
    <cellStyle name="40% - Accent5 2 10" xfId="8802" xr:uid="{CF9BFF45-99AC-47A3-8B01-051C55FBB24D}"/>
    <cellStyle name="40% - Accent5 2 11" xfId="9694" xr:uid="{46E04118-37AB-4439-BF99-FDA62F22B7E7}"/>
    <cellStyle name="40% - Accent5 2 12" xfId="18135" xr:uid="{8E3E54F8-FAD4-4DBB-A784-1669DE1291D4}"/>
    <cellStyle name="40% - Accent5 2 13" xfId="26575" xr:uid="{7CEA4D64-6D84-40BF-990B-1A49907600E9}"/>
    <cellStyle name="40% - Accent5 2 2" xfId="83" xr:uid="{00000000-0005-0000-0000-000043060000}"/>
    <cellStyle name="40% - Accent5 2 2 10" xfId="9695" xr:uid="{886BCCC2-EA4D-435D-A7A9-CA202C08535E}"/>
    <cellStyle name="40% - Accent5 2 2 11" xfId="18136" xr:uid="{188B0BF3-14B1-461F-B7A8-2E0BA351DF0F}"/>
    <cellStyle name="40% - Accent5 2 2 12" xfId="26576" xr:uid="{502DDCAF-2855-432E-AA18-C05966B890B5}"/>
    <cellStyle name="40% - Accent5 2 2 2" xfId="84" xr:uid="{00000000-0005-0000-0000-000044060000}"/>
    <cellStyle name="40% - Accent5 2 2 2 10" xfId="18137" xr:uid="{AF2359D4-9EE5-4C89-AED7-02992278B3C6}"/>
    <cellStyle name="40% - Accent5 2 2 2 11" xfId="26577" xr:uid="{7637EC5A-F315-4BA4-9B18-1110F521FBD9}"/>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2DAAB9D8-ED22-474B-B701-DB717E375165}"/>
    <cellStyle name="40% - Accent5 2 2 2 2 2 2 3" xfId="24913" xr:uid="{B9CB7A5D-1160-47E1-B313-9C0D14C3EBAF}"/>
    <cellStyle name="40% - Accent5 2 2 2 2 2 2 4" xfId="33353" xr:uid="{BE5C11C6-3272-4992-AB5E-3E690CFA6360}"/>
    <cellStyle name="40% - Accent5 2 2 2 2 2 3" xfId="12255" xr:uid="{48919E17-E5F9-4F78-AF60-047E4E742206}"/>
    <cellStyle name="40% - Accent5 2 2 2 2 2 4" xfId="20696" xr:uid="{C394C848-0E9C-41FB-8144-1CE2DCB3BA18}"/>
    <cellStyle name="40% - Accent5 2 2 2 2 2 5" xfId="29136" xr:uid="{47D051CE-2CD8-4C5F-934A-4397B1529D47}"/>
    <cellStyle name="40% - Accent5 2 2 2 2 3" xfId="5001" xr:uid="{00000000-0005-0000-0000-000048060000}"/>
    <cellStyle name="40% - Accent5 2 2 2 2 3 2" xfId="14327" xr:uid="{33D1F3E3-16B3-4DD9-B122-5683B418F6F4}"/>
    <cellStyle name="40% - Accent5 2 2 2 2 3 3" xfId="22768" xr:uid="{D9FCB3DB-C87D-4E2F-AC3F-C9C1AFA781FE}"/>
    <cellStyle name="40% - Accent5 2 2 2 2 3 4" xfId="31208" xr:uid="{CEB632E5-FB9A-4920-9812-FCB48E7129E5}"/>
    <cellStyle name="40% - Accent5 2 2 2 2 4" xfId="9537" xr:uid="{83834145-5D3F-4083-A609-6DB90651C4CE}"/>
    <cellStyle name="40% - Accent5 2 2 2 2 5" xfId="10110" xr:uid="{BEA104D7-A400-41F2-95EB-1BEFAC0889BA}"/>
    <cellStyle name="40% - Accent5 2 2 2 2 6" xfId="18551" xr:uid="{4413B034-1977-42B7-A9CD-3BA7FAB1DB1C}"/>
    <cellStyle name="40% - Accent5 2 2 2 2 7" xfId="26991" xr:uid="{5BBEAA7E-E69D-405C-A3A3-600861935AD4}"/>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CF62F471-DE8E-4F58-8F53-BB9E0B1A756C}"/>
    <cellStyle name="40% - Accent5 2 2 2 3 2 2 3" xfId="25326" xr:uid="{753D7DBC-769E-497C-A2B7-E3FB3993775D}"/>
    <cellStyle name="40% - Accent5 2 2 2 3 2 2 4" xfId="33766" xr:uid="{8BA9FDD9-45CC-4B43-BF67-63E26FC25BDF}"/>
    <cellStyle name="40% - Accent5 2 2 2 3 2 3" xfId="12668" xr:uid="{CC36A9B9-96A8-4B4B-B74A-5C2446265DB6}"/>
    <cellStyle name="40% - Accent5 2 2 2 3 2 4" xfId="21109" xr:uid="{715C3753-6517-4AC5-AD46-65362D5416E8}"/>
    <cellStyle name="40% - Accent5 2 2 2 3 2 5" xfId="29549" xr:uid="{56876EDE-BBAD-4132-ACFD-CE21113EBC46}"/>
    <cellStyle name="40% - Accent5 2 2 2 3 3" xfId="5414" xr:uid="{00000000-0005-0000-0000-00004C060000}"/>
    <cellStyle name="40% - Accent5 2 2 2 3 3 2" xfId="14740" xr:uid="{A05F567A-3287-4742-B51A-A0BF92A86B90}"/>
    <cellStyle name="40% - Accent5 2 2 2 3 3 3" xfId="23181" xr:uid="{8F1D4D71-7ADE-4C10-B2AC-2FCE4A9277A6}"/>
    <cellStyle name="40% - Accent5 2 2 2 3 3 4" xfId="31621" xr:uid="{C423AA19-D02B-47E0-BBFF-0A73717939AA}"/>
    <cellStyle name="40% - Accent5 2 2 2 3 4" xfId="10523" xr:uid="{A76C1DAF-2388-4041-BC8C-8530F863864A}"/>
    <cellStyle name="40% - Accent5 2 2 2 3 5" xfId="18964" xr:uid="{B6A6A82F-71F5-4FE2-9AF4-AE682827BE15}"/>
    <cellStyle name="40% - Accent5 2 2 2 3 6" xfId="27404" xr:uid="{4D7DF54D-57DA-4A25-80BC-5D3C4BE7F939}"/>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CE1B705C-ABBF-4274-BCB5-F6F8E9B480C2}"/>
    <cellStyle name="40% - Accent5 2 2 2 4 2 2 3" xfId="25739" xr:uid="{E327A720-5A7E-4DAF-818A-F369BB1BF1D7}"/>
    <cellStyle name="40% - Accent5 2 2 2 4 2 2 4" xfId="34179" xr:uid="{BD999665-EB77-4469-BD40-CAB04F3471A0}"/>
    <cellStyle name="40% - Accent5 2 2 2 4 2 3" xfId="13081" xr:uid="{8A5B6318-E73E-42FF-9B7E-327A21879F5A}"/>
    <cellStyle name="40% - Accent5 2 2 2 4 2 4" xfId="21522" xr:uid="{A4284D02-9AF3-4CC4-8EB2-4D9988A1E21F}"/>
    <cellStyle name="40% - Accent5 2 2 2 4 2 5" xfId="29962" xr:uid="{D308D926-3723-4ECB-8D54-09BAF6430F55}"/>
    <cellStyle name="40% - Accent5 2 2 2 4 3" xfId="5827" xr:uid="{00000000-0005-0000-0000-000050060000}"/>
    <cellStyle name="40% - Accent5 2 2 2 4 3 2" xfId="15153" xr:uid="{B2FCB6DC-05CE-4909-AC1F-59E65243576B}"/>
    <cellStyle name="40% - Accent5 2 2 2 4 3 3" xfId="23594" xr:uid="{1C7A9355-22C3-4BDB-A9DB-9FB3CAC13B29}"/>
    <cellStyle name="40% - Accent5 2 2 2 4 3 4" xfId="32034" xr:uid="{23D3F68D-A741-4E4A-AC32-B1F8F2ADC192}"/>
    <cellStyle name="40% - Accent5 2 2 2 4 4" xfId="10936" xr:uid="{BD1E4F23-4A6E-496D-BE8C-54B4198B9F5A}"/>
    <cellStyle name="40% - Accent5 2 2 2 4 5" xfId="19377" xr:uid="{F9C71276-BA84-4234-BCE0-A3C237E72CCA}"/>
    <cellStyle name="40% - Accent5 2 2 2 4 6" xfId="27817" xr:uid="{BF33387A-2700-416D-8075-78B3F17005B8}"/>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864B03C4-34FD-4F06-8426-3F480C878AA4}"/>
    <cellStyle name="40% - Accent5 2 2 2 5 2 2 3" xfId="26152" xr:uid="{60558D00-32BE-4241-BF24-7CA6BC13D10E}"/>
    <cellStyle name="40% - Accent5 2 2 2 5 2 2 4" xfId="34592" xr:uid="{272B07C2-83BC-4E6E-8295-2F38F8DC8531}"/>
    <cellStyle name="40% - Accent5 2 2 2 5 2 3" xfId="13494" xr:uid="{2ACEF81E-4C53-43F1-B85E-1C1E5052202D}"/>
    <cellStyle name="40% - Accent5 2 2 2 5 2 4" xfId="21935" xr:uid="{080ACC25-56D9-4BA8-9076-C6961091AEA4}"/>
    <cellStyle name="40% - Accent5 2 2 2 5 2 5" xfId="30375" xr:uid="{8EA72399-BBFE-41EA-A3BD-7DA44A969CE1}"/>
    <cellStyle name="40% - Accent5 2 2 2 5 3" xfId="6240" xr:uid="{00000000-0005-0000-0000-000054060000}"/>
    <cellStyle name="40% - Accent5 2 2 2 5 3 2" xfId="15566" xr:uid="{77FB16F7-E364-4865-94ED-C610BF203ADA}"/>
    <cellStyle name="40% - Accent5 2 2 2 5 3 3" xfId="24007" xr:uid="{88CD1108-88E0-40F9-9C25-881335E3B8CC}"/>
    <cellStyle name="40% - Accent5 2 2 2 5 3 4" xfId="32447" xr:uid="{73720714-626E-4849-9CE5-498129DADFD7}"/>
    <cellStyle name="40% - Accent5 2 2 2 5 4" xfId="11349" xr:uid="{2617C1F7-7B75-4EEB-B7ED-60FFFB87705D}"/>
    <cellStyle name="40% - Accent5 2 2 2 5 5" xfId="19790" xr:uid="{D463D123-F7BA-4FEC-A815-9268A8AACFFE}"/>
    <cellStyle name="40% - Accent5 2 2 2 5 6" xfId="28230" xr:uid="{491969B2-0A59-45B7-914D-9BBF48FE0218}"/>
    <cellStyle name="40% - Accent5 2 2 2 6" xfId="2347" xr:uid="{00000000-0005-0000-0000-000055060000}"/>
    <cellStyle name="40% - Accent5 2 2 2 6 2" xfId="6653" xr:uid="{00000000-0005-0000-0000-000056060000}"/>
    <cellStyle name="40% - Accent5 2 2 2 6 2 2" xfId="15979" xr:uid="{EE0DF543-661F-4310-8F18-049745B7F5E8}"/>
    <cellStyle name="40% - Accent5 2 2 2 6 2 3" xfId="24420" xr:uid="{302859C8-4934-499C-B01C-4EB243433C70}"/>
    <cellStyle name="40% - Accent5 2 2 2 6 2 4" xfId="32860" xr:uid="{0FDD904E-7452-4204-A8FA-57A8410DA327}"/>
    <cellStyle name="40% - Accent5 2 2 2 6 3" xfId="11762" xr:uid="{99050820-8A3F-4587-BC89-AE40E0A069B7}"/>
    <cellStyle name="40% - Accent5 2 2 2 6 4" xfId="20203" xr:uid="{27FC6CB4-4DE6-43E5-9955-E0A3005B3E9A}"/>
    <cellStyle name="40% - Accent5 2 2 2 6 5" xfId="28643" xr:uid="{A0E3B4E7-FFDE-45E3-A6E1-B52E0F7EB768}"/>
    <cellStyle name="40% - Accent5 2 2 2 7" xfId="4587" xr:uid="{00000000-0005-0000-0000-000057060000}"/>
    <cellStyle name="40% - Accent5 2 2 2 7 2" xfId="13913" xr:uid="{469E8E44-D80D-494F-B2B3-5A0BE9CC2DD1}"/>
    <cellStyle name="40% - Accent5 2 2 2 7 3" xfId="22354" xr:uid="{4FF2E699-41FD-4EA7-9AB7-E02A0664DAD6}"/>
    <cellStyle name="40% - Accent5 2 2 2 7 4" xfId="30794" xr:uid="{E5362BB2-8FA1-4ABD-BEA7-89162315050F}"/>
    <cellStyle name="40% - Accent5 2 2 2 8" xfId="9112" xr:uid="{65D0CC40-E9D0-4CE3-B684-8DE4A2C7BCD7}"/>
    <cellStyle name="40% - Accent5 2 2 2 9" xfId="9696" xr:uid="{8454BF1D-61F7-4170-B9E2-C211E55C1891}"/>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9625D8FE-E519-449F-8A30-1C9F2FBF6BE6}"/>
    <cellStyle name="40% - Accent5 2 2 3 2 2 3" xfId="24912" xr:uid="{146A520F-7B99-4D53-B015-EC38290EBFF8}"/>
    <cellStyle name="40% - Accent5 2 2 3 2 2 4" xfId="33352" xr:uid="{CC7802B9-2427-48B9-B156-0E3A3DC2166A}"/>
    <cellStyle name="40% - Accent5 2 2 3 2 3" xfId="12254" xr:uid="{A763B7D8-3F31-4F19-9499-492F7B812A53}"/>
    <cellStyle name="40% - Accent5 2 2 3 2 4" xfId="20695" xr:uid="{A84E3D7B-65DB-4FB0-9672-0E38805895EA}"/>
    <cellStyle name="40% - Accent5 2 2 3 2 5" xfId="29135" xr:uid="{E759ACD0-BED5-4360-AF73-41D57CD54B95}"/>
    <cellStyle name="40% - Accent5 2 2 3 3" xfId="5000" xr:uid="{00000000-0005-0000-0000-00005B060000}"/>
    <cellStyle name="40% - Accent5 2 2 3 3 2" xfId="14326" xr:uid="{2221CEC0-6693-4039-929E-3A1220984A9E}"/>
    <cellStyle name="40% - Accent5 2 2 3 3 3" xfId="22767" xr:uid="{0F6B82D2-1D01-45D3-8673-B85927946A66}"/>
    <cellStyle name="40% - Accent5 2 2 3 3 4" xfId="31207" xr:uid="{71CAEE29-58FB-4856-AC6A-F50E3669C45B}"/>
    <cellStyle name="40% - Accent5 2 2 3 4" xfId="9330" xr:uid="{75959B30-FD84-42A5-95AE-69048CCC8361}"/>
    <cellStyle name="40% - Accent5 2 2 3 5" xfId="10109" xr:uid="{5A7E1B82-B729-4AA7-B11A-708D49CCA441}"/>
    <cellStyle name="40% - Accent5 2 2 3 6" xfId="18550" xr:uid="{64C1EC93-126B-4B9A-8B2D-19784EE0CF61}"/>
    <cellStyle name="40% - Accent5 2 2 3 7" xfId="26990" xr:uid="{3028ED92-D704-4258-88E7-734ABBDCD44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567A90A5-7947-406E-9194-68B3444415E3}"/>
    <cellStyle name="40% - Accent5 2 2 4 2 2 3" xfId="25325" xr:uid="{8F7B6F69-723D-4963-B294-F402CCDB9930}"/>
    <cellStyle name="40% - Accent5 2 2 4 2 2 4" xfId="33765" xr:uid="{2A7FADFF-889E-40A8-80F5-FC8A434EE696}"/>
    <cellStyle name="40% - Accent5 2 2 4 2 3" xfId="12667" xr:uid="{51BD4BB7-8A7A-42D3-B2FF-80D0D9437BBC}"/>
    <cellStyle name="40% - Accent5 2 2 4 2 4" xfId="21108" xr:uid="{0D5E8A85-DABB-4C4E-BE1D-4F6AB871580F}"/>
    <cellStyle name="40% - Accent5 2 2 4 2 5" xfId="29548" xr:uid="{7BF30F4C-08A7-4A26-99B1-C41C77BD5A32}"/>
    <cellStyle name="40% - Accent5 2 2 4 3" xfId="5413" xr:uid="{00000000-0005-0000-0000-00005F060000}"/>
    <cellStyle name="40% - Accent5 2 2 4 3 2" xfId="14739" xr:uid="{FA651D70-E978-4E3C-BB7A-A150E59047F8}"/>
    <cellStyle name="40% - Accent5 2 2 4 3 3" xfId="23180" xr:uid="{FC1B761C-CF60-432B-B420-CFE26FF0BDD1}"/>
    <cellStyle name="40% - Accent5 2 2 4 3 4" xfId="31620" xr:uid="{9337EFC9-E7AB-4420-A73F-FE719CFFF8D2}"/>
    <cellStyle name="40% - Accent5 2 2 4 4" xfId="10522" xr:uid="{169BF035-FFDF-4D77-AEFC-75C74D0DAA55}"/>
    <cellStyle name="40% - Accent5 2 2 4 5" xfId="18963" xr:uid="{4DCA65BC-A3C7-4F30-AA0C-A096A36D38F3}"/>
    <cellStyle name="40% - Accent5 2 2 4 6" xfId="27403" xr:uid="{11076CE2-6B25-4164-B785-B22465C7ACA6}"/>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7CEA9631-360C-4EF7-B41C-3C54E1A1C594}"/>
    <cellStyle name="40% - Accent5 2 2 5 2 2 3" xfId="25738" xr:uid="{B2623B5E-71B2-4DED-80D0-68765D912873}"/>
    <cellStyle name="40% - Accent5 2 2 5 2 2 4" xfId="34178" xr:uid="{42CDDB11-0198-4EF5-93F7-2176E95DB6D7}"/>
    <cellStyle name="40% - Accent5 2 2 5 2 3" xfId="13080" xr:uid="{19500761-4560-44EC-9FBB-9AF477AA3255}"/>
    <cellStyle name="40% - Accent5 2 2 5 2 4" xfId="21521" xr:uid="{2421D200-FEDC-44D3-BF99-4AA5B22FC5BC}"/>
    <cellStyle name="40% - Accent5 2 2 5 2 5" xfId="29961" xr:uid="{4C79B0A1-62C5-48A0-96C5-1D5D6AB96FCD}"/>
    <cellStyle name="40% - Accent5 2 2 5 3" xfId="5826" xr:uid="{00000000-0005-0000-0000-000063060000}"/>
    <cellStyle name="40% - Accent5 2 2 5 3 2" xfId="15152" xr:uid="{541837D8-0107-430F-A5BB-0530B8212838}"/>
    <cellStyle name="40% - Accent5 2 2 5 3 3" xfId="23593" xr:uid="{65E08F73-B475-4C9D-8BC5-A1AD997B0676}"/>
    <cellStyle name="40% - Accent5 2 2 5 3 4" xfId="32033" xr:uid="{51E2BFB1-C218-4AEA-8A84-4ECE97E66D97}"/>
    <cellStyle name="40% - Accent5 2 2 5 4" xfId="10935" xr:uid="{421CAB3D-9B16-4AD6-AA16-EEE14AE7E06F}"/>
    <cellStyle name="40% - Accent5 2 2 5 5" xfId="19376" xr:uid="{37B1633F-E11F-4436-9687-D234FD249772}"/>
    <cellStyle name="40% - Accent5 2 2 5 6" xfId="27816" xr:uid="{B151EB43-FC3F-43EB-B661-A4111EDA18E7}"/>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8F567482-3EF2-420A-9FED-9C4A993FB950}"/>
    <cellStyle name="40% - Accent5 2 2 6 2 2 3" xfId="26151" xr:uid="{1405349A-F391-4C4F-B565-54F08217AC5C}"/>
    <cellStyle name="40% - Accent5 2 2 6 2 2 4" xfId="34591" xr:uid="{ECD0B1D8-053B-474D-8E6E-5FABBDC82AF6}"/>
    <cellStyle name="40% - Accent5 2 2 6 2 3" xfId="13493" xr:uid="{84001644-3306-4892-B8E8-FCE0A9F91940}"/>
    <cellStyle name="40% - Accent5 2 2 6 2 4" xfId="21934" xr:uid="{5BC760CD-3C1C-479C-BE65-116CA20804F0}"/>
    <cellStyle name="40% - Accent5 2 2 6 2 5" xfId="30374" xr:uid="{653ED14E-7B6E-49D5-9773-BD0D97E8F4A5}"/>
    <cellStyle name="40% - Accent5 2 2 6 3" xfId="6239" xr:uid="{00000000-0005-0000-0000-000067060000}"/>
    <cellStyle name="40% - Accent5 2 2 6 3 2" xfId="15565" xr:uid="{61DB0BA7-275B-4FA8-8D7B-3E2F1E784C21}"/>
    <cellStyle name="40% - Accent5 2 2 6 3 3" xfId="24006" xr:uid="{43630B4D-2825-4C86-9B4D-FFB535E8F591}"/>
    <cellStyle name="40% - Accent5 2 2 6 3 4" xfId="32446" xr:uid="{4F99AA0B-986E-42B5-8FDF-ACBE9ABC20D8}"/>
    <cellStyle name="40% - Accent5 2 2 6 4" xfId="11348" xr:uid="{5F3E6CD2-D90B-40EA-BD76-246647F66E67}"/>
    <cellStyle name="40% - Accent5 2 2 6 5" xfId="19789" xr:uid="{EF5C723F-C4AC-4271-AF2E-35C9879158B2}"/>
    <cellStyle name="40% - Accent5 2 2 6 6" xfId="28229" xr:uid="{520F7506-D2F0-4808-8C4A-B909C669FF5A}"/>
    <cellStyle name="40% - Accent5 2 2 7" xfId="2346" xr:uid="{00000000-0005-0000-0000-000068060000}"/>
    <cellStyle name="40% - Accent5 2 2 7 2" xfId="6652" xr:uid="{00000000-0005-0000-0000-000069060000}"/>
    <cellStyle name="40% - Accent5 2 2 7 2 2" xfId="15978" xr:uid="{48640ACA-9CDE-4D10-9D6E-B1C25A7FE228}"/>
    <cellStyle name="40% - Accent5 2 2 7 2 3" xfId="24419" xr:uid="{F8A9030A-0AED-4F88-8008-F11B83223CE6}"/>
    <cellStyle name="40% - Accent5 2 2 7 2 4" xfId="32859" xr:uid="{6F84095E-FCBF-4511-B6E4-7DC09AE73F35}"/>
    <cellStyle name="40% - Accent5 2 2 7 3" xfId="11761" xr:uid="{36B05B5F-9923-4668-B3E2-096ED7E605A2}"/>
    <cellStyle name="40% - Accent5 2 2 7 4" xfId="20202" xr:uid="{D16577BA-52B6-4515-A7D3-A9814E93A3F5}"/>
    <cellStyle name="40% - Accent5 2 2 7 5" xfId="28642" xr:uid="{63D89E7B-F648-4A4A-8F4A-DC4FBEAF76E8}"/>
    <cellStyle name="40% - Accent5 2 2 8" xfId="4586" xr:uid="{00000000-0005-0000-0000-00006A060000}"/>
    <cellStyle name="40% - Accent5 2 2 8 2" xfId="13912" xr:uid="{4A6EC03F-6E55-464D-90BA-08E8292374E6}"/>
    <cellStyle name="40% - Accent5 2 2 8 3" xfId="22353" xr:uid="{3CCD92A1-0430-47E6-B2B1-C1D83ED323F6}"/>
    <cellStyle name="40% - Accent5 2 2 8 4" xfId="30793" xr:uid="{9AB09450-EAD1-46BD-8ADA-712D6B211FD2}"/>
    <cellStyle name="40% - Accent5 2 2 9" xfId="8905" xr:uid="{3B48B2AE-2C2B-47FB-A8F4-43FECCDBCFEF}"/>
    <cellStyle name="40% - Accent5 2 3" xfId="85" xr:uid="{00000000-0005-0000-0000-00006B060000}"/>
    <cellStyle name="40% - Accent5 2 3 10" xfId="18138" xr:uid="{95F0B876-7D6B-41EE-B1EA-41D4629891ED}"/>
    <cellStyle name="40% - Accent5 2 3 11" xfId="26578" xr:uid="{FEB1330D-A8E3-4D7E-BF71-B9C73AC489FE}"/>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F2B2AC8F-3EFB-4304-95A3-37D1BCAB3E15}"/>
    <cellStyle name="40% - Accent5 2 3 2 2 2 3" xfId="24914" xr:uid="{D9BB79B0-91AE-4130-B9DC-15944C594FA9}"/>
    <cellStyle name="40% - Accent5 2 3 2 2 2 4" xfId="33354" xr:uid="{6254093D-AE65-44B4-A6FB-9A823275EF65}"/>
    <cellStyle name="40% - Accent5 2 3 2 2 3" xfId="12256" xr:uid="{72D0D7BE-43E4-4EBE-8951-AFA5B4A1FB6E}"/>
    <cellStyle name="40% - Accent5 2 3 2 2 4" xfId="20697" xr:uid="{9B07700A-07CC-4EC1-B741-B9781996A477}"/>
    <cellStyle name="40% - Accent5 2 3 2 2 5" xfId="29137" xr:uid="{0285EC10-29BA-4957-9E83-F93685EAF6EF}"/>
    <cellStyle name="40% - Accent5 2 3 2 3" xfId="5002" xr:uid="{00000000-0005-0000-0000-00006F060000}"/>
    <cellStyle name="40% - Accent5 2 3 2 3 2" xfId="14328" xr:uid="{5B225988-7D2E-4FA2-A465-6DCA617620AF}"/>
    <cellStyle name="40% - Accent5 2 3 2 3 3" xfId="22769" xr:uid="{EA35ECE6-87E6-4FF6-8C8A-1A80AA2B17F4}"/>
    <cellStyle name="40% - Accent5 2 3 2 3 4" xfId="31209" xr:uid="{0EF7B06A-AFEC-4AE5-BD9C-248A8C98AA8D}"/>
    <cellStyle name="40% - Accent5 2 3 2 4" xfId="9434" xr:uid="{512EAA64-F150-4B15-8534-EB34D6D41408}"/>
    <cellStyle name="40% - Accent5 2 3 2 5" xfId="10111" xr:uid="{F2ED513B-C6CA-4194-9B0A-0575E440A8DC}"/>
    <cellStyle name="40% - Accent5 2 3 2 6" xfId="18552" xr:uid="{0EFF2C7C-86EF-457F-95A2-9F64885E3FFC}"/>
    <cellStyle name="40% - Accent5 2 3 2 7" xfId="26992" xr:uid="{5F2D5FD6-4C49-45C8-94B7-6A85785D4122}"/>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3550D48E-9AC8-43E4-B284-6D36C0B86535}"/>
    <cellStyle name="40% - Accent5 2 3 3 2 2 3" xfId="25327" xr:uid="{77A56BEE-D8F9-4E1F-A330-468FB841BE7D}"/>
    <cellStyle name="40% - Accent5 2 3 3 2 2 4" xfId="33767" xr:uid="{54FAD6AC-0BE3-4238-8535-8FE0DACC6210}"/>
    <cellStyle name="40% - Accent5 2 3 3 2 3" xfId="12669" xr:uid="{2B9C2A9A-938A-4430-B35B-430C5BB6D318}"/>
    <cellStyle name="40% - Accent5 2 3 3 2 4" xfId="21110" xr:uid="{39B19C6A-846E-445A-883D-228934FFF610}"/>
    <cellStyle name="40% - Accent5 2 3 3 2 5" xfId="29550" xr:uid="{1947B4C9-ACC9-45BE-A213-7F3763C5D20C}"/>
    <cellStyle name="40% - Accent5 2 3 3 3" xfId="5415" xr:uid="{00000000-0005-0000-0000-000073060000}"/>
    <cellStyle name="40% - Accent5 2 3 3 3 2" xfId="14741" xr:uid="{5E0FADBE-5D94-4FEC-BF63-F9C27BDC785C}"/>
    <cellStyle name="40% - Accent5 2 3 3 3 3" xfId="23182" xr:uid="{7A428CAE-378D-42FA-A5F6-7504CD04AB39}"/>
    <cellStyle name="40% - Accent5 2 3 3 3 4" xfId="31622" xr:uid="{1538B8DE-2529-438C-863D-A81D68BF51E9}"/>
    <cellStyle name="40% - Accent5 2 3 3 4" xfId="10524" xr:uid="{C38A7497-BE72-4A5D-A440-61AB272E575D}"/>
    <cellStyle name="40% - Accent5 2 3 3 5" xfId="18965" xr:uid="{F5791801-D194-4E8D-88C6-84EE79F024E5}"/>
    <cellStyle name="40% - Accent5 2 3 3 6" xfId="27405" xr:uid="{BF35B1EA-1B27-4213-B28C-CBA01046EA8D}"/>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831675B2-BBC0-4C90-8244-DAAB3C137AB9}"/>
    <cellStyle name="40% - Accent5 2 3 4 2 2 3" xfId="25740" xr:uid="{EC08328E-D8B9-4416-B39E-5AE22B81F80A}"/>
    <cellStyle name="40% - Accent5 2 3 4 2 2 4" xfId="34180" xr:uid="{64034EF6-7BFF-4B6E-91ED-F5FD1E37D455}"/>
    <cellStyle name="40% - Accent5 2 3 4 2 3" xfId="13082" xr:uid="{4DEFBF57-33E5-4F9A-97D2-2EF29EBE47E5}"/>
    <cellStyle name="40% - Accent5 2 3 4 2 4" xfId="21523" xr:uid="{D7A7C502-8069-4918-AC48-8DBF32B84729}"/>
    <cellStyle name="40% - Accent5 2 3 4 2 5" xfId="29963" xr:uid="{338832E5-E564-4C54-A46A-FC065128494A}"/>
    <cellStyle name="40% - Accent5 2 3 4 3" xfId="5828" xr:uid="{00000000-0005-0000-0000-000077060000}"/>
    <cellStyle name="40% - Accent5 2 3 4 3 2" xfId="15154" xr:uid="{B805F622-6189-4509-A123-E837D7B8AC6D}"/>
    <cellStyle name="40% - Accent5 2 3 4 3 3" xfId="23595" xr:uid="{45EF2D2C-AB89-47DF-A1AB-02907DE228D9}"/>
    <cellStyle name="40% - Accent5 2 3 4 3 4" xfId="32035" xr:uid="{F2CD13DE-8313-4078-BBA3-5EE32D3B704E}"/>
    <cellStyle name="40% - Accent5 2 3 4 4" xfId="10937" xr:uid="{B93E886B-6AB0-496E-A860-33C27F7DEDEE}"/>
    <cellStyle name="40% - Accent5 2 3 4 5" xfId="19378" xr:uid="{6EC33FEA-176B-42D5-8706-CC27C5AEFDF9}"/>
    <cellStyle name="40% - Accent5 2 3 4 6" xfId="27818" xr:uid="{EF5E5FD6-1F76-4DE7-AF69-D3E819A2FF56}"/>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79064A77-0319-4D17-B920-72016A8D36F6}"/>
    <cellStyle name="40% - Accent5 2 3 5 2 2 3" xfId="26153" xr:uid="{BEBE3F75-9A8F-439A-9B8B-BBCB4CD0DF52}"/>
    <cellStyle name="40% - Accent5 2 3 5 2 2 4" xfId="34593" xr:uid="{5151CBBA-F3A6-40EF-ACBE-1AD00C676337}"/>
    <cellStyle name="40% - Accent5 2 3 5 2 3" xfId="13495" xr:uid="{A17CAC45-D462-49A8-885B-1409FF2CDDD4}"/>
    <cellStyle name="40% - Accent5 2 3 5 2 4" xfId="21936" xr:uid="{CF7AE1B1-5687-41C1-8F51-2D94FFEE05DB}"/>
    <cellStyle name="40% - Accent5 2 3 5 2 5" xfId="30376" xr:uid="{95B190BB-19ED-4CCB-8F83-D0D5C9A5CC37}"/>
    <cellStyle name="40% - Accent5 2 3 5 3" xfId="6241" xr:uid="{00000000-0005-0000-0000-00007B060000}"/>
    <cellStyle name="40% - Accent5 2 3 5 3 2" xfId="15567" xr:uid="{2DBF291C-D8A4-47B6-854A-3D0F1EFC357F}"/>
    <cellStyle name="40% - Accent5 2 3 5 3 3" xfId="24008" xr:uid="{032C0E5C-833E-4119-B043-A37A58F5FD84}"/>
    <cellStyle name="40% - Accent5 2 3 5 3 4" xfId="32448" xr:uid="{960F8310-0432-427F-94FF-93B1F281EEF5}"/>
    <cellStyle name="40% - Accent5 2 3 5 4" xfId="11350" xr:uid="{E54B06A4-CD8F-4A99-90C6-5E30B322DD60}"/>
    <cellStyle name="40% - Accent5 2 3 5 5" xfId="19791" xr:uid="{E39ADB8B-091C-459F-BD80-C6D365B32DBD}"/>
    <cellStyle name="40% - Accent5 2 3 5 6" xfId="28231" xr:uid="{CB1AAE08-DDD2-47D0-A483-39328886B91C}"/>
    <cellStyle name="40% - Accent5 2 3 6" xfId="2348" xr:uid="{00000000-0005-0000-0000-00007C060000}"/>
    <cellStyle name="40% - Accent5 2 3 6 2" xfId="6654" xr:uid="{00000000-0005-0000-0000-00007D060000}"/>
    <cellStyle name="40% - Accent5 2 3 6 2 2" xfId="15980" xr:uid="{F003D386-FEDD-47DB-9C3C-22B1D7AC91CD}"/>
    <cellStyle name="40% - Accent5 2 3 6 2 3" xfId="24421" xr:uid="{65D36FDF-D5F3-46ED-AD76-790B54089911}"/>
    <cellStyle name="40% - Accent5 2 3 6 2 4" xfId="32861" xr:uid="{495A00F8-73B7-424A-B29D-0570DF0CA73A}"/>
    <cellStyle name="40% - Accent5 2 3 6 3" xfId="11763" xr:uid="{7A17AE38-DBB8-4C05-8CBF-5712494D2C15}"/>
    <cellStyle name="40% - Accent5 2 3 6 4" xfId="20204" xr:uid="{900D3934-D9E7-494C-B74C-63EE1FC0545F}"/>
    <cellStyle name="40% - Accent5 2 3 6 5" xfId="28644" xr:uid="{664CC284-6C0F-4402-9614-9830DA7B9624}"/>
    <cellStyle name="40% - Accent5 2 3 7" xfId="4588" xr:uid="{00000000-0005-0000-0000-00007E060000}"/>
    <cellStyle name="40% - Accent5 2 3 7 2" xfId="13914" xr:uid="{111E5954-EE3D-46AC-A63F-2746936FAA2D}"/>
    <cellStyle name="40% - Accent5 2 3 7 3" xfId="22355" xr:uid="{A4AD3B31-3AB8-4ECA-9B0E-6542BB765E7E}"/>
    <cellStyle name="40% - Accent5 2 3 7 4" xfId="30795" xr:uid="{5DB37F83-CD0B-4C7F-A2B6-C7F25DA52CCA}"/>
    <cellStyle name="40% - Accent5 2 3 8" xfId="9009" xr:uid="{DE8B6E41-761F-4ED0-BA8A-00A6A898A2FC}"/>
    <cellStyle name="40% - Accent5 2 3 9" xfId="9697" xr:uid="{A4B76D07-3F28-4B7A-9E63-480E84BD8D2E}"/>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67302F78-0D59-4866-A9A4-32FBE51C6BD5}"/>
    <cellStyle name="40% - Accent5 2 4 2 2 3" xfId="24911" xr:uid="{45CF6398-7A89-438C-B1B8-12F71E51220F}"/>
    <cellStyle name="40% - Accent5 2 4 2 2 4" xfId="33351" xr:uid="{C0840FB3-FC03-444D-9FF0-6A37C7612F48}"/>
    <cellStyle name="40% - Accent5 2 4 2 3" xfId="12253" xr:uid="{1D662B5A-3F09-4391-B8E5-FCD266582D67}"/>
    <cellStyle name="40% - Accent5 2 4 2 4" xfId="20694" xr:uid="{FA54B65A-D338-4B9C-B736-0613ED5A9947}"/>
    <cellStyle name="40% - Accent5 2 4 2 5" xfId="29134" xr:uid="{7DACBA19-668F-4E2F-A264-AA1928F0AD76}"/>
    <cellStyle name="40% - Accent5 2 4 3" xfId="4999" xr:uid="{00000000-0005-0000-0000-000082060000}"/>
    <cellStyle name="40% - Accent5 2 4 3 2" xfId="14325" xr:uid="{EB40313C-C4EF-4AC9-86F8-E75E21F38A37}"/>
    <cellStyle name="40% - Accent5 2 4 3 3" xfId="22766" xr:uid="{3D3BE45F-7106-4170-A6AA-97CFBA27A62E}"/>
    <cellStyle name="40% - Accent5 2 4 3 4" xfId="31206" xr:uid="{03FB8758-004F-4FFE-8A21-F0D5C70DE30F}"/>
    <cellStyle name="40% - Accent5 2 4 4" xfId="9226" xr:uid="{6A688709-D29B-458C-973B-231279FAFEF5}"/>
    <cellStyle name="40% - Accent5 2 4 5" xfId="10108" xr:uid="{8D9F2703-1212-4C42-A59E-4E1FB05F29D6}"/>
    <cellStyle name="40% - Accent5 2 4 6" xfId="18549" xr:uid="{7B3E4BFA-221F-4AE8-9622-7DBD705DF501}"/>
    <cellStyle name="40% - Accent5 2 4 7" xfId="26989" xr:uid="{4D813051-7691-42FF-B7B3-E5D866D699B1}"/>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2966758F-BC06-43D6-A53B-BDFDDDC23C0F}"/>
    <cellStyle name="40% - Accent5 2 5 2 2 3" xfId="25324" xr:uid="{688B8FB1-A481-48B4-BE37-FCE584FF735D}"/>
    <cellStyle name="40% - Accent5 2 5 2 2 4" xfId="33764" xr:uid="{75ED82F9-86E2-411E-BA50-37B824BE42C0}"/>
    <cellStyle name="40% - Accent5 2 5 2 3" xfId="12666" xr:uid="{2AA9FC8F-F598-4121-9205-0EDBE6E28EAB}"/>
    <cellStyle name="40% - Accent5 2 5 2 4" xfId="21107" xr:uid="{AB33D5EE-8984-4C52-81D6-3C858DCCE59A}"/>
    <cellStyle name="40% - Accent5 2 5 2 5" xfId="29547" xr:uid="{BF761AF7-C063-42B1-B6E7-1A4BA4555A51}"/>
    <cellStyle name="40% - Accent5 2 5 3" xfId="5412" xr:uid="{00000000-0005-0000-0000-000086060000}"/>
    <cellStyle name="40% - Accent5 2 5 3 2" xfId="14738" xr:uid="{F3B52721-0002-46D1-BC88-578513FA15B6}"/>
    <cellStyle name="40% - Accent5 2 5 3 3" xfId="23179" xr:uid="{B7512C7A-EBFB-45BB-88D9-8912398CE7BD}"/>
    <cellStyle name="40% - Accent5 2 5 3 4" xfId="31619" xr:uid="{933D27E8-8205-41D7-8CCD-70C305012780}"/>
    <cellStyle name="40% - Accent5 2 5 4" xfId="10521" xr:uid="{1513701A-1F80-499B-8ABA-A3102B1D562F}"/>
    <cellStyle name="40% - Accent5 2 5 5" xfId="18962" xr:uid="{57E95A90-0121-43D6-86AB-C432A4AB830C}"/>
    <cellStyle name="40% - Accent5 2 5 6" xfId="27402" xr:uid="{78E9CD48-D8BA-4501-ADD2-32734C92E128}"/>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98A69A65-99CD-48AA-8C81-43A26ACD792F}"/>
    <cellStyle name="40% - Accent5 2 6 2 2 3" xfId="25737" xr:uid="{73F17378-7A24-4E3E-B846-9B1D6B70C601}"/>
    <cellStyle name="40% - Accent5 2 6 2 2 4" xfId="34177" xr:uid="{FD87946A-C359-4456-A13F-200B15CB91DD}"/>
    <cellStyle name="40% - Accent5 2 6 2 3" xfId="13079" xr:uid="{5F5D9A3D-237C-4D6A-86BD-30F456865866}"/>
    <cellStyle name="40% - Accent5 2 6 2 4" xfId="21520" xr:uid="{A15F5326-6D52-41E5-97EB-402D12B30BD8}"/>
    <cellStyle name="40% - Accent5 2 6 2 5" xfId="29960" xr:uid="{B6D5DA74-507D-40D7-B725-0B9472852E84}"/>
    <cellStyle name="40% - Accent5 2 6 3" xfId="5825" xr:uid="{00000000-0005-0000-0000-00008A060000}"/>
    <cellStyle name="40% - Accent5 2 6 3 2" xfId="15151" xr:uid="{A85368AB-D91D-40E3-9B29-5813EBF2A950}"/>
    <cellStyle name="40% - Accent5 2 6 3 3" xfId="23592" xr:uid="{4DFEABE7-3157-4072-B267-A4608C66EBD0}"/>
    <cellStyle name="40% - Accent5 2 6 3 4" xfId="32032" xr:uid="{1F19950B-E571-4F25-84D3-4CA0F40FA05B}"/>
    <cellStyle name="40% - Accent5 2 6 4" xfId="10934" xr:uid="{9D326A02-3993-4F5F-A956-D811086A345A}"/>
    <cellStyle name="40% - Accent5 2 6 5" xfId="19375" xr:uid="{A080A5B2-EA92-4F2E-968C-1245927B41B5}"/>
    <cellStyle name="40% - Accent5 2 6 6" xfId="27815" xr:uid="{4D8E07AA-AEB3-4BB3-BBA7-14925082D8A9}"/>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08BBB268-2226-444B-B38D-C5763DDB111B}"/>
    <cellStyle name="40% - Accent5 2 7 2 2 3" xfId="26150" xr:uid="{38DD4C63-66A8-4D92-88BC-CDA45B35236B}"/>
    <cellStyle name="40% - Accent5 2 7 2 2 4" xfId="34590" xr:uid="{F43E7573-A091-4E02-82B4-CCAF8227559C}"/>
    <cellStyle name="40% - Accent5 2 7 2 3" xfId="13492" xr:uid="{5819C0DF-CD68-49CC-AE2A-0F4C3A8793DD}"/>
    <cellStyle name="40% - Accent5 2 7 2 4" xfId="21933" xr:uid="{81371EA4-A590-46E7-9FEF-6014C1B780C2}"/>
    <cellStyle name="40% - Accent5 2 7 2 5" xfId="30373" xr:uid="{47ED03B0-23F0-47F2-9032-66D67681E91C}"/>
    <cellStyle name="40% - Accent5 2 7 3" xfId="6238" xr:uid="{00000000-0005-0000-0000-00008E060000}"/>
    <cellStyle name="40% - Accent5 2 7 3 2" xfId="15564" xr:uid="{83D4F3D2-D90B-4DAA-95C7-6DC12695B4A6}"/>
    <cellStyle name="40% - Accent5 2 7 3 3" xfId="24005" xr:uid="{C6B6A1A7-8CC4-47F8-8C8F-344A06B19483}"/>
    <cellStyle name="40% - Accent5 2 7 3 4" xfId="32445" xr:uid="{1B2997F8-A095-45FF-9D99-A8ACC12812C2}"/>
    <cellStyle name="40% - Accent5 2 7 4" xfId="11347" xr:uid="{BB3D3833-1103-4EFD-A016-E68316484515}"/>
    <cellStyle name="40% - Accent5 2 7 5" xfId="19788" xr:uid="{9438C26E-720C-46D7-912F-FB68A8B4D45D}"/>
    <cellStyle name="40% - Accent5 2 7 6" xfId="28228" xr:uid="{20094C2E-0798-4C4D-B134-2AE9B3B83BDF}"/>
    <cellStyle name="40% - Accent5 2 8" xfId="2345" xr:uid="{00000000-0005-0000-0000-00008F060000}"/>
    <cellStyle name="40% - Accent5 2 8 2" xfId="6651" xr:uid="{00000000-0005-0000-0000-000090060000}"/>
    <cellStyle name="40% - Accent5 2 8 2 2" xfId="15977" xr:uid="{C7BBA03F-561E-4BC1-9C5B-59E119191009}"/>
    <cellStyle name="40% - Accent5 2 8 2 3" xfId="24418" xr:uid="{0D9A3A5C-0F22-4DA1-8404-98009743150B}"/>
    <cellStyle name="40% - Accent5 2 8 2 4" xfId="32858" xr:uid="{C89B53B1-5DED-4917-ADF2-1135725B1717}"/>
    <cellStyle name="40% - Accent5 2 8 3" xfId="11760" xr:uid="{D0829572-6C6F-4FDF-AEBA-5BE48E3C5129}"/>
    <cellStyle name="40% - Accent5 2 8 4" xfId="20201" xr:uid="{5312709F-3A75-48BD-9EE0-8FA758BC3D5D}"/>
    <cellStyle name="40% - Accent5 2 8 5" xfId="28641" xr:uid="{FB30BD91-511A-4604-B612-084688FCA926}"/>
    <cellStyle name="40% - Accent5 2 9" xfId="4585" xr:uid="{00000000-0005-0000-0000-000091060000}"/>
    <cellStyle name="40% - Accent5 2 9 2" xfId="13911" xr:uid="{F0C32815-1386-4593-AD57-D05F372AC2DB}"/>
    <cellStyle name="40% - Accent5 2 9 3" xfId="22352" xr:uid="{A05CCDEB-3030-4F44-B8BC-C18689AF4490}"/>
    <cellStyle name="40% - Accent5 2 9 4" xfId="30792" xr:uid="{E9AA4C86-DAD2-43B1-8FA8-10FB3393F7A5}"/>
    <cellStyle name="40% - Accent5 3" xfId="86" xr:uid="{00000000-0005-0000-0000-000092060000}"/>
    <cellStyle name="40% - Accent5 3 10" xfId="9698" xr:uid="{2B5584E6-4992-4917-98A4-EA833B6F42D4}"/>
    <cellStyle name="40% - Accent5 3 11" xfId="18139" xr:uid="{BA4F717A-500C-450D-B883-084701E210A9}"/>
    <cellStyle name="40% - Accent5 3 12" xfId="26579" xr:uid="{C1C6DBB8-5333-4ECC-8416-89A391ED2D98}"/>
    <cellStyle name="40% - Accent5 3 2" xfId="87" xr:uid="{00000000-0005-0000-0000-000093060000}"/>
    <cellStyle name="40% - Accent5 3 2 10" xfId="18140" xr:uid="{7FB2A83C-DD9A-4C72-8D01-3C93CDB4408E}"/>
    <cellStyle name="40% - Accent5 3 2 11" xfId="26580" xr:uid="{A134D65B-B4D1-43E7-ABCD-590E6FB379BB}"/>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3AC7E5B0-99C4-45FF-957F-628B10E30196}"/>
    <cellStyle name="40% - Accent5 3 2 2 2 2 3" xfId="24916" xr:uid="{BFD16799-7C0D-439C-A705-3A1201A59F00}"/>
    <cellStyle name="40% - Accent5 3 2 2 2 2 4" xfId="33356" xr:uid="{0BA91EE0-14A4-4394-8CCC-771B83B0E447}"/>
    <cellStyle name="40% - Accent5 3 2 2 2 3" xfId="12258" xr:uid="{4FF958A7-4FB1-4869-A1B9-1F2A5A58CE4B}"/>
    <cellStyle name="40% - Accent5 3 2 2 2 4" xfId="20699" xr:uid="{1B132879-DEF6-40CC-AC61-FEC16D281D4B}"/>
    <cellStyle name="40% - Accent5 3 2 2 2 5" xfId="29139" xr:uid="{D5F8946C-3582-4765-A5A4-9D78E8CC7444}"/>
    <cellStyle name="40% - Accent5 3 2 2 3" xfId="5004" xr:uid="{00000000-0005-0000-0000-000097060000}"/>
    <cellStyle name="40% - Accent5 3 2 2 3 2" xfId="14330" xr:uid="{BF189ABE-6AE1-4F13-9C08-100C7F0FAC50}"/>
    <cellStyle name="40% - Accent5 3 2 2 3 3" xfId="22771" xr:uid="{81C31264-BB88-41CA-9FE0-F07101AEE120}"/>
    <cellStyle name="40% - Accent5 3 2 2 3 4" xfId="31211" xr:uid="{3255B26B-8AD9-42F6-A18B-AB07CD943F55}"/>
    <cellStyle name="40% - Accent5 3 2 2 4" xfId="9502" xr:uid="{96903B0D-DCFE-4149-8088-461BCB03A73B}"/>
    <cellStyle name="40% - Accent5 3 2 2 5" xfId="10113" xr:uid="{C742146E-7227-48C3-BB3D-E0E9C2CA9E7A}"/>
    <cellStyle name="40% - Accent5 3 2 2 6" xfId="18554" xr:uid="{2A825F9E-A2FF-4F44-9713-83D11D7EEF8E}"/>
    <cellStyle name="40% - Accent5 3 2 2 7" xfId="26994" xr:uid="{BF5C8798-EA83-4DFD-9B2C-877A4E6E2EF3}"/>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EAA77DDE-A92D-48D0-8A64-8619F68D8DC7}"/>
    <cellStyle name="40% - Accent5 3 2 3 2 2 3" xfId="25329" xr:uid="{AC5DD1FE-4B52-42FB-9F44-D3FD7392F960}"/>
    <cellStyle name="40% - Accent5 3 2 3 2 2 4" xfId="33769" xr:uid="{B7234433-4C34-4F5A-B2AB-E5C90E6A17C8}"/>
    <cellStyle name="40% - Accent5 3 2 3 2 3" xfId="12671" xr:uid="{B3F321A4-CEB1-41F8-BA2A-63EEEA3AC9E4}"/>
    <cellStyle name="40% - Accent5 3 2 3 2 4" xfId="21112" xr:uid="{72DAF8E4-1F1D-4D10-8B36-B1BA6451C8D7}"/>
    <cellStyle name="40% - Accent5 3 2 3 2 5" xfId="29552" xr:uid="{6695AAE8-7314-4F5E-A2C5-59F064A83B6C}"/>
    <cellStyle name="40% - Accent5 3 2 3 3" xfId="5417" xr:uid="{00000000-0005-0000-0000-00009B060000}"/>
    <cellStyle name="40% - Accent5 3 2 3 3 2" xfId="14743" xr:uid="{2E3D9E60-D57F-42B2-8D91-CD6521CCC2B1}"/>
    <cellStyle name="40% - Accent5 3 2 3 3 3" xfId="23184" xr:uid="{86CC6FA1-830C-44E6-97E9-28DA9DFB0374}"/>
    <cellStyle name="40% - Accent5 3 2 3 3 4" xfId="31624" xr:uid="{5EDB7DC2-5ED1-40CA-BAFE-1AC6E7A6EC55}"/>
    <cellStyle name="40% - Accent5 3 2 3 4" xfId="10526" xr:uid="{610F1F86-80E9-462B-9331-50C14ED7CF10}"/>
    <cellStyle name="40% - Accent5 3 2 3 5" xfId="18967" xr:uid="{E2B8B925-2FA9-4BD9-AFFC-8CE7AFB36980}"/>
    <cellStyle name="40% - Accent5 3 2 3 6" xfId="27407" xr:uid="{33239626-C9CD-4B7D-8E50-65E4DC0A58B1}"/>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51D1910E-EA80-4703-89B2-FDAB46D76403}"/>
    <cellStyle name="40% - Accent5 3 2 4 2 2 3" xfId="25742" xr:uid="{5A6B51E3-7ED1-4204-AE8E-C5F757A9ADE9}"/>
    <cellStyle name="40% - Accent5 3 2 4 2 2 4" xfId="34182" xr:uid="{196E4C28-8A39-4563-8F78-B069EDDB6CB7}"/>
    <cellStyle name="40% - Accent5 3 2 4 2 3" xfId="13084" xr:uid="{98DB7453-C988-4BEF-B246-EDF883B47148}"/>
    <cellStyle name="40% - Accent5 3 2 4 2 4" xfId="21525" xr:uid="{CCE29926-10F7-4136-B7D1-87DBF00765BE}"/>
    <cellStyle name="40% - Accent5 3 2 4 2 5" xfId="29965" xr:uid="{E3AFC3BE-69BE-4419-A350-55EDA4A5F807}"/>
    <cellStyle name="40% - Accent5 3 2 4 3" xfId="5830" xr:uid="{00000000-0005-0000-0000-00009F060000}"/>
    <cellStyle name="40% - Accent5 3 2 4 3 2" xfId="15156" xr:uid="{C21BCE8C-AD42-43E5-8DB6-921E817183B6}"/>
    <cellStyle name="40% - Accent5 3 2 4 3 3" xfId="23597" xr:uid="{76962238-91FE-4C66-A079-9C035F075499}"/>
    <cellStyle name="40% - Accent5 3 2 4 3 4" xfId="32037" xr:uid="{21B06706-428F-4F61-A84D-091E6CE6DA5A}"/>
    <cellStyle name="40% - Accent5 3 2 4 4" xfId="10939" xr:uid="{21C4A8AF-8151-42B1-A941-EFEF6806E07D}"/>
    <cellStyle name="40% - Accent5 3 2 4 5" xfId="19380" xr:uid="{CDEA70F0-541C-4918-8F15-17584EB7DA23}"/>
    <cellStyle name="40% - Accent5 3 2 4 6" xfId="27820" xr:uid="{F87FAAC2-3586-4530-8513-2D0A94D0810A}"/>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5B4BC2C0-C83F-47BF-9EA3-C8C4B7F50755}"/>
    <cellStyle name="40% - Accent5 3 2 5 2 2 3" xfId="26155" xr:uid="{5CB5EDA4-4FB6-4C09-81D4-CBA3E85BE93F}"/>
    <cellStyle name="40% - Accent5 3 2 5 2 2 4" xfId="34595" xr:uid="{50C5B06D-735C-4424-9FE1-7EFA56FD8A38}"/>
    <cellStyle name="40% - Accent5 3 2 5 2 3" xfId="13497" xr:uid="{435F16E8-9A12-4C75-B58C-8EF46B5868FC}"/>
    <cellStyle name="40% - Accent5 3 2 5 2 4" xfId="21938" xr:uid="{C512238A-86C2-4816-AACC-2B77E36FB180}"/>
    <cellStyle name="40% - Accent5 3 2 5 2 5" xfId="30378" xr:uid="{19E6BBCF-BE87-4724-9994-F3D07109BE50}"/>
    <cellStyle name="40% - Accent5 3 2 5 3" xfId="6243" xr:uid="{00000000-0005-0000-0000-0000A3060000}"/>
    <cellStyle name="40% - Accent5 3 2 5 3 2" xfId="15569" xr:uid="{2D24BBCC-01CA-4CA3-8075-E56AB030F217}"/>
    <cellStyle name="40% - Accent5 3 2 5 3 3" xfId="24010" xr:uid="{C5512492-E836-4D1A-87A5-0C44606B1398}"/>
    <cellStyle name="40% - Accent5 3 2 5 3 4" xfId="32450" xr:uid="{FA4CB9AA-6580-4B21-9DD7-9437D0927A51}"/>
    <cellStyle name="40% - Accent5 3 2 5 4" xfId="11352" xr:uid="{E78E0B69-885E-4D68-B9B8-7B47685B0437}"/>
    <cellStyle name="40% - Accent5 3 2 5 5" xfId="19793" xr:uid="{3EC76547-A5F2-4800-9055-07D125A8A49E}"/>
    <cellStyle name="40% - Accent5 3 2 5 6" xfId="28233" xr:uid="{8392D834-B17F-47DD-9274-7FCA6EC48747}"/>
    <cellStyle name="40% - Accent5 3 2 6" xfId="2350" xr:uid="{00000000-0005-0000-0000-0000A4060000}"/>
    <cellStyle name="40% - Accent5 3 2 6 2" xfId="6656" xr:uid="{00000000-0005-0000-0000-0000A5060000}"/>
    <cellStyle name="40% - Accent5 3 2 6 2 2" xfId="15982" xr:uid="{5A134A3D-D5EE-436A-809A-B23265D35E5C}"/>
    <cellStyle name="40% - Accent5 3 2 6 2 3" xfId="24423" xr:uid="{B3ED7C61-4E26-425E-8DD0-EB9CD2C355E6}"/>
    <cellStyle name="40% - Accent5 3 2 6 2 4" xfId="32863" xr:uid="{9E11D493-567A-447E-AD34-CFE7A0308305}"/>
    <cellStyle name="40% - Accent5 3 2 6 3" xfId="11765" xr:uid="{382E40E1-EFAC-4A57-B773-DA7AADF9F958}"/>
    <cellStyle name="40% - Accent5 3 2 6 4" xfId="20206" xr:uid="{005D79D3-FC2C-4014-9F36-405D414FE675}"/>
    <cellStyle name="40% - Accent5 3 2 6 5" xfId="28646" xr:uid="{8777E65F-3297-41A1-A153-3F3F7C35F98A}"/>
    <cellStyle name="40% - Accent5 3 2 7" xfId="4590" xr:uid="{00000000-0005-0000-0000-0000A6060000}"/>
    <cellStyle name="40% - Accent5 3 2 7 2" xfId="13916" xr:uid="{F30CFDE7-0EF4-4EF6-9E79-24D118EA1A07}"/>
    <cellStyle name="40% - Accent5 3 2 7 3" xfId="22357" xr:uid="{812584D9-EFA5-4CB1-9CB7-9535E78C565F}"/>
    <cellStyle name="40% - Accent5 3 2 7 4" xfId="30797" xr:uid="{DCBE8359-0937-47C8-B873-69F0D4EF1020}"/>
    <cellStyle name="40% - Accent5 3 2 8" xfId="9077" xr:uid="{8842DD15-54E4-487D-B492-3A505722387C}"/>
    <cellStyle name="40% - Accent5 3 2 9" xfId="9699" xr:uid="{F08438D1-0104-4CC5-BF24-B2DC4938F78A}"/>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23FBFC6C-75B8-4A50-A045-7F8AD8CB2B36}"/>
    <cellStyle name="40% - Accent5 3 3 2 2 3" xfId="24915" xr:uid="{FAF2E1C3-4191-4CE7-8F3B-25AFFADA71C8}"/>
    <cellStyle name="40% - Accent5 3 3 2 2 4" xfId="33355" xr:uid="{385447D1-E823-4089-AB35-FB92B42D778A}"/>
    <cellStyle name="40% - Accent5 3 3 2 3" xfId="12257" xr:uid="{5BFBF889-8D6B-4864-BB18-8C6561934672}"/>
    <cellStyle name="40% - Accent5 3 3 2 4" xfId="20698" xr:uid="{FA26BF4A-FA98-4102-85D3-ABC666B2FCE0}"/>
    <cellStyle name="40% - Accent5 3 3 2 5" xfId="29138" xr:uid="{3B861C62-1367-4ABF-BED3-F1C94BE3D503}"/>
    <cellStyle name="40% - Accent5 3 3 3" xfId="5003" xr:uid="{00000000-0005-0000-0000-0000AA060000}"/>
    <cellStyle name="40% - Accent5 3 3 3 2" xfId="14329" xr:uid="{F5637849-D7B2-4707-87AD-1C56CC6B38BE}"/>
    <cellStyle name="40% - Accent5 3 3 3 3" xfId="22770" xr:uid="{6929D184-B692-460B-AF4F-4B046399B7A7}"/>
    <cellStyle name="40% - Accent5 3 3 3 4" xfId="31210" xr:uid="{CA90DEDE-1B66-46EB-8871-0AF6DF94B5E2}"/>
    <cellStyle name="40% - Accent5 3 3 4" xfId="9295" xr:uid="{0D42C89E-252E-426A-8E1F-7D3AD6B9FE55}"/>
    <cellStyle name="40% - Accent5 3 3 5" xfId="10112" xr:uid="{414BE0E2-D2C7-4B3A-BF1C-B15241D90C9D}"/>
    <cellStyle name="40% - Accent5 3 3 6" xfId="18553" xr:uid="{EDDA3F34-CF5D-4545-9112-2981A512FBB3}"/>
    <cellStyle name="40% - Accent5 3 3 7" xfId="26993" xr:uid="{CF9782D0-8F82-4B3C-A63F-0250E426D126}"/>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44B9878C-0AE4-4351-AE1A-E1D6085922C5}"/>
    <cellStyle name="40% - Accent5 3 4 2 2 3" xfId="25328" xr:uid="{0C2A63E3-F3B0-48B5-95B2-FC625DFFD1FC}"/>
    <cellStyle name="40% - Accent5 3 4 2 2 4" xfId="33768" xr:uid="{1C4898F6-DD92-4993-A5FA-60134940759F}"/>
    <cellStyle name="40% - Accent5 3 4 2 3" xfId="12670" xr:uid="{08EF20CB-5CDB-4315-A394-D658592AE12D}"/>
    <cellStyle name="40% - Accent5 3 4 2 4" xfId="21111" xr:uid="{DC3DC47F-7883-4124-A7F4-CB256FEB8D88}"/>
    <cellStyle name="40% - Accent5 3 4 2 5" xfId="29551" xr:uid="{E8DBEEBD-C8CC-45AD-849E-62DCBA9F33E7}"/>
    <cellStyle name="40% - Accent5 3 4 3" xfId="5416" xr:uid="{00000000-0005-0000-0000-0000AE060000}"/>
    <cellStyle name="40% - Accent5 3 4 3 2" xfId="14742" xr:uid="{316BEE96-83A3-4512-A68C-3DD163D327F0}"/>
    <cellStyle name="40% - Accent5 3 4 3 3" xfId="23183" xr:uid="{E316BF2A-BB28-42ED-856E-37EB171F2E15}"/>
    <cellStyle name="40% - Accent5 3 4 3 4" xfId="31623" xr:uid="{3D3FEB57-FBEF-495F-9C59-FF58EFC9B6C4}"/>
    <cellStyle name="40% - Accent5 3 4 4" xfId="10525" xr:uid="{9E890240-517D-4D0F-BDBE-8360A665C118}"/>
    <cellStyle name="40% - Accent5 3 4 5" xfId="18966" xr:uid="{050A2903-C557-444B-9893-D054E29476A8}"/>
    <cellStyle name="40% - Accent5 3 4 6" xfId="27406" xr:uid="{285B34B4-1A37-42FA-9359-07A2C7827F5F}"/>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BB2515A9-015C-4115-AED9-F5315F9A5564}"/>
    <cellStyle name="40% - Accent5 3 5 2 2 3" xfId="25741" xr:uid="{A836F0D9-948B-4B3A-AA64-72523A4B5774}"/>
    <cellStyle name="40% - Accent5 3 5 2 2 4" xfId="34181" xr:uid="{61221FB1-A98B-4521-AE75-748878B5E40A}"/>
    <cellStyle name="40% - Accent5 3 5 2 3" xfId="13083" xr:uid="{10B1488D-A15C-48BD-8328-25AF7EC7D004}"/>
    <cellStyle name="40% - Accent5 3 5 2 4" xfId="21524" xr:uid="{CAE4342B-1D98-4733-A89B-E7499CDD4D7B}"/>
    <cellStyle name="40% - Accent5 3 5 2 5" xfId="29964" xr:uid="{B7677230-13A3-4CE7-8B18-1F04D65C88BE}"/>
    <cellStyle name="40% - Accent5 3 5 3" xfId="5829" xr:uid="{00000000-0005-0000-0000-0000B2060000}"/>
    <cellStyle name="40% - Accent5 3 5 3 2" xfId="15155" xr:uid="{85CD3071-7526-490A-B996-EF888F9D8DE0}"/>
    <cellStyle name="40% - Accent5 3 5 3 3" xfId="23596" xr:uid="{E594D35F-9E0C-40CA-9FC3-6066C863D07A}"/>
    <cellStyle name="40% - Accent5 3 5 3 4" xfId="32036" xr:uid="{5CA912D3-61AE-40C6-B609-A75832E09076}"/>
    <cellStyle name="40% - Accent5 3 5 4" xfId="10938" xr:uid="{4244A929-21EE-4A63-8E18-ED482372348B}"/>
    <cellStyle name="40% - Accent5 3 5 5" xfId="19379" xr:uid="{BC227CDB-6D83-4783-ADC0-CDEE82E044A1}"/>
    <cellStyle name="40% - Accent5 3 5 6" xfId="27819" xr:uid="{7F3920BD-9DD8-4B94-9256-2D12C3981D82}"/>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2C40682F-62E5-4B21-8B95-D1B699800729}"/>
    <cellStyle name="40% - Accent5 3 6 2 2 3" xfId="26154" xr:uid="{450D4865-E7A4-43F4-B410-622B14013F29}"/>
    <cellStyle name="40% - Accent5 3 6 2 2 4" xfId="34594" xr:uid="{AC0B8C5F-9511-4F79-B750-AD91649F05F7}"/>
    <cellStyle name="40% - Accent5 3 6 2 3" xfId="13496" xr:uid="{0CDEB70C-BABC-4D0F-BBFD-D44487ED4D13}"/>
    <cellStyle name="40% - Accent5 3 6 2 4" xfId="21937" xr:uid="{538B2D24-2C19-4339-B4F3-D5FAEA4AF129}"/>
    <cellStyle name="40% - Accent5 3 6 2 5" xfId="30377" xr:uid="{8CF1C53A-D837-4658-8F57-05B3A0E73CA6}"/>
    <cellStyle name="40% - Accent5 3 6 3" xfId="6242" xr:uid="{00000000-0005-0000-0000-0000B6060000}"/>
    <cellStyle name="40% - Accent5 3 6 3 2" xfId="15568" xr:uid="{AC48B2A3-2CCE-4728-B10A-493546750A81}"/>
    <cellStyle name="40% - Accent5 3 6 3 3" xfId="24009" xr:uid="{63EE8AF9-BD74-4DD8-A166-C4916E5DFAE1}"/>
    <cellStyle name="40% - Accent5 3 6 3 4" xfId="32449" xr:uid="{3C6BBEE3-5A4F-424C-B91A-167DA42DAD5F}"/>
    <cellStyle name="40% - Accent5 3 6 4" xfId="11351" xr:uid="{B04178CA-FB78-4040-B004-681F1C37A5C2}"/>
    <cellStyle name="40% - Accent5 3 6 5" xfId="19792" xr:uid="{7888E7E6-0478-4F11-B1A9-F4ED42DDFACB}"/>
    <cellStyle name="40% - Accent5 3 6 6" xfId="28232" xr:uid="{6B047559-0DAD-4C35-8D2D-6FCF7764DC8E}"/>
    <cellStyle name="40% - Accent5 3 7" xfId="2349" xr:uid="{00000000-0005-0000-0000-0000B7060000}"/>
    <cellStyle name="40% - Accent5 3 7 2" xfId="6655" xr:uid="{00000000-0005-0000-0000-0000B8060000}"/>
    <cellStyle name="40% - Accent5 3 7 2 2" xfId="15981" xr:uid="{8D8B7B37-4DBE-4DAD-8AC8-5406646FC612}"/>
    <cellStyle name="40% - Accent5 3 7 2 3" xfId="24422" xr:uid="{748DD7CA-44CA-4E3D-92BF-A2326917548A}"/>
    <cellStyle name="40% - Accent5 3 7 2 4" xfId="32862" xr:uid="{1A5B4209-16C0-411E-A4F1-DA3DA10BA128}"/>
    <cellStyle name="40% - Accent5 3 7 3" xfId="11764" xr:uid="{37D50679-B961-4E2E-A487-B41E0DBE66E6}"/>
    <cellStyle name="40% - Accent5 3 7 4" xfId="20205" xr:uid="{0668EA7E-AC72-48D4-A18E-43325F093509}"/>
    <cellStyle name="40% - Accent5 3 7 5" xfId="28645" xr:uid="{D06EB0E2-81A6-40A2-A9C6-31359469855B}"/>
    <cellStyle name="40% - Accent5 3 8" xfId="4589" xr:uid="{00000000-0005-0000-0000-0000B9060000}"/>
    <cellStyle name="40% - Accent5 3 8 2" xfId="13915" xr:uid="{57590B1F-CF5C-4A3D-9DAA-AD49DCCCAB62}"/>
    <cellStyle name="40% - Accent5 3 8 3" xfId="22356" xr:uid="{AA51F8BB-AEA5-4D13-8874-AE5CD2FFD01E}"/>
    <cellStyle name="40% - Accent5 3 8 4" xfId="30796" xr:uid="{E838F626-68CA-497A-8138-8480549335E8}"/>
    <cellStyle name="40% - Accent5 3 9" xfId="8870" xr:uid="{F7DB5D96-1272-4D48-B3B6-48053CFCBA44}"/>
    <cellStyle name="40% - Accent5 4" xfId="88" xr:uid="{00000000-0005-0000-0000-0000BA060000}"/>
    <cellStyle name="40% - Accent5 4 10" xfId="18141" xr:uid="{4F8A803E-67F0-401C-812A-F997CE666A45}"/>
    <cellStyle name="40% - Accent5 4 11" xfId="26581" xr:uid="{80D8740D-FB40-4184-9BE1-D0E2823B6F2A}"/>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17A531B2-10C0-4AF3-B423-FE00D07D2039}"/>
    <cellStyle name="40% - Accent5 4 2 2 2 3" xfId="24917" xr:uid="{19A88A5F-7EEB-4CD7-8E67-BE3F8C95B147}"/>
    <cellStyle name="40% - Accent5 4 2 2 2 4" xfId="33357" xr:uid="{F12F5385-E817-4CD3-B5B6-984DA01687C3}"/>
    <cellStyle name="40% - Accent5 4 2 2 3" xfId="12259" xr:uid="{6B02A0C8-3513-4F88-A828-4B678208B1E6}"/>
    <cellStyle name="40% - Accent5 4 2 2 4" xfId="20700" xr:uid="{F7819F7B-7E70-49D3-A56F-AD27FC52C7E7}"/>
    <cellStyle name="40% - Accent5 4 2 2 5" xfId="29140" xr:uid="{202E39D4-AA14-4C0A-A304-E3680CFD4F23}"/>
    <cellStyle name="40% - Accent5 4 2 3" xfId="5005" xr:uid="{00000000-0005-0000-0000-0000BE060000}"/>
    <cellStyle name="40% - Accent5 4 2 3 2" xfId="14331" xr:uid="{D8E867E8-31B1-4257-95CE-61D71CE9641A}"/>
    <cellStyle name="40% - Accent5 4 2 3 3" xfId="22772" xr:uid="{C59D8F54-D21F-47A6-BCB2-F22076C3A7A0}"/>
    <cellStyle name="40% - Accent5 4 2 3 4" xfId="31212" xr:uid="{79756F42-2377-4559-A63B-4A8FB91EC32F}"/>
    <cellStyle name="40% - Accent5 4 2 4" xfId="9381" xr:uid="{6D86932C-AFC4-4FF0-967D-0F56E90E02E1}"/>
    <cellStyle name="40% - Accent5 4 2 5" xfId="10114" xr:uid="{72D25E98-A651-4CBF-8280-1F14E926FE40}"/>
    <cellStyle name="40% - Accent5 4 2 6" xfId="18555" xr:uid="{E2F2B663-25CB-4839-8C42-0C24C8FB388F}"/>
    <cellStyle name="40% - Accent5 4 2 7" xfId="26995" xr:uid="{B527DA87-FADC-4357-B5AF-5808DCB52E9F}"/>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67BAE366-7E76-4753-8DCB-5A94E52EA1EC}"/>
    <cellStyle name="40% - Accent5 4 3 2 2 3" xfId="25330" xr:uid="{599BB662-CAE3-4CCF-A63C-350DAA0B8C95}"/>
    <cellStyle name="40% - Accent5 4 3 2 2 4" xfId="33770" xr:uid="{893E64E6-5159-4A06-A9F3-11BEB0908079}"/>
    <cellStyle name="40% - Accent5 4 3 2 3" xfId="12672" xr:uid="{98E1A1AC-0BD0-4BD3-9CD1-9A4B3209F0C0}"/>
    <cellStyle name="40% - Accent5 4 3 2 4" xfId="21113" xr:uid="{CD4196F9-80A7-451C-BABA-D0790936D455}"/>
    <cellStyle name="40% - Accent5 4 3 2 5" xfId="29553" xr:uid="{42DDD487-C3EE-44F2-945F-5B3EBF771450}"/>
    <cellStyle name="40% - Accent5 4 3 3" xfId="5418" xr:uid="{00000000-0005-0000-0000-0000C2060000}"/>
    <cellStyle name="40% - Accent5 4 3 3 2" xfId="14744" xr:uid="{2D9806B4-4355-4250-812C-EED96BF40203}"/>
    <cellStyle name="40% - Accent5 4 3 3 3" xfId="23185" xr:uid="{2EBE8FA6-755E-4F14-B9E3-10700F3FF4F5}"/>
    <cellStyle name="40% - Accent5 4 3 3 4" xfId="31625" xr:uid="{2BCB720B-7627-4EC2-B744-8E7D8B270AEA}"/>
    <cellStyle name="40% - Accent5 4 3 4" xfId="10527" xr:uid="{A26B27BC-3B31-465B-B19C-04CC72FF6EC5}"/>
    <cellStyle name="40% - Accent5 4 3 5" xfId="18968" xr:uid="{0A4979B7-5EFB-4B4D-AD11-3DF3B8BDD227}"/>
    <cellStyle name="40% - Accent5 4 3 6" xfId="27408" xr:uid="{976F1464-6AA5-4C0C-9888-5B6D9880DC2F}"/>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1A6C501D-CE17-40D6-B634-8CADAD7FDA44}"/>
    <cellStyle name="40% - Accent5 4 4 2 2 3" xfId="25743" xr:uid="{98C86765-4A1A-443E-93D7-C137CD2EFC3A}"/>
    <cellStyle name="40% - Accent5 4 4 2 2 4" xfId="34183" xr:uid="{14DFEDD2-7F71-4799-8CF0-548389AC4682}"/>
    <cellStyle name="40% - Accent5 4 4 2 3" xfId="13085" xr:uid="{67A81491-DD8C-4B10-B763-DEAD6D0A19BF}"/>
    <cellStyle name="40% - Accent5 4 4 2 4" xfId="21526" xr:uid="{A91975F8-2EC4-4466-924B-B5C2C24676B3}"/>
    <cellStyle name="40% - Accent5 4 4 2 5" xfId="29966" xr:uid="{4A33436A-78F0-4978-8C6B-D888D86DC8DB}"/>
    <cellStyle name="40% - Accent5 4 4 3" xfId="5831" xr:uid="{00000000-0005-0000-0000-0000C6060000}"/>
    <cellStyle name="40% - Accent5 4 4 3 2" xfId="15157" xr:uid="{FEB53746-D3AF-4FB1-84D4-A3BA293B8D1A}"/>
    <cellStyle name="40% - Accent5 4 4 3 3" xfId="23598" xr:uid="{A99D8717-A3E9-4C16-846B-3C053F71909F}"/>
    <cellStyle name="40% - Accent5 4 4 3 4" xfId="32038" xr:uid="{19B0CB2A-13F6-4F6F-B8D6-5ABC1FBE98A8}"/>
    <cellStyle name="40% - Accent5 4 4 4" xfId="10940" xr:uid="{A9E222B6-7BAC-44F8-BC9A-E27AF517C912}"/>
    <cellStyle name="40% - Accent5 4 4 5" xfId="19381" xr:uid="{2C342F13-90E4-4AB6-97B7-9143E2474C0E}"/>
    <cellStyle name="40% - Accent5 4 4 6" xfId="27821" xr:uid="{D853AD8F-AE64-4B50-956E-A36980AD9A52}"/>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9F892090-295C-441F-B4FB-DC265BE989C3}"/>
    <cellStyle name="40% - Accent5 4 5 2 2 3" xfId="26156" xr:uid="{A20284D7-E27F-44F5-9940-ED90280F63D2}"/>
    <cellStyle name="40% - Accent5 4 5 2 2 4" xfId="34596" xr:uid="{1860F944-C48C-4F95-A01A-ADEAF6F1ED41}"/>
    <cellStyle name="40% - Accent5 4 5 2 3" xfId="13498" xr:uid="{F6C802A0-6933-4AE6-96CB-26C0CFB81F7B}"/>
    <cellStyle name="40% - Accent5 4 5 2 4" xfId="21939" xr:uid="{24750440-3BD2-4188-8B98-CDED3500F453}"/>
    <cellStyle name="40% - Accent5 4 5 2 5" xfId="30379" xr:uid="{98D18218-E037-42E8-BCD0-CD1011466DCC}"/>
    <cellStyle name="40% - Accent5 4 5 3" xfId="6244" xr:uid="{00000000-0005-0000-0000-0000CA060000}"/>
    <cellStyle name="40% - Accent5 4 5 3 2" xfId="15570" xr:uid="{2D8322A0-E43F-470E-9AAC-8B0298523139}"/>
    <cellStyle name="40% - Accent5 4 5 3 3" xfId="24011" xr:uid="{697E72B7-A22D-4ECD-B585-6625727F93B2}"/>
    <cellStyle name="40% - Accent5 4 5 3 4" xfId="32451" xr:uid="{FC630FD0-94C0-458A-B8AE-7C48B04BBB8A}"/>
    <cellStyle name="40% - Accent5 4 5 4" xfId="11353" xr:uid="{21AF57C3-A816-499C-8592-AC236914F966}"/>
    <cellStyle name="40% - Accent5 4 5 5" xfId="19794" xr:uid="{9F67D8EB-DAB9-413C-A311-C7A3BB1F50D1}"/>
    <cellStyle name="40% - Accent5 4 5 6" xfId="28234" xr:uid="{4539CAF3-32A2-4F17-9948-18C5D9CC7DE4}"/>
    <cellStyle name="40% - Accent5 4 6" xfId="2351" xr:uid="{00000000-0005-0000-0000-0000CB060000}"/>
    <cellStyle name="40% - Accent5 4 6 2" xfId="6657" xr:uid="{00000000-0005-0000-0000-0000CC060000}"/>
    <cellStyle name="40% - Accent5 4 6 2 2" xfId="15983" xr:uid="{DDD379FC-8050-4FAB-813D-C1908DCA39C4}"/>
    <cellStyle name="40% - Accent5 4 6 2 3" xfId="24424" xr:uid="{87A14BBD-4E81-4EAF-8E85-3752F3C469AF}"/>
    <cellStyle name="40% - Accent5 4 6 2 4" xfId="32864" xr:uid="{7C19D193-8036-49A1-A97A-C6921CC4E3D0}"/>
    <cellStyle name="40% - Accent5 4 6 3" xfId="11766" xr:uid="{A798789D-7134-42D0-8B52-CE4D579F4CA3}"/>
    <cellStyle name="40% - Accent5 4 6 4" xfId="20207" xr:uid="{D0056901-7B0D-4E58-AC44-BD905826252A}"/>
    <cellStyle name="40% - Accent5 4 6 5" xfId="28647" xr:uid="{D045F2DA-5CA1-47E2-8102-235E1F7FADB7}"/>
    <cellStyle name="40% - Accent5 4 7" xfId="4591" xr:uid="{00000000-0005-0000-0000-0000CD060000}"/>
    <cellStyle name="40% - Accent5 4 7 2" xfId="13917" xr:uid="{75EBAF32-0A8E-4516-AF4F-42B4B4C24025}"/>
    <cellStyle name="40% - Accent5 4 7 3" xfId="22358" xr:uid="{83A86035-5025-4F84-B580-BC5A018F297C}"/>
    <cellStyle name="40% - Accent5 4 7 4" xfId="30798" xr:uid="{D9F295B2-70D7-4B27-9EFC-56F52DF7CB0D}"/>
    <cellStyle name="40% - Accent5 4 8" xfId="8956" xr:uid="{20EBAEFE-DF5E-4B38-878B-CDA5BD3DABC1}"/>
    <cellStyle name="40% - Accent5 4 9" xfId="9700" xr:uid="{276C1BC2-5551-4E65-BB05-5DD134D7E8CE}"/>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1F4E7F7E-848D-45A1-8DC3-E14FFDF93727}"/>
    <cellStyle name="40% - Accent5 5 2 2 3" xfId="24910" xr:uid="{B796F36C-F579-4BA6-83F3-F5AEC5000389}"/>
    <cellStyle name="40% - Accent5 5 2 2 4" xfId="33350" xr:uid="{7F64B94F-C173-4103-988B-327D0ACF6575}"/>
    <cellStyle name="40% - Accent5 5 2 3" xfId="12252" xr:uid="{95BE4C55-58BF-4BC8-A02F-08134E4BC424}"/>
    <cellStyle name="40% - Accent5 5 2 4" xfId="20693" xr:uid="{4804E10C-2FB5-4392-A61E-002CAEFBC39A}"/>
    <cellStyle name="40% - Accent5 5 2 5" xfId="29133" xr:uid="{DDC4E1E3-10CD-4827-BD5E-55C1138AB17B}"/>
    <cellStyle name="40% - Accent5 5 3" xfId="4998" xr:uid="{00000000-0005-0000-0000-0000D1060000}"/>
    <cellStyle name="40% - Accent5 5 3 2" xfId="14324" xr:uid="{475FA69E-2FEE-47BA-A2AB-ADC388B8080D}"/>
    <cellStyle name="40% - Accent5 5 3 3" xfId="22765" xr:uid="{223FE9EB-87CB-49F1-9B69-2B9AEC72CD7A}"/>
    <cellStyle name="40% - Accent5 5 3 4" xfId="31205" xr:uid="{AA44B4D8-FB22-4A8F-BB4A-23B29A2B07C0}"/>
    <cellStyle name="40% - Accent5 5 4" xfId="9189" xr:uid="{AE9A155E-B06B-4FF1-8984-8F7810581B15}"/>
    <cellStyle name="40% - Accent5 5 5" xfId="10107" xr:uid="{27317469-8978-434B-8594-8BBC769D2F08}"/>
    <cellStyle name="40% - Accent5 5 6" xfId="18548" xr:uid="{BAD76DE1-9E7E-4046-A50C-81E2C2074908}"/>
    <cellStyle name="40% - Accent5 5 7" xfId="26988" xr:uid="{C7656CF3-363B-402A-9DFC-2B6CCC5C8C3E}"/>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F2927C98-732C-4A53-8018-73B2BA5E2A34}"/>
    <cellStyle name="40% - Accent5 6 2 2 3" xfId="25323" xr:uid="{EE0FEB0F-E8F9-4DCA-A4D0-7CA7538F233C}"/>
    <cellStyle name="40% - Accent5 6 2 2 4" xfId="33763" xr:uid="{1F6A6B49-8898-448F-B5B1-446BBCD96616}"/>
    <cellStyle name="40% - Accent5 6 2 3" xfId="12665" xr:uid="{25D11068-7847-4342-8B61-1E2510DCC1D4}"/>
    <cellStyle name="40% - Accent5 6 2 4" xfId="21106" xr:uid="{70954AAB-77B5-4702-AB9A-467B19FB2CDE}"/>
    <cellStyle name="40% - Accent5 6 2 5" xfId="29546" xr:uid="{E3714519-307F-4B68-B853-097D073717E6}"/>
    <cellStyle name="40% - Accent5 6 3" xfId="5411" xr:uid="{00000000-0005-0000-0000-0000D5060000}"/>
    <cellStyle name="40% - Accent5 6 3 2" xfId="14737" xr:uid="{4DB83B2D-BB12-4BBD-88A0-73354D0CC8AD}"/>
    <cellStyle name="40% - Accent5 6 3 3" xfId="23178" xr:uid="{0B28D2D4-A25E-458E-8B09-E9F980ECC6BB}"/>
    <cellStyle name="40% - Accent5 6 3 4" xfId="31618" xr:uid="{0BAD5706-42FD-426B-95F2-50C7EEC668F7}"/>
    <cellStyle name="40% - Accent5 6 4" xfId="10520" xr:uid="{2A30E8BA-0973-4919-BBEC-82B9839F3456}"/>
    <cellStyle name="40% - Accent5 6 5" xfId="18961" xr:uid="{FD374393-37E2-40B8-9F6A-A09867BECB69}"/>
    <cellStyle name="40% - Accent5 6 6" xfId="27401" xr:uid="{3C847066-99B9-4B89-B375-12872DF75319}"/>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4A308837-E5F0-4BC3-BB6F-28B2FDC12F7D}"/>
    <cellStyle name="40% - Accent5 7 2 2 3" xfId="25736" xr:uid="{2DD571DA-A03B-45F1-A794-4AD97FB29222}"/>
    <cellStyle name="40% - Accent5 7 2 2 4" xfId="34176" xr:uid="{561AC093-9DFD-4248-A8F0-A1D56299606B}"/>
    <cellStyle name="40% - Accent5 7 2 3" xfId="13078" xr:uid="{66F0A1EE-F75D-4759-9656-1E87CCC72914}"/>
    <cellStyle name="40% - Accent5 7 2 4" xfId="21519" xr:uid="{5D3C6D49-DF39-4253-BA46-5F6114C2E20B}"/>
    <cellStyle name="40% - Accent5 7 2 5" xfId="29959" xr:uid="{B8923954-20D8-4D98-B706-A2510D1B66D2}"/>
    <cellStyle name="40% - Accent5 7 3" xfId="5824" xr:uid="{00000000-0005-0000-0000-0000D9060000}"/>
    <cellStyle name="40% - Accent5 7 3 2" xfId="15150" xr:uid="{FC4515FB-369F-4735-A657-2E4F09627D03}"/>
    <cellStyle name="40% - Accent5 7 3 3" xfId="23591" xr:uid="{9CEEC97B-3802-4701-B4D4-6D8D2988BF41}"/>
    <cellStyle name="40% - Accent5 7 3 4" xfId="32031" xr:uid="{5ACF643A-2D00-4E9B-9002-9214B1F96D25}"/>
    <cellStyle name="40% - Accent5 7 4" xfId="10933" xr:uid="{04BFE3C5-CFF6-43A9-9CD9-0CC302FF4FE0}"/>
    <cellStyle name="40% - Accent5 7 5" xfId="19374" xr:uid="{E8D603B3-67CE-49EC-B288-7E3FCBE2D077}"/>
    <cellStyle name="40% - Accent5 7 6" xfId="27814" xr:uid="{EC939A23-1D40-4F06-8047-92ECF750222C}"/>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2143F1CD-93FC-4B51-B357-9A10FC1CE766}"/>
    <cellStyle name="40% - Accent5 8 2 2 3" xfId="26149" xr:uid="{5E563CEB-812E-476E-9F8A-3F3CCCA4CB72}"/>
    <cellStyle name="40% - Accent5 8 2 2 4" xfId="34589" xr:uid="{2CD8CD0B-BCE1-4244-988A-2983A1AADB2B}"/>
    <cellStyle name="40% - Accent5 8 2 3" xfId="13491" xr:uid="{0D20AF42-8774-4588-A6D3-27C05E67D14E}"/>
    <cellStyle name="40% - Accent5 8 2 4" xfId="21932" xr:uid="{B9E845D9-8456-4382-8262-FC176174F2B7}"/>
    <cellStyle name="40% - Accent5 8 2 5" xfId="30372" xr:uid="{E8C93A7B-33BF-475B-BC4A-105E30E5CCE1}"/>
    <cellStyle name="40% - Accent5 8 3" xfId="6237" xr:uid="{00000000-0005-0000-0000-0000DD060000}"/>
    <cellStyle name="40% - Accent5 8 3 2" xfId="15563" xr:uid="{28B88BF2-C10F-4D9B-BD48-215E800A5181}"/>
    <cellStyle name="40% - Accent5 8 3 3" xfId="24004" xr:uid="{6A40F37E-654C-4AA1-9403-0037EF594612}"/>
    <cellStyle name="40% - Accent5 8 3 4" xfId="32444" xr:uid="{7EBE3BB3-683E-4280-B635-80D066A42591}"/>
    <cellStyle name="40% - Accent5 8 4" xfId="11346" xr:uid="{D79208C9-DC75-48FA-96D9-660F64B21AF5}"/>
    <cellStyle name="40% - Accent5 8 5" xfId="19787" xr:uid="{7F7E72E7-F1B8-4C2F-94A6-BB409B1CA26B}"/>
    <cellStyle name="40% - Accent5 8 6" xfId="28227" xr:uid="{CD3067A4-E4FB-4BF9-B8AC-F2C42DC2D28D}"/>
    <cellStyle name="40% - Accent5 9" xfId="2344" xr:uid="{00000000-0005-0000-0000-0000DE060000}"/>
    <cellStyle name="40% - Accent5 9 2" xfId="6650" xr:uid="{00000000-0005-0000-0000-0000DF060000}"/>
    <cellStyle name="40% - Accent5 9 2 2" xfId="15976" xr:uid="{2A017ED0-3931-4869-952F-54E2C591CF4C}"/>
    <cellStyle name="40% - Accent5 9 2 3" xfId="24417" xr:uid="{14FAA5E5-5DBE-4B1D-BFEC-7F18BD9B0629}"/>
    <cellStyle name="40% - Accent5 9 2 4" xfId="32857" xr:uid="{6FA23615-E7D5-43C7-9060-979CAED551B7}"/>
    <cellStyle name="40% - Accent5 9 3" xfId="11759" xr:uid="{55EFD619-CE4D-4DDE-B572-D01C69A4B0B0}"/>
    <cellStyle name="40% - Accent5 9 4" xfId="20200" xr:uid="{120E05A1-988E-47B6-AD45-ADF1C1998565}"/>
    <cellStyle name="40% - Accent5 9 5" xfId="28640" xr:uid="{1070F590-7257-482E-B07E-E040E895FF6C}"/>
    <cellStyle name="40% - Accent6" xfId="89" builtinId="51" customBuiltin="1"/>
    <cellStyle name="40% - Accent6 10" xfId="4592" xr:uid="{00000000-0005-0000-0000-0000E1060000}"/>
    <cellStyle name="40% - Accent6 10 2" xfId="13918" xr:uid="{25FEF6FC-DF05-4843-B913-5D7BF4EF776D}"/>
    <cellStyle name="40% - Accent6 10 3" xfId="22359" xr:uid="{7089DE89-F178-49EC-A3A9-29781DD4BD9C}"/>
    <cellStyle name="40% - Accent6 10 4" xfId="30799" xr:uid="{158D57D9-CEAE-4C34-A43C-76223EF69729}"/>
    <cellStyle name="40% - Accent6 11" xfId="8769" xr:uid="{8369FE49-3815-490F-BF3A-3BEB88E35DFA}"/>
    <cellStyle name="40% - Accent6 12" xfId="9701" xr:uid="{32C02DDF-4756-4642-A93F-7FD23B7C492B}"/>
    <cellStyle name="40% - Accent6 13" xfId="18142" xr:uid="{5853555F-D22F-4208-93C8-9F8E4674E75C}"/>
    <cellStyle name="40% - Accent6 14" xfId="26582" xr:uid="{4A9F662D-C80B-4FDE-9031-A7FECF0FF28E}"/>
    <cellStyle name="40% - Accent6 2" xfId="90" xr:uid="{00000000-0005-0000-0000-0000E2060000}"/>
    <cellStyle name="40% - Accent6 2 10" xfId="8803" xr:uid="{3530B69D-EB1D-41EA-A6FB-440FE4FE29AB}"/>
    <cellStyle name="40% - Accent6 2 11" xfId="9702" xr:uid="{F2222B0E-B1B0-430D-B3D2-F9C5FEDF7344}"/>
    <cellStyle name="40% - Accent6 2 12" xfId="18143" xr:uid="{0DF73C56-AA36-4D83-99F4-5B5F7F461DFC}"/>
    <cellStyle name="40% - Accent6 2 13" xfId="26583" xr:uid="{1F3326C9-B1AE-4AB7-9DCF-6E22C0A7F178}"/>
    <cellStyle name="40% - Accent6 2 2" xfId="91" xr:uid="{00000000-0005-0000-0000-0000E3060000}"/>
    <cellStyle name="40% - Accent6 2 2 10" xfId="9703" xr:uid="{1BFB52C8-14EA-4D25-937C-27B6C0D2D838}"/>
    <cellStyle name="40% - Accent6 2 2 11" xfId="18144" xr:uid="{2EC4951A-7348-4D2D-B50A-5B7E917D5910}"/>
    <cellStyle name="40% - Accent6 2 2 12" xfId="26584" xr:uid="{15BF5160-FBF3-4927-BB7F-E94B909404FB}"/>
    <cellStyle name="40% - Accent6 2 2 2" xfId="92" xr:uid="{00000000-0005-0000-0000-0000E4060000}"/>
    <cellStyle name="40% - Accent6 2 2 2 10" xfId="18145" xr:uid="{C2444C48-0637-4705-AF80-353E4B2FAE80}"/>
    <cellStyle name="40% - Accent6 2 2 2 11" xfId="26585" xr:uid="{A05DE828-399E-424A-A50A-AB0E77E82253}"/>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7C5CE775-9E06-48E6-900A-3A4CB2008A29}"/>
    <cellStyle name="40% - Accent6 2 2 2 2 2 2 3" xfId="24921" xr:uid="{94567B99-229B-4AC0-9D8C-AD8B565D042C}"/>
    <cellStyle name="40% - Accent6 2 2 2 2 2 2 4" xfId="33361" xr:uid="{053E9B20-E923-472E-8C61-B4C15702C180}"/>
    <cellStyle name="40% - Accent6 2 2 2 2 2 3" xfId="12263" xr:uid="{72541E06-F092-4A69-BC03-1C361953EA4E}"/>
    <cellStyle name="40% - Accent6 2 2 2 2 2 4" xfId="20704" xr:uid="{123DCAE6-1963-4D49-8654-E231A6E6F596}"/>
    <cellStyle name="40% - Accent6 2 2 2 2 2 5" xfId="29144" xr:uid="{7525BD0E-CB10-4780-97EE-A895BE051E32}"/>
    <cellStyle name="40% - Accent6 2 2 2 2 3" xfId="5009" xr:uid="{00000000-0005-0000-0000-0000E8060000}"/>
    <cellStyle name="40% - Accent6 2 2 2 2 3 2" xfId="14335" xr:uid="{6F58700E-C971-4ACD-84AF-CE3288DE746F}"/>
    <cellStyle name="40% - Accent6 2 2 2 2 3 3" xfId="22776" xr:uid="{C98170D6-28C8-4919-94E4-37B90AA70E06}"/>
    <cellStyle name="40% - Accent6 2 2 2 2 3 4" xfId="31216" xr:uid="{3CCDAA68-AC11-452F-8BD9-9B9A4B226EB7}"/>
    <cellStyle name="40% - Accent6 2 2 2 2 4" xfId="9538" xr:uid="{D1801D0B-FDF1-4C59-8DE2-DEC53081BC5D}"/>
    <cellStyle name="40% - Accent6 2 2 2 2 5" xfId="10118" xr:uid="{5898EACA-42F3-4580-8C5E-8EA1C6A5443C}"/>
    <cellStyle name="40% - Accent6 2 2 2 2 6" xfId="18559" xr:uid="{D4D55D97-1DBB-40E5-9FD1-D12336898C30}"/>
    <cellStyle name="40% - Accent6 2 2 2 2 7" xfId="26999" xr:uid="{C4102DED-4719-4AED-A118-3C739F66B7C5}"/>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C9BD2AD8-1B1B-43DC-B161-5B39E3D02820}"/>
    <cellStyle name="40% - Accent6 2 2 2 3 2 2 3" xfId="25334" xr:uid="{472A8EB8-8053-4180-A565-708BE396DC65}"/>
    <cellStyle name="40% - Accent6 2 2 2 3 2 2 4" xfId="33774" xr:uid="{B227A000-BFF0-4A1B-919E-43FF3D5D52DC}"/>
    <cellStyle name="40% - Accent6 2 2 2 3 2 3" xfId="12676" xr:uid="{06374214-0BDA-44B0-8DFD-F1415E69AC4B}"/>
    <cellStyle name="40% - Accent6 2 2 2 3 2 4" xfId="21117" xr:uid="{D2A57AD7-AB88-4382-A9A6-EB9CFDD0D2A6}"/>
    <cellStyle name="40% - Accent6 2 2 2 3 2 5" xfId="29557" xr:uid="{E13A8904-8D4F-4B49-AFE9-A21F501A9B4A}"/>
    <cellStyle name="40% - Accent6 2 2 2 3 3" xfId="5422" xr:uid="{00000000-0005-0000-0000-0000EC060000}"/>
    <cellStyle name="40% - Accent6 2 2 2 3 3 2" xfId="14748" xr:uid="{A6E0043C-AC96-4086-9E93-75A1408E4C91}"/>
    <cellStyle name="40% - Accent6 2 2 2 3 3 3" xfId="23189" xr:uid="{6395AAC4-752B-4EDB-979E-36E4763B6D61}"/>
    <cellStyle name="40% - Accent6 2 2 2 3 3 4" xfId="31629" xr:uid="{BF372881-9697-48ED-A604-F4626703CBC0}"/>
    <cellStyle name="40% - Accent6 2 2 2 3 4" xfId="10531" xr:uid="{AF8C2853-B996-4BA6-B9BC-ADBBBEC89213}"/>
    <cellStyle name="40% - Accent6 2 2 2 3 5" xfId="18972" xr:uid="{85D35984-48DA-4878-A19A-F1A0975CA973}"/>
    <cellStyle name="40% - Accent6 2 2 2 3 6" xfId="27412" xr:uid="{31F000D2-2973-4C0B-9CBF-96F1E405E193}"/>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DFD36546-795B-447E-BB27-DFA92B85DF10}"/>
    <cellStyle name="40% - Accent6 2 2 2 4 2 2 3" xfId="25747" xr:uid="{49AFE38F-5E80-497C-8792-62BD3CF857F6}"/>
    <cellStyle name="40% - Accent6 2 2 2 4 2 2 4" xfId="34187" xr:uid="{C64A9C32-4A83-46A9-B69E-3139A4419077}"/>
    <cellStyle name="40% - Accent6 2 2 2 4 2 3" xfId="13089" xr:uid="{86FAB6B5-D402-4605-945A-9AE50822151D}"/>
    <cellStyle name="40% - Accent6 2 2 2 4 2 4" xfId="21530" xr:uid="{A3837A29-1C0D-40CA-9AF0-68C4B8C47FCC}"/>
    <cellStyle name="40% - Accent6 2 2 2 4 2 5" xfId="29970" xr:uid="{F5EEF70C-4217-4DEA-96D5-6086CE3BF27D}"/>
    <cellStyle name="40% - Accent6 2 2 2 4 3" xfId="5835" xr:uid="{00000000-0005-0000-0000-0000F0060000}"/>
    <cellStyle name="40% - Accent6 2 2 2 4 3 2" xfId="15161" xr:uid="{8093BCF6-6A2F-4DD1-8DC8-30E53538A4D1}"/>
    <cellStyle name="40% - Accent6 2 2 2 4 3 3" xfId="23602" xr:uid="{4DBE6830-3250-4EC5-B790-E834C19E5D56}"/>
    <cellStyle name="40% - Accent6 2 2 2 4 3 4" xfId="32042" xr:uid="{31CEF2BF-3B6F-4B35-862E-0AACA8F14446}"/>
    <cellStyle name="40% - Accent6 2 2 2 4 4" xfId="10944" xr:uid="{6DC16092-769A-4A9E-B02C-8C582C3C4563}"/>
    <cellStyle name="40% - Accent6 2 2 2 4 5" xfId="19385" xr:uid="{B2912E59-6A64-4AE7-B4DB-C090C754AFFF}"/>
    <cellStyle name="40% - Accent6 2 2 2 4 6" xfId="27825" xr:uid="{E15D183F-0A32-4B85-A7B5-248A22862A14}"/>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C241CAAC-7DE5-4374-9C23-685A2E622CEB}"/>
    <cellStyle name="40% - Accent6 2 2 2 5 2 2 3" xfId="26160" xr:uid="{4356B281-7786-4CEE-A1BB-AB428064ABDF}"/>
    <cellStyle name="40% - Accent6 2 2 2 5 2 2 4" xfId="34600" xr:uid="{9595344F-2330-44E5-998B-2CFCFE32D08C}"/>
    <cellStyle name="40% - Accent6 2 2 2 5 2 3" xfId="13502" xr:uid="{022F04D4-294D-427B-B4D9-433D33FB1D76}"/>
    <cellStyle name="40% - Accent6 2 2 2 5 2 4" xfId="21943" xr:uid="{FFCD9F13-AE17-4A11-B29A-4A72F1FD2B97}"/>
    <cellStyle name="40% - Accent6 2 2 2 5 2 5" xfId="30383" xr:uid="{13BC9BEF-F3E9-41A6-BDBA-CD6A0616B07B}"/>
    <cellStyle name="40% - Accent6 2 2 2 5 3" xfId="6248" xr:uid="{00000000-0005-0000-0000-0000F4060000}"/>
    <cellStyle name="40% - Accent6 2 2 2 5 3 2" xfId="15574" xr:uid="{A595FF1A-7978-40BC-AC66-A2B78F823712}"/>
    <cellStyle name="40% - Accent6 2 2 2 5 3 3" xfId="24015" xr:uid="{9C4BEBD6-1E4C-4EC5-AC02-94FE82DF4C47}"/>
    <cellStyle name="40% - Accent6 2 2 2 5 3 4" xfId="32455" xr:uid="{287B526A-860F-47AF-8A14-C4B63E6E4A26}"/>
    <cellStyle name="40% - Accent6 2 2 2 5 4" xfId="11357" xr:uid="{AB8A1113-0753-4C61-A82B-48561D3C994D}"/>
    <cellStyle name="40% - Accent6 2 2 2 5 5" xfId="19798" xr:uid="{70257558-6A3B-41FD-ABF5-3769B8FC166D}"/>
    <cellStyle name="40% - Accent6 2 2 2 5 6" xfId="28238" xr:uid="{1F2FE123-FE04-46C1-A610-CB16F3450748}"/>
    <cellStyle name="40% - Accent6 2 2 2 6" xfId="2355" xr:uid="{00000000-0005-0000-0000-0000F5060000}"/>
    <cellStyle name="40% - Accent6 2 2 2 6 2" xfId="6661" xr:uid="{00000000-0005-0000-0000-0000F6060000}"/>
    <cellStyle name="40% - Accent6 2 2 2 6 2 2" xfId="15987" xr:uid="{C2166221-63C6-4F63-8875-CE3881818570}"/>
    <cellStyle name="40% - Accent6 2 2 2 6 2 3" xfId="24428" xr:uid="{7707DB2E-815D-41F8-968E-4F7A45B24318}"/>
    <cellStyle name="40% - Accent6 2 2 2 6 2 4" xfId="32868" xr:uid="{D3916FC9-EFD7-4463-9B5F-1871C2EE8195}"/>
    <cellStyle name="40% - Accent6 2 2 2 6 3" xfId="11770" xr:uid="{9610C0EA-F0E0-41CB-B983-90B6A9BD59C7}"/>
    <cellStyle name="40% - Accent6 2 2 2 6 4" xfId="20211" xr:uid="{E5C02CC3-B329-4BEE-98CF-13CA5EEE317C}"/>
    <cellStyle name="40% - Accent6 2 2 2 6 5" xfId="28651" xr:uid="{C5F2333E-9317-4E89-8329-01915D91AB09}"/>
    <cellStyle name="40% - Accent6 2 2 2 7" xfId="4595" xr:uid="{00000000-0005-0000-0000-0000F7060000}"/>
    <cellStyle name="40% - Accent6 2 2 2 7 2" xfId="13921" xr:uid="{67E78D82-04A7-4ABD-9348-B45F31609553}"/>
    <cellStyle name="40% - Accent6 2 2 2 7 3" xfId="22362" xr:uid="{5B598CF4-431B-42D5-B75F-BA1B1D4969FC}"/>
    <cellStyle name="40% - Accent6 2 2 2 7 4" xfId="30802" xr:uid="{12B05E72-A65F-436B-A090-C25BB4CCB674}"/>
    <cellStyle name="40% - Accent6 2 2 2 8" xfId="9113" xr:uid="{D9373B4A-E1DA-437A-874A-FCE4D00708EB}"/>
    <cellStyle name="40% - Accent6 2 2 2 9" xfId="9704" xr:uid="{D1896180-EB1C-43A3-A5F3-D54FB0F74496}"/>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91DB6C86-9AFC-4F54-929C-F9AB9A0D251C}"/>
    <cellStyle name="40% - Accent6 2 2 3 2 2 3" xfId="24920" xr:uid="{DB189C75-2383-47EB-9F62-9256FC5B9D01}"/>
    <cellStyle name="40% - Accent6 2 2 3 2 2 4" xfId="33360" xr:uid="{40EAA964-0B7E-4FE1-AF07-2E4C5DA108AF}"/>
    <cellStyle name="40% - Accent6 2 2 3 2 3" xfId="12262" xr:uid="{4FC5BEEA-C512-450C-A455-0544BC95546F}"/>
    <cellStyle name="40% - Accent6 2 2 3 2 4" xfId="20703" xr:uid="{C4630859-0A77-49BE-97D4-B9E8A45EAE3B}"/>
    <cellStyle name="40% - Accent6 2 2 3 2 5" xfId="29143" xr:uid="{4EA4E80F-11BF-4600-A34A-5D4A5503FFA3}"/>
    <cellStyle name="40% - Accent6 2 2 3 3" xfId="5008" xr:uid="{00000000-0005-0000-0000-0000FB060000}"/>
    <cellStyle name="40% - Accent6 2 2 3 3 2" xfId="14334" xr:uid="{0F826F1D-26AB-4B85-AF9F-3F524518B9CA}"/>
    <cellStyle name="40% - Accent6 2 2 3 3 3" xfId="22775" xr:uid="{27548E29-96AE-494F-9678-DE736A95D614}"/>
    <cellStyle name="40% - Accent6 2 2 3 3 4" xfId="31215" xr:uid="{40EE05C5-1345-4076-A4BA-4D690F6E8ACC}"/>
    <cellStyle name="40% - Accent6 2 2 3 4" xfId="9331" xr:uid="{223B62DA-AA8A-4703-B6D5-D6AA8918B034}"/>
    <cellStyle name="40% - Accent6 2 2 3 5" xfId="10117" xr:uid="{84670827-E949-40BA-BE6C-0E4DD109B8F9}"/>
    <cellStyle name="40% - Accent6 2 2 3 6" xfId="18558" xr:uid="{5251451B-AB06-42FC-BCDA-432351F08E0E}"/>
    <cellStyle name="40% - Accent6 2 2 3 7" xfId="26998" xr:uid="{75471120-60CC-4D3B-9FA8-3DA7DCF908EE}"/>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9E8A1D2C-3140-4FE3-871E-074A59E48175}"/>
    <cellStyle name="40% - Accent6 2 2 4 2 2 3" xfId="25333" xr:uid="{6D067A78-681D-4369-863C-D0FD8678A0FA}"/>
    <cellStyle name="40% - Accent6 2 2 4 2 2 4" xfId="33773" xr:uid="{FF84C971-3646-4043-B50B-485F759FBC58}"/>
    <cellStyle name="40% - Accent6 2 2 4 2 3" xfId="12675" xr:uid="{496CACBD-4102-41D9-9251-2916581FD926}"/>
    <cellStyle name="40% - Accent6 2 2 4 2 4" xfId="21116" xr:uid="{DD3AF097-FF5C-4484-A5A8-9D0E17A5EB3B}"/>
    <cellStyle name="40% - Accent6 2 2 4 2 5" xfId="29556" xr:uid="{06976970-459D-4517-8221-CEC74CD27258}"/>
    <cellStyle name="40% - Accent6 2 2 4 3" xfId="5421" xr:uid="{00000000-0005-0000-0000-0000FF060000}"/>
    <cellStyle name="40% - Accent6 2 2 4 3 2" xfId="14747" xr:uid="{A3DAB654-90A3-4272-BA9C-567C35E8FBCD}"/>
    <cellStyle name="40% - Accent6 2 2 4 3 3" xfId="23188" xr:uid="{C5A3F4EE-C38C-4604-AF28-C1FE74E9A0B7}"/>
    <cellStyle name="40% - Accent6 2 2 4 3 4" xfId="31628" xr:uid="{BB93F2E9-5A72-4BBF-AA45-815F76645669}"/>
    <cellStyle name="40% - Accent6 2 2 4 4" xfId="10530" xr:uid="{2DC61538-9BF9-4E33-8214-8A4D4E12DE97}"/>
    <cellStyle name="40% - Accent6 2 2 4 5" xfId="18971" xr:uid="{2BD781DC-6F52-4ED8-AC31-3010B846D313}"/>
    <cellStyle name="40% - Accent6 2 2 4 6" xfId="27411" xr:uid="{D2966055-9C82-47EA-8112-7F4990B4766C}"/>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0F55B688-DB7C-4500-B857-26FC5B3C7E62}"/>
    <cellStyle name="40% - Accent6 2 2 5 2 2 3" xfId="25746" xr:uid="{4236DE49-A6CC-44E9-8CCB-AD48F71FD9B1}"/>
    <cellStyle name="40% - Accent6 2 2 5 2 2 4" xfId="34186" xr:uid="{D5070BBF-BDAC-41A5-8847-FD4FA473ED7C}"/>
    <cellStyle name="40% - Accent6 2 2 5 2 3" xfId="13088" xr:uid="{2E57DDC7-12EC-4B3A-8AA6-9D26E42E2867}"/>
    <cellStyle name="40% - Accent6 2 2 5 2 4" xfId="21529" xr:uid="{C1A86B2D-0B8B-493E-B6CC-B241CDAB73B3}"/>
    <cellStyle name="40% - Accent6 2 2 5 2 5" xfId="29969" xr:uid="{4D871DF8-56AA-4D8A-B2B4-47D7F1613AD5}"/>
    <cellStyle name="40% - Accent6 2 2 5 3" xfId="5834" xr:uid="{00000000-0005-0000-0000-000003070000}"/>
    <cellStyle name="40% - Accent6 2 2 5 3 2" xfId="15160" xr:uid="{68DF910F-2ECD-4B03-82FC-6CA0A6AF94DB}"/>
    <cellStyle name="40% - Accent6 2 2 5 3 3" xfId="23601" xr:uid="{4C0E1991-02D5-45BC-999B-928BAF7EA50B}"/>
    <cellStyle name="40% - Accent6 2 2 5 3 4" xfId="32041" xr:uid="{340ACBEE-CCD3-4C57-A322-FE90F669A134}"/>
    <cellStyle name="40% - Accent6 2 2 5 4" xfId="10943" xr:uid="{73C303EF-FF13-4B1C-BEFB-312455C9559A}"/>
    <cellStyle name="40% - Accent6 2 2 5 5" xfId="19384" xr:uid="{88587B24-9EE1-4A03-B541-06C5B88B1F3D}"/>
    <cellStyle name="40% - Accent6 2 2 5 6" xfId="27824" xr:uid="{CB351F4D-D15A-4E9A-8DB6-45ACBE7FE100}"/>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A25A3613-CED2-4A76-A69E-E210A4577646}"/>
    <cellStyle name="40% - Accent6 2 2 6 2 2 3" xfId="26159" xr:uid="{C68ACB26-DB65-4BAC-8C55-379D50EEC022}"/>
    <cellStyle name="40% - Accent6 2 2 6 2 2 4" xfId="34599" xr:uid="{7135DBF5-B340-44E2-AC46-B14F449ECC84}"/>
    <cellStyle name="40% - Accent6 2 2 6 2 3" xfId="13501" xr:uid="{5CD49357-9C7A-4E76-9BB9-74E83783D905}"/>
    <cellStyle name="40% - Accent6 2 2 6 2 4" xfId="21942" xr:uid="{FDDBEF84-64A3-4E6C-BCA7-9DEE53957AEA}"/>
    <cellStyle name="40% - Accent6 2 2 6 2 5" xfId="30382" xr:uid="{55D0EEFA-BD39-41D9-9AB9-B32F4255FA9D}"/>
    <cellStyle name="40% - Accent6 2 2 6 3" xfId="6247" xr:uid="{00000000-0005-0000-0000-000007070000}"/>
    <cellStyle name="40% - Accent6 2 2 6 3 2" xfId="15573" xr:uid="{9A3A702F-587C-47AE-90CE-8DD0843DECBE}"/>
    <cellStyle name="40% - Accent6 2 2 6 3 3" xfId="24014" xr:uid="{BC789015-345C-461A-BBCD-3021B58D1E3B}"/>
    <cellStyle name="40% - Accent6 2 2 6 3 4" xfId="32454" xr:uid="{5C77BBCC-38DC-4883-A707-F876B7F7B205}"/>
    <cellStyle name="40% - Accent6 2 2 6 4" xfId="11356" xr:uid="{17E30439-9974-4208-ABE3-0CC15F244998}"/>
    <cellStyle name="40% - Accent6 2 2 6 5" xfId="19797" xr:uid="{56A5EFD4-1B8D-4824-B03C-B498958702E2}"/>
    <cellStyle name="40% - Accent6 2 2 6 6" xfId="28237" xr:uid="{C16CF88C-8434-491A-9E7C-01917E6AB84D}"/>
    <cellStyle name="40% - Accent6 2 2 7" xfId="2354" xr:uid="{00000000-0005-0000-0000-000008070000}"/>
    <cellStyle name="40% - Accent6 2 2 7 2" xfId="6660" xr:uid="{00000000-0005-0000-0000-000009070000}"/>
    <cellStyle name="40% - Accent6 2 2 7 2 2" xfId="15986" xr:uid="{D8570D7C-6BB9-4A53-AEFE-B3402A679254}"/>
    <cellStyle name="40% - Accent6 2 2 7 2 3" xfId="24427" xr:uid="{4F6907B1-E8D5-46FE-94BD-D464C0F88DD3}"/>
    <cellStyle name="40% - Accent6 2 2 7 2 4" xfId="32867" xr:uid="{DED32454-09AE-49ED-99F2-D8072E674775}"/>
    <cellStyle name="40% - Accent6 2 2 7 3" xfId="11769" xr:uid="{79356F1E-B600-40A8-9C93-5BC341B63966}"/>
    <cellStyle name="40% - Accent6 2 2 7 4" xfId="20210" xr:uid="{808C2F0B-CDFC-4F9D-A254-0A77993F83F2}"/>
    <cellStyle name="40% - Accent6 2 2 7 5" xfId="28650" xr:uid="{DF1E95A8-8E7A-4023-9C44-675D603EDBE5}"/>
    <cellStyle name="40% - Accent6 2 2 8" xfId="4594" xr:uid="{00000000-0005-0000-0000-00000A070000}"/>
    <cellStyle name="40% - Accent6 2 2 8 2" xfId="13920" xr:uid="{9218471D-B1D6-493F-B359-166308CDC331}"/>
    <cellStyle name="40% - Accent6 2 2 8 3" xfId="22361" xr:uid="{0590AA4A-FDA6-4E09-82D4-C829361E5C86}"/>
    <cellStyle name="40% - Accent6 2 2 8 4" xfId="30801" xr:uid="{1F22A238-EB7A-44AF-A798-27A12E2E93AB}"/>
    <cellStyle name="40% - Accent6 2 2 9" xfId="8906" xr:uid="{C30FCA09-BA1A-4F54-9397-4FC676425C46}"/>
    <cellStyle name="40% - Accent6 2 3" xfId="93" xr:uid="{00000000-0005-0000-0000-00000B070000}"/>
    <cellStyle name="40% - Accent6 2 3 10" xfId="18146" xr:uid="{706AC988-39D1-4858-919C-EC70AEA369C6}"/>
    <cellStyle name="40% - Accent6 2 3 11" xfId="26586" xr:uid="{0A0EF441-7C37-4BA7-91BC-1E8DF8A71661}"/>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32183BF6-E06A-4A00-85B7-711194EB23F9}"/>
    <cellStyle name="40% - Accent6 2 3 2 2 2 3" xfId="24922" xr:uid="{1802E83C-0F11-4925-8558-FF75C20EFBF2}"/>
    <cellStyle name="40% - Accent6 2 3 2 2 2 4" xfId="33362" xr:uid="{2FD9E3ED-7BC7-49C2-8F7A-907330D40079}"/>
    <cellStyle name="40% - Accent6 2 3 2 2 3" xfId="12264" xr:uid="{78EBEC0B-8BC4-464C-957B-1D31876DE775}"/>
    <cellStyle name="40% - Accent6 2 3 2 2 4" xfId="20705" xr:uid="{C5703997-6412-4741-91AA-AC63FE95B776}"/>
    <cellStyle name="40% - Accent6 2 3 2 2 5" xfId="29145" xr:uid="{EBA6DC27-5926-41A2-8B78-74E89DD537FC}"/>
    <cellStyle name="40% - Accent6 2 3 2 3" xfId="5010" xr:uid="{00000000-0005-0000-0000-00000F070000}"/>
    <cellStyle name="40% - Accent6 2 3 2 3 2" xfId="14336" xr:uid="{B035408A-1F54-42F1-A8C8-F7A3FC5DCA91}"/>
    <cellStyle name="40% - Accent6 2 3 2 3 3" xfId="22777" xr:uid="{F93BDB78-E3F1-423A-B6FE-CF62CA51D167}"/>
    <cellStyle name="40% - Accent6 2 3 2 3 4" xfId="31217" xr:uid="{000D3226-3380-4A18-AD1D-D112D1286E58}"/>
    <cellStyle name="40% - Accent6 2 3 2 4" xfId="9435" xr:uid="{36535681-1736-4584-8CB6-F8F38C9E0E5B}"/>
    <cellStyle name="40% - Accent6 2 3 2 5" xfId="10119" xr:uid="{8448E265-0CFA-4647-8277-358F6913CD26}"/>
    <cellStyle name="40% - Accent6 2 3 2 6" xfId="18560" xr:uid="{D012AFB3-AF23-4114-93FD-302CE32268AE}"/>
    <cellStyle name="40% - Accent6 2 3 2 7" xfId="27000" xr:uid="{B33974E3-1117-458C-8D56-0F9C91D2F236}"/>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80676C37-C00D-4EE2-91D4-D92D5F253FF5}"/>
    <cellStyle name="40% - Accent6 2 3 3 2 2 3" xfId="25335" xr:uid="{4F3E77F0-2E40-4723-9923-EDE38403F4B8}"/>
    <cellStyle name="40% - Accent6 2 3 3 2 2 4" xfId="33775" xr:uid="{40E37CBB-426A-4689-83CA-DBA56766A33E}"/>
    <cellStyle name="40% - Accent6 2 3 3 2 3" xfId="12677" xr:uid="{44625331-B779-4F93-897D-84B676B8FFA2}"/>
    <cellStyle name="40% - Accent6 2 3 3 2 4" xfId="21118" xr:uid="{8B1A6BA3-51B4-44B5-9155-62B412448D01}"/>
    <cellStyle name="40% - Accent6 2 3 3 2 5" xfId="29558" xr:uid="{2B7F295E-09F6-4B98-AEBD-3BD3F600A3C0}"/>
    <cellStyle name="40% - Accent6 2 3 3 3" xfId="5423" xr:uid="{00000000-0005-0000-0000-000013070000}"/>
    <cellStyle name="40% - Accent6 2 3 3 3 2" xfId="14749" xr:uid="{8A6AB821-2898-4020-AE29-F432E44A5D98}"/>
    <cellStyle name="40% - Accent6 2 3 3 3 3" xfId="23190" xr:uid="{80520C92-F17E-4E0E-85F9-035B61F274BE}"/>
    <cellStyle name="40% - Accent6 2 3 3 3 4" xfId="31630" xr:uid="{D06F84DC-2B57-46C9-9B97-E250222A4B6A}"/>
    <cellStyle name="40% - Accent6 2 3 3 4" xfId="10532" xr:uid="{24DC2D7C-F2FA-4BCC-AFE6-1F33C3C69AC9}"/>
    <cellStyle name="40% - Accent6 2 3 3 5" xfId="18973" xr:uid="{A09EBA2A-0E3C-49A8-B27F-7EA832DB139D}"/>
    <cellStyle name="40% - Accent6 2 3 3 6" xfId="27413" xr:uid="{BC65BBF6-1A49-4281-B652-D878ECF7F704}"/>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F8EF9EDB-6083-4442-943F-60267581942D}"/>
    <cellStyle name="40% - Accent6 2 3 4 2 2 3" xfId="25748" xr:uid="{07ED0987-C02B-4071-9C28-434DCDE18B85}"/>
    <cellStyle name="40% - Accent6 2 3 4 2 2 4" xfId="34188" xr:uid="{BA08338A-DF0F-435C-93B8-2606C5646470}"/>
    <cellStyle name="40% - Accent6 2 3 4 2 3" xfId="13090" xr:uid="{D74A148C-B1B2-4CE8-AA4B-C5F637955E82}"/>
    <cellStyle name="40% - Accent6 2 3 4 2 4" xfId="21531" xr:uid="{DEE251B7-4ADB-457B-B2A7-04653993FFCB}"/>
    <cellStyle name="40% - Accent6 2 3 4 2 5" xfId="29971" xr:uid="{AE9D6BC5-D8CE-48A5-B399-39818D281AEA}"/>
    <cellStyle name="40% - Accent6 2 3 4 3" xfId="5836" xr:uid="{00000000-0005-0000-0000-000017070000}"/>
    <cellStyle name="40% - Accent6 2 3 4 3 2" xfId="15162" xr:uid="{9DF22B0F-CC63-4758-9DAC-A10E8C3A7604}"/>
    <cellStyle name="40% - Accent6 2 3 4 3 3" xfId="23603" xr:uid="{B8D852AF-66BB-468D-800D-E90295656DA7}"/>
    <cellStyle name="40% - Accent6 2 3 4 3 4" xfId="32043" xr:uid="{CDC03B96-7074-4F28-B8EA-A43E3A037E2F}"/>
    <cellStyle name="40% - Accent6 2 3 4 4" xfId="10945" xr:uid="{631C6CC1-3B77-4FC3-B4CB-2F26C741B675}"/>
    <cellStyle name="40% - Accent6 2 3 4 5" xfId="19386" xr:uid="{578FFB81-7C33-4FBD-893C-C3FC7FDB6A59}"/>
    <cellStyle name="40% - Accent6 2 3 4 6" xfId="27826" xr:uid="{672E9423-ED4B-43ED-A168-4954DE02916E}"/>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6B648198-9F1E-4D09-B96D-4222DD6F70EC}"/>
    <cellStyle name="40% - Accent6 2 3 5 2 2 3" xfId="26161" xr:uid="{189D69F6-0F89-4C8B-9AC3-A9123BCC6942}"/>
    <cellStyle name="40% - Accent6 2 3 5 2 2 4" xfId="34601" xr:uid="{14819C5B-C120-4586-A489-4C28524682C4}"/>
    <cellStyle name="40% - Accent6 2 3 5 2 3" xfId="13503" xr:uid="{8E3FD9C9-E013-4D93-B307-56B9C22BA4D9}"/>
    <cellStyle name="40% - Accent6 2 3 5 2 4" xfId="21944" xr:uid="{E18371FC-10E0-4CBE-99A4-1F40FFE81044}"/>
    <cellStyle name="40% - Accent6 2 3 5 2 5" xfId="30384" xr:uid="{5BBA3949-D405-47A5-9B48-F84225A2E320}"/>
    <cellStyle name="40% - Accent6 2 3 5 3" xfId="6249" xr:uid="{00000000-0005-0000-0000-00001B070000}"/>
    <cellStyle name="40% - Accent6 2 3 5 3 2" xfId="15575" xr:uid="{E9EBDDA7-6387-45DE-812C-3D106AD0554B}"/>
    <cellStyle name="40% - Accent6 2 3 5 3 3" xfId="24016" xr:uid="{272338FA-791B-4C07-BF26-779CF070933F}"/>
    <cellStyle name="40% - Accent6 2 3 5 3 4" xfId="32456" xr:uid="{3DD40AE9-6BFD-4444-B2C6-DF8FBFADFDF0}"/>
    <cellStyle name="40% - Accent6 2 3 5 4" xfId="11358" xr:uid="{3606B879-31B1-4FDE-8B3E-CEF3A60809BC}"/>
    <cellStyle name="40% - Accent6 2 3 5 5" xfId="19799" xr:uid="{936AA7B4-AA57-4725-838E-E0794CBD188C}"/>
    <cellStyle name="40% - Accent6 2 3 5 6" xfId="28239" xr:uid="{2C1696B5-F816-4E1E-8A94-3E061F120BFA}"/>
    <cellStyle name="40% - Accent6 2 3 6" xfId="2356" xr:uid="{00000000-0005-0000-0000-00001C070000}"/>
    <cellStyle name="40% - Accent6 2 3 6 2" xfId="6662" xr:uid="{00000000-0005-0000-0000-00001D070000}"/>
    <cellStyle name="40% - Accent6 2 3 6 2 2" xfId="15988" xr:uid="{8855E7AB-2035-4A98-83C3-C5981E2CB654}"/>
    <cellStyle name="40% - Accent6 2 3 6 2 3" xfId="24429" xr:uid="{A0F9035D-DB55-4E67-8E57-0CAE7FEDDE76}"/>
    <cellStyle name="40% - Accent6 2 3 6 2 4" xfId="32869" xr:uid="{127E23E2-B715-4EC5-B36D-B60B62AB54C7}"/>
    <cellStyle name="40% - Accent6 2 3 6 3" xfId="11771" xr:uid="{15EEB822-CD95-4DC0-ACE9-C1161C88E069}"/>
    <cellStyle name="40% - Accent6 2 3 6 4" xfId="20212" xr:uid="{FB487581-8470-4D76-8DD5-922398A0C3D4}"/>
    <cellStyle name="40% - Accent6 2 3 6 5" xfId="28652" xr:uid="{5B97856A-0BDC-4584-A06F-6F4F5775EB14}"/>
    <cellStyle name="40% - Accent6 2 3 7" xfId="4596" xr:uid="{00000000-0005-0000-0000-00001E070000}"/>
    <cellStyle name="40% - Accent6 2 3 7 2" xfId="13922" xr:uid="{D9D92BFA-72D6-4A52-9806-00EF8FEF214B}"/>
    <cellStyle name="40% - Accent6 2 3 7 3" xfId="22363" xr:uid="{59571B49-A35E-47D6-8A3A-997F6CBEA247}"/>
    <cellStyle name="40% - Accent6 2 3 7 4" xfId="30803" xr:uid="{12920400-2EA3-48B1-B95E-DB0E564FF178}"/>
    <cellStyle name="40% - Accent6 2 3 8" xfId="9010" xr:uid="{63E1B5F8-FE5F-441F-B768-94B1D98CB2B1}"/>
    <cellStyle name="40% - Accent6 2 3 9" xfId="9705" xr:uid="{B066E35A-13EB-4BF2-8841-4090596DBC81}"/>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6BC2BCD8-806B-4F0E-ACF2-C4651CDF978E}"/>
    <cellStyle name="40% - Accent6 2 4 2 2 3" xfId="24919" xr:uid="{6FFE8BA3-373C-495D-BA34-92AC62B725FB}"/>
    <cellStyle name="40% - Accent6 2 4 2 2 4" xfId="33359" xr:uid="{D2B2E79E-F300-41EC-8197-9EA79180DF40}"/>
    <cellStyle name="40% - Accent6 2 4 2 3" xfId="12261" xr:uid="{59D5E11C-0676-4194-B263-A9E56D0B5754}"/>
    <cellStyle name="40% - Accent6 2 4 2 4" xfId="20702" xr:uid="{7847E747-489E-43B4-B69E-BC4366750C61}"/>
    <cellStyle name="40% - Accent6 2 4 2 5" xfId="29142" xr:uid="{2FE25A32-F9B5-463C-B7A6-7DBF7066C6FC}"/>
    <cellStyle name="40% - Accent6 2 4 3" xfId="5007" xr:uid="{00000000-0005-0000-0000-000022070000}"/>
    <cellStyle name="40% - Accent6 2 4 3 2" xfId="14333" xr:uid="{E1445EC7-A8C7-4538-B779-09BF6A9AED10}"/>
    <cellStyle name="40% - Accent6 2 4 3 3" xfId="22774" xr:uid="{173B3174-08DD-47A0-8395-A48B2DB6D340}"/>
    <cellStyle name="40% - Accent6 2 4 3 4" xfId="31214" xr:uid="{E4CFE1A4-66CB-4DF8-B45A-F3E818166035}"/>
    <cellStyle name="40% - Accent6 2 4 4" xfId="9227" xr:uid="{61BC3AC1-FAE9-47DF-8143-7EECE05FF8D3}"/>
    <cellStyle name="40% - Accent6 2 4 5" xfId="10116" xr:uid="{924FF585-14BB-46D6-BA5B-74A5C93265B9}"/>
    <cellStyle name="40% - Accent6 2 4 6" xfId="18557" xr:uid="{D8AB53C1-C728-484B-B5DC-6E5369D3A77B}"/>
    <cellStyle name="40% - Accent6 2 4 7" xfId="26997" xr:uid="{D0BDF324-362F-45CC-ADA5-B0A956943A04}"/>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DBBEE351-B1FD-4968-8C4F-C85A3ED95A69}"/>
    <cellStyle name="40% - Accent6 2 5 2 2 3" xfId="25332" xr:uid="{0F8593A0-87B2-4A84-BB34-35AEA3D8514C}"/>
    <cellStyle name="40% - Accent6 2 5 2 2 4" xfId="33772" xr:uid="{AB585073-4D95-4ABB-90C0-5623D096BE9B}"/>
    <cellStyle name="40% - Accent6 2 5 2 3" xfId="12674" xr:uid="{71591767-AAA1-4B7A-B1B4-60366FD909E6}"/>
    <cellStyle name="40% - Accent6 2 5 2 4" xfId="21115" xr:uid="{393687A4-4CB6-4056-9021-11B8E5E1EBD4}"/>
    <cellStyle name="40% - Accent6 2 5 2 5" xfId="29555" xr:uid="{B0564808-D448-44B4-BBC7-C9AADDE61F7F}"/>
    <cellStyle name="40% - Accent6 2 5 3" xfId="5420" xr:uid="{00000000-0005-0000-0000-000026070000}"/>
    <cellStyle name="40% - Accent6 2 5 3 2" xfId="14746" xr:uid="{0A55415D-27D3-43FE-A06A-2BE30B2DC59E}"/>
    <cellStyle name="40% - Accent6 2 5 3 3" xfId="23187" xr:uid="{A0345C3B-A33F-4CC3-A689-84595630ACF3}"/>
    <cellStyle name="40% - Accent6 2 5 3 4" xfId="31627" xr:uid="{4E543A9C-B55E-4ED7-B85B-28FEB67EB4D7}"/>
    <cellStyle name="40% - Accent6 2 5 4" xfId="10529" xr:uid="{2E5F5107-ECB9-4458-8E58-95B4AF258FFE}"/>
    <cellStyle name="40% - Accent6 2 5 5" xfId="18970" xr:uid="{515726FB-13CF-4F59-A0C2-7100DAA803A3}"/>
    <cellStyle name="40% - Accent6 2 5 6" xfId="27410" xr:uid="{34592A29-23CC-4AD1-A386-AADFA2E62180}"/>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614226E6-0C3E-4BB1-BAB2-00502053B797}"/>
    <cellStyle name="40% - Accent6 2 6 2 2 3" xfId="25745" xr:uid="{EDC8F237-6654-496F-8032-2D592F8ADA1A}"/>
    <cellStyle name="40% - Accent6 2 6 2 2 4" xfId="34185" xr:uid="{3D5A5129-B801-4D3C-AC34-F5CB2BC32CFE}"/>
    <cellStyle name="40% - Accent6 2 6 2 3" xfId="13087" xr:uid="{14250F6E-41CB-4DDC-B8D7-4240F192449C}"/>
    <cellStyle name="40% - Accent6 2 6 2 4" xfId="21528" xr:uid="{1EE99BD7-011D-4253-815F-DC13490E60B8}"/>
    <cellStyle name="40% - Accent6 2 6 2 5" xfId="29968" xr:uid="{4C64A4AC-7444-446C-8244-B4A5D8DC2E7F}"/>
    <cellStyle name="40% - Accent6 2 6 3" xfId="5833" xr:uid="{00000000-0005-0000-0000-00002A070000}"/>
    <cellStyle name="40% - Accent6 2 6 3 2" xfId="15159" xr:uid="{F82FCA99-89ED-4BF7-AAFA-984318CB2C7A}"/>
    <cellStyle name="40% - Accent6 2 6 3 3" xfId="23600" xr:uid="{DEFB8502-D053-4D3C-9BEA-8DC93C8F7587}"/>
    <cellStyle name="40% - Accent6 2 6 3 4" xfId="32040" xr:uid="{C1DB3904-C0A4-47EE-AEB8-BD47D1E29313}"/>
    <cellStyle name="40% - Accent6 2 6 4" xfId="10942" xr:uid="{5755DC55-F628-452F-9271-E5B49C74A298}"/>
    <cellStyle name="40% - Accent6 2 6 5" xfId="19383" xr:uid="{1B5DF4C3-1441-4E16-9DCB-C8F0A7086FB9}"/>
    <cellStyle name="40% - Accent6 2 6 6" xfId="27823" xr:uid="{94484559-EC70-467B-AAE3-1EC57F93C592}"/>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8B84F38E-C163-4C7F-94C1-7E21C5310DC5}"/>
    <cellStyle name="40% - Accent6 2 7 2 2 3" xfId="26158" xr:uid="{761303E3-4C99-415C-B73C-FE857D1E8E11}"/>
    <cellStyle name="40% - Accent6 2 7 2 2 4" xfId="34598" xr:uid="{AD0CE499-F943-4829-8011-D29F3ECC5040}"/>
    <cellStyle name="40% - Accent6 2 7 2 3" xfId="13500" xr:uid="{3DC4DF9D-64CA-4F77-98A1-F9F56003D4AD}"/>
    <cellStyle name="40% - Accent6 2 7 2 4" xfId="21941" xr:uid="{5D124D67-3BA2-451E-B20C-9481D988500A}"/>
    <cellStyle name="40% - Accent6 2 7 2 5" xfId="30381" xr:uid="{070CED9C-A6CD-4507-94B2-E181B0E001EA}"/>
    <cellStyle name="40% - Accent6 2 7 3" xfId="6246" xr:uid="{00000000-0005-0000-0000-00002E070000}"/>
    <cellStyle name="40% - Accent6 2 7 3 2" xfId="15572" xr:uid="{A7C13905-77DD-469F-9074-3EF42F1DF2CF}"/>
    <cellStyle name="40% - Accent6 2 7 3 3" xfId="24013" xr:uid="{01CC3CFB-3046-4385-8CAA-0ED6C1E953CF}"/>
    <cellStyle name="40% - Accent6 2 7 3 4" xfId="32453" xr:uid="{52A974FC-8DE2-4848-92E5-67E2BCFC1545}"/>
    <cellStyle name="40% - Accent6 2 7 4" xfId="11355" xr:uid="{035A5A96-9BD0-4619-AACB-725D587684AD}"/>
    <cellStyle name="40% - Accent6 2 7 5" xfId="19796" xr:uid="{B9CE5A60-216A-444C-AE3A-D3D61EF157F5}"/>
    <cellStyle name="40% - Accent6 2 7 6" xfId="28236" xr:uid="{355B7527-668C-4E09-AB5F-E64CF1A050EC}"/>
    <cellStyle name="40% - Accent6 2 8" xfId="2353" xr:uid="{00000000-0005-0000-0000-00002F070000}"/>
    <cellStyle name="40% - Accent6 2 8 2" xfId="6659" xr:uid="{00000000-0005-0000-0000-000030070000}"/>
    <cellStyle name="40% - Accent6 2 8 2 2" xfId="15985" xr:uid="{844934DC-7EC3-45CA-9EB7-6EA65AF2D970}"/>
    <cellStyle name="40% - Accent6 2 8 2 3" xfId="24426" xr:uid="{E8B0E084-3D7E-4840-A698-B54AA23A2B7A}"/>
    <cellStyle name="40% - Accent6 2 8 2 4" xfId="32866" xr:uid="{3D46A6A9-3BD0-415F-BA93-0176B80DD869}"/>
    <cellStyle name="40% - Accent6 2 8 3" xfId="11768" xr:uid="{B6D95087-DB5C-49B1-8C22-FF118E5BDA81}"/>
    <cellStyle name="40% - Accent6 2 8 4" xfId="20209" xr:uid="{1F563D44-65C6-4593-81CB-0A132927BEF1}"/>
    <cellStyle name="40% - Accent6 2 8 5" xfId="28649" xr:uid="{D79425EA-16B3-4A77-8B88-43C537F1D000}"/>
    <cellStyle name="40% - Accent6 2 9" xfId="4593" xr:uid="{00000000-0005-0000-0000-000031070000}"/>
    <cellStyle name="40% - Accent6 2 9 2" xfId="13919" xr:uid="{BE07E6FB-71D6-4A16-8834-43732800D133}"/>
    <cellStyle name="40% - Accent6 2 9 3" xfId="22360" xr:uid="{F22256F7-9067-4CFD-9035-2B6CDC756FCD}"/>
    <cellStyle name="40% - Accent6 2 9 4" xfId="30800" xr:uid="{69BB3981-08A4-48CC-AFA1-E861E8F14FAD}"/>
    <cellStyle name="40% - Accent6 3" xfId="94" xr:uid="{00000000-0005-0000-0000-000032070000}"/>
    <cellStyle name="40% - Accent6 3 10" xfId="9706" xr:uid="{BD151B53-6C45-4A27-9B22-331E032C43DC}"/>
    <cellStyle name="40% - Accent6 3 11" xfId="18147" xr:uid="{529E946D-B249-4956-898F-97C0512C3574}"/>
    <cellStyle name="40% - Accent6 3 12" xfId="26587" xr:uid="{DC0C544C-947A-47B6-8FA8-00FD266D3062}"/>
    <cellStyle name="40% - Accent6 3 2" xfId="95" xr:uid="{00000000-0005-0000-0000-000033070000}"/>
    <cellStyle name="40% - Accent6 3 2 10" xfId="18148" xr:uid="{A16F7033-A37C-43D4-A3B1-44C11D08E98E}"/>
    <cellStyle name="40% - Accent6 3 2 11" xfId="26588" xr:uid="{15C7B40C-008A-48C6-9673-1FD031C31D17}"/>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5AE34F03-4470-4940-B297-EDDD9D5D21CC}"/>
    <cellStyle name="40% - Accent6 3 2 2 2 2 3" xfId="24924" xr:uid="{942769CD-1D69-4909-B531-8A41461EA34A}"/>
    <cellStyle name="40% - Accent6 3 2 2 2 2 4" xfId="33364" xr:uid="{1EA1A769-275B-43D7-97BE-77564020E4C4}"/>
    <cellStyle name="40% - Accent6 3 2 2 2 3" xfId="12266" xr:uid="{6A32A15B-4319-44F7-9A82-C7DE8498C85F}"/>
    <cellStyle name="40% - Accent6 3 2 2 2 4" xfId="20707" xr:uid="{7813ABC2-0B71-44A7-B075-E83CDA485EA3}"/>
    <cellStyle name="40% - Accent6 3 2 2 2 5" xfId="29147" xr:uid="{B74B5F17-3854-4319-939A-C22F6F3E5225}"/>
    <cellStyle name="40% - Accent6 3 2 2 3" xfId="5012" xr:uid="{00000000-0005-0000-0000-000037070000}"/>
    <cellStyle name="40% - Accent6 3 2 2 3 2" xfId="14338" xr:uid="{4686D8BF-AE14-42F4-A8B4-61036D91880D}"/>
    <cellStyle name="40% - Accent6 3 2 2 3 3" xfId="22779" xr:uid="{2639C9C5-D666-49BF-85AA-8669518ADD1D}"/>
    <cellStyle name="40% - Accent6 3 2 2 3 4" xfId="31219" xr:uid="{3A0F6790-5381-4039-9866-2589883B0241}"/>
    <cellStyle name="40% - Accent6 3 2 2 4" xfId="9504" xr:uid="{23E46585-FD8F-4BA3-8B65-284D6884E4FD}"/>
    <cellStyle name="40% - Accent6 3 2 2 5" xfId="10121" xr:uid="{735099F7-48B4-49EE-8737-DAED232F8FD2}"/>
    <cellStyle name="40% - Accent6 3 2 2 6" xfId="18562" xr:uid="{F33A75E8-1B1B-4B57-A9E4-37585D260318}"/>
    <cellStyle name="40% - Accent6 3 2 2 7" xfId="27002" xr:uid="{42E2124B-FD7C-49A0-A07F-D9A8F802EB2E}"/>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37DE9273-3508-4E46-A66E-920B9300AAF0}"/>
    <cellStyle name="40% - Accent6 3 2 3 2 2 3" xfId="25337" xr:uid="{46F7D87A-26FC-4AC2-A0A3-CD586FB32DFA}"/>
    <cellStyle name="40% - Accent6 3 2 3 2 2 4" xfId="33777" xr:uid="{1DE5420C-F64A-4AF2-99F7-BB6E07D447A7}"/>
    <cellStyle name="40% - Accent6 3 2 3 2 3" xfId="12679" xr:uid="{FC9DA7D1-9345-443D-BC4F-9C3D29C891CC}"/>
    <cellStyle name="40% - Accent6 3 2 3 2 4" xfId="21120" xr:uid="{3675F695-84EF-47BA-9903-593D0B06C6AE}"/>
    <cellStyle name="40% - Accent6 3 2 3 2 5" xfId="29560" xr:uid="{082F8955-0757-429D-9DCF-D8D5CE482E41}"/>
    <cellStyle name="40% - Accent6 3 2 3 3" xfId="5425" xr:uid="{00000000-0005-0000-0000-00003B070000}"/>
    <cellStyle name="40% - Accent6 3 2 3 3 2" xfId="14751" xr:uid="{501CC83C-AABC-4862-ADEB-57B8F05437EB}"/>
    <cellStyle name="40% - Accent6 3 2 3 3 3" xfId="23192" xr:uid="{8925DA34-E28A-49BF-A79F-2990A539012C}"/>
    <cellStyle name="40% - Accent6 3 2 3 3 4" xfId="31632" xr:uid="{875E26D9-0CF2-40F3-AD29-8640FD7584E8}"/>
    <cellStyle name="40% - Accent6 3 2 3 4" xfId="10534" xr:uid="{7094F7D2-2ECF-4E63-907D-8DF0EFF3F403}"/>
    <cellStyle name="40% - Accent6 3 2 3 5" xfId="18975" xr:uid="{00584E73-FB7B-49A1-8FDC-8EF352A00627}"/>
    <cellStyle name="40% - Accent6 3 2 3 6" xfId="27415" xr:uid="{7685FA57-036A-4EF4-A7E9-3EC29D95AB57}"/>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110247E3-5ADD-4C9F-871D-5878DEB6453D}"/>
    <cellStyle name="40% - Accent6 3 2 4 2 2 3" xfId="25750" xr:uid="{0BE877A2-622E-47C9-8756-E15085B11838}"/>
    <cellStyle name="40% - Accent6 3 2 4 2 2 4" xfId="34190" xr:uid="{1E6D3DE3-31D7-44E5-84F0-FB946F09221F}"/>
    <cellStyle name="40% - Accent6 3 2 4 2 3" xfId="13092" xr:uid="{7971237B-A4F9-4390-8327-98E57CA526F7}"/>
    <cellStyle name="40% - Accent6 3 2 4 2 4" xfId="21533" xr:uid="{E2DA6A4B-6E36-4190-9EB6-276E443ADFCD}"/>
    <cellStyle name="40% - Accent6 3 2 4 2 5" xfId="29973" xr:uid="{9A2B9E87-99D8-4F6B-8B88-89E126D706F8}"/>
    <cellStyle name="40% - Accent6 3 2 4 3" xfId="5838" xr:uid="{00000000-0005-0000-0000-00003F070000}"/>
    <cellStyle name="40% - Accent6 3 2 4 3 2" xfId="15164" xr:uid="{4DB7FF39-715A-438D-89A8-F568A9727695}"/>
    <cellStyle name="40% - Accent6 3 2 4 3 3" xfId="23605" xr:uid="{1B3DE127-65ED-4E8A-A718-539D0E7C21EA}"/>
    <cellStyle name="40% - Accent6 3 2 4 3 4" xfId="32045" xr:uid="{86CFEFD8-7F0F-4FAB-9589-24BA8F62F4B7}"/>
    <cellStyle name="40% - Accent6 3 2 4 4" xfId="10947" xr:uid="{B3B23973-5912-496E-A10F-59BAFF734DCC}"/>
    <cellStyle name="40% - Accent6 3 2 4 5" xfId="19388" xr:uid="{E3587EE8-EBA1-451D-A03D-185778C21B6E}"/>
    <cellStyle name="40% - Accent6 3 2 4 6" xfId="27828" xr:uid="{8FA51DBF-17E8-436E-BC36-2E7B09734A2F}"/>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86132FFF-8262-4035-A08E-33B899E0EEE3}"/>
    <cellStyle name="40% - Accent6 3 2 5 2 2 3" xfId="26163" xr:uid="{F1FD5935-A1EE-41DF-89DA-24EB6314E931}"/>
    <cellStyle name="40% - Accent6 3 2 5 2 2 4" xfId="34603" xr:uid="{CC4FE841-70DC-41FC-A465-57A8AAC65DC8}"/>
    <cellStyle name="40% - Accent6 3 2 5 2 3" xfId="13505" xr:uid="{D53E8889-6F89-4372-BB97-CBEBC84F49C9}"/>
    <cellStyle name="40% - Accent6 3 2 5 2 4" xfId="21946" xr:uid="{0FCD2F1C-3928-4D07-9C0C-0A05EBBB164C}"/>
    <cellStyle name="40% - Accent6 3 2 5 2 5" xfId="30386" xr:uid="{696B9A2F-D2C5-4AA9-A479-EA7C76C1F82B}"/>
    <cellStyle name="40% - Accent6 3 2 5 3" xfId="6251" xr:uid="{00000000-0005-0000-0000-000043070000}"/>
    <cellStyle name="40% - Accent6 3 2 5 3 2" xfId="15577" xr:uid="{31AB750A-224D-4AAF-850A-D1D44CA29A47}"/>
    <cellStyle name="40% - Accent6 3 2 5 3 3" xfId="24018" xr:uid="{83E4DA81-D8FE-4BBC-B809-64FF69F60E59}"/>
    <cellStyle name="40% - Accent6 3 2 5 3 4" xfId="32458" xr:uid="{88416BD7-5F5A-484C-BB16-B3967EF5E855}"/>
    <cellStyle name="40% - Accent6 3 2 5 4" xfId="11360" xr:uid="{D880F60B-ABE5-4309-A2CE-2D2E7AE8457E}"/>
    <cellStyle name="40% - Accent6 3 2 5 5" xfId="19801" xr:uid="{4E13FE59-334E-448A-AD24-6183550B3AFA}"/>
    <cellStyle name="40% - Accent6 3 2 5 6" xfId="28241" xr:uid="{E9A746E7-8A97-43BD-8293-7C86D7FD48E0}"/>
    <cellStyle name="40% - Accent6 3 2 6" xfId="2358" xr:uid="{00000000-0005-0000-0000-000044070000}"/>
    <cellStyle name="40% - Accent6 3 2 6 2" xfId="6664" xr:uid="{00000000-0005-0000-0000-000045070000}"/>
    <cellStyle name="40% - Accent6 3 2 6 2 2" xfId="15990" xr:uid="{CA2C693F-3C0C-4A7A-BBC8-60E0E3CB2147}"/>
    <cellStyle name="40% - Accent6 3 2 6 2 3" xfId="24431" xr:uid="{2CC1879F-3E06-4647-B28A-45905280018B}"/>
    <cellStyle name="40% - Accent6 3 2 6 2 4" xfId="32871" xr:uid="{8C05701F-90B2-4645-A2C2-E2847BE4DC62}"/>
    <cellStyle name="40% - Accent6 3 2 6 3" xfId="11773" xr:uid="{5B87C727-1391-4EC7-9B61-D2ABED9BB034}"/>
    <cellStyle name="40% - Accent6 3 2 6 4" xfId="20214" xr:uid="{B2943EB1-CBF7-4A9C-82A2-3E24B7A57F0D}"/>
    <cellStyle name="40% - Accent6 3 2 6 5" xfId="28654" xr:uid="{D7FEFB16-71EF-416B-AB4B-18EDDA0C07F9}"/>
    <cellStyle name="40% - Accent6 3 2 7" xfId="4598" xr:uid="{00000000-0005-0000-0000-000046070000}"/>
    <cellStyle name="40% - Accent6 3 2 7 2" xfId="13924" xr:uid="{F566CB2D-45BC-4D93-8691-D77AFED154F1}"/>
    <cellStyle name="40% - Accent6 3 2 7 3" xfId="22365" xr:uid="{C1B1877D-D69C-4C2F-880D-D386670EE81C}"/>
    <cellStyle name="40% - Accent6 3 2 7 4" xfId="30805" xr:uid="{299289DB-C983-44A4-AFFF-3FE25F5C2098}"/>
    <cellStyle name="40% - Accent6 3 2 8" xfId="9079" xr:uid="{7FA93E2E-699F-4676-8533-A3CC5F80D807}"/>
    <cellStyle name="40% - Accent6 3 2 9" xfId="9707" xr:uid="{BC8F9AFE-44F5-4EA5-8804-2C7D52A972C1}"/>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7E9FB02D-CF52-45FC-826B-E7BE5E824759}"/>
    <cellStyle name="40% - Accent6 3 3 2 2 3" xfId="24923" xr:uid="{BB4A1F41-CE27-45CB-A428-126D8DCA69FA}"/>
    <cellStyle name="40% - Accent6 3 3 2 2 4" xfId="33363" xr:uid="{4BB2D6E8-402E-41BF-8216-DD47BF9F810B}"/>
    <cellStyle name="40% - Accent6 3 3 2 3" xfId="12265" xr:uid="{1ACE074C-04E0-4070-A7F1-2150A6FE225A}"/>
    <cellStyle name="40% - Accent6 3 3 2 4" xfId="20706" xr:uid="{050E9038-1209-4416-AE48-EB356441CDD5}"/>
    <cellStyle name="40% - Accent6 3 3 2 5" xfId="29146" xr:uid="{A6446E16-EA98-468A-8B56-BDE0D1109AA3}"/>
    <cellStyle name="40% - Accent6 3 3 3" xfId="5011" xr:uid="{00000000-0005-0000-0000-00004A070000}"/>
    <cellStyle name="40% - Accent6 3 3 3 2" xfId="14337" xr:uid="{96C737BA-0F0D-4AB0-B9B5-E50DFD96D70C}"/>
    <cellStyle name="40% - Accent6 3 3 3 3" xfId="22778" xr:uid="{7BE83D48-E9EF-4089-AE71-AE13B308696F}"/>
    <cellStyle name="40% - Accent6 3 3 3 4" xfId="31218" xr:uid="{37B83BD0-B31E-43B7-8105-E9B9666B7736}"/>
    <cellStyle name="40% - Accent6 3 3 4" xfId="9297" xr:uid="{1226E28F-09E7-4580-8D19-7F14AC1CB4B3}"/>
    <cellStyle name="40% - Accent6 3 3 5" xfId="10120" xr:uid="{AA403F9B-ECC9-41F1-8A25-93E969AD890C}"/>
    <cellStyle name="40% - Accent6 3 3 6" xfId="18561" xr:uid="{83E67D85-12C2-427F-8D2A-C793B273CFF9}"/>
    <cellStyle name="40% - Accent6 3 3 7" xfId="27001" xr:uid="{F19DA4CB-5068-439D-A97C-589379E1FD6B}"/>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065B3564-F197-44C7-B60E-0A096F423D18}"/>
    <cellStyle name="40% - Accent6 3 4 2 2 3" xfId="25336" xr:uid="{F12B520F-E803-4DED-9545-FAC5B638F4AD}"/>
    <cellStyle name="40% - Accent6 3 4 2 2 4" xfId="33776" xr:uid="{8093B5BC-9F5C-4B4A-8BB7-5A62571BE7E4}"/>
    <cellStyle name="40% - Accent6 3 4 2 3" xfId="12678" xr:uid="{3B451198-520C-40B4-B8BE-1363524BCC51}"/>
    <cellStyle name="40% - Accent6 3 4 2 4" xfId="21119" xr:uid="{653ECF24-9107-4138-92CE-838CE9C48734}"/>
    <cellStyle name="40% - Accent6 3 4 2 5" xfId="29559" xr:uid="{17C5F2B1-02F6-4E81-A096-50A902F23615}"/>
    <cellStyle name="40% - Accent6 3 4 3" xfId="5424" xr:uid="{00000000-0005-0000-0000-00004E070000}"/>
    <cellStyle name="40% - Accent6 3 4 3 2" xfId="14750" xr:uid="{1A0DE381-1DB1-41E8-91D5-ACEFEA7A75FE}"/>
    <cellStyle name="40% - Accent6 3 4 3 3" xfId="23191" xr:uid="{C373E0D0-C3D6-4B81-A38F-B3D5A787B99B}"/>
    <cellStyle name="40% - Accent6 3 4 3 4" xfId="31631" xr:uid="{A086514A-2AF9-46F5-97C7-5BE56FBFFFCC}"/>
    <cellStyle name="40% - Accent6 3 4 4" xfId="10533" xr:uid="{AD57B459-E02F-4973-B07B-E616C7100D79}"/>
    <cellStyle name="40% - Accent6 3 4 5" xfId="18974" xr:uid="{38582655-50D7-4F42-9061-05426915533E}"/>
    <cellStyle name="40% - Accent6 3 4 6" xfId="27414" xr:uid="{53AF3D03-AA98-4A95-8E2E-B2181D7D9AD2}"/>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2854E0D7-34C4-4168-8063-D493F80793C0}"/>
    <cellStyle name="40% - Accent6 3 5 2 2 3" xfId="25749" xr:uid="{14CA884B-13A2-4A02-B736-AF63F7750878}"/>
    <cellStyle name="40% - Accent6 3 5 2 2 4" xfId="34189" xr:uid="{19FFEE49-9C6C-49CF-BEA4-852CB4245284}"/>
    <cellStyle name="40% - Accent6 3 5 2 3" xfId="13091" xr:uid="{181931AE-DADA-4A74-90EA-6328F60B4CC6}"/>
    <cellStyle name="40% - Accent6 3 5 2 4" xfId="21532" xr:uid="{0C1FDFED-9154-44F6-B35B-31CE3E1498BD}"/>
    <cellStyle name="40% - Accent6 3 5 2 5" xfId="29972" xr:uid="{ADA64980-B925-4E1A-80FA-FE40DCD75ABD}"/>
    <cellStyle name="40% - Accent6 3 5 3" xfId="5837" xr:uid="{00000000-0005-0000-0000-000052070000}"/>
    <cellStyle name="40% - Accent6 3 5 3 2" xfId="15163" xr:uid="{B404CA88-DECC-4F71-A18E-C57EF159A170}"/>
    <cellStyle name="40% - Accent6 3 5 3 3" xfId="23604" xr:uid="{4AC95036-37F3-4FD0-A732-9DFC1EC4F1BE}"/>
    <cellStyle name="40% - Accent6 3 5 3 4" xfId="32044" xr:uid="{92A32191-8A05-4F38-9F07-0B2E1FC3AB58}"/>
    <cellStyle name="40% - Accent6 3 5 4" xfId="10946" xr:uid="{414737AB-78BD-47F7-902D-2281C6B8E1C9}"/>
    <cellStyle name="40% - Accent6 3 5 5" xfId="19387" xr:uid="{D2E30E59-CF39-4489-85E0-8886D607E6F1}"/>
    <cellStyle name="40% - Accent6 3 5 6" xfId="27827" xr:uid="{E55D2020-EF03-41E8-A10C-A0D527EE8972}"/>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46411AFA-DA18-4A7F-845B-A10FB1613FC9}"/>
    <cellStyle name="40% - Accent6 3 6 2 2 3" xfId="26162" xr:uid="{B1C361C3-2888-4032-8DCE-2A957C1D3935}"/>
    <cellStyle name="40% - Accent6 3 6 2 2 4" xfId="34602" xr:uid="{80240F13-3563-4A9C-9774-C57345396FAD}"/>
    <cellStyle name="40% - Accent6 3 6 2 3" xfId="13504" xr:uid="{4C93F6CD-F391-47A4-91C1-D7DA0E2EEFEC}"/>
    <cellStyle name="40% - Accent6 3 6 2 4" xfId="21945" xr:uid="{B1A12F35-8A4D-451D-8FDB-943CE0F44F57}"/>
    <cellStyle name="40% - Accent6 3 6 2 5" xfId="30385" xr:uid="{A4F03DE8-8D44-4DA6-ABB5-F6192D0DF9CD}"/>
    <cellStyle name="40% - Accent6 3 6 3" xfId="6250" xr:uid="{00000000-0005-0000-0000-000056070000}"/>
    <cellStyle name="40% - Accent6 3 6 3 2" xfId="15576" xr:uid="{0874679C-78D8-4BAB-ACAE-EF73F49DA809}"/>
    <cellStyle name="40% - Accent6 3 6 3 3" xfId="24017" xr:uid="{749644A6-64AD-4D86-B2D3-AED97F83D3DC}"/>
    <cellStyle name="40% - Accent6 3 6 3 4" xfId="32457" xr:uid="{014E7379-3E46-4A2C-9BE8-86725117B2A7}"/>
    <cellStyle name="40% - Accent6 3 6 4" xfId="11359" xr:uid="{C1D511E5-C5D2-4623-AF16-BFD9089E7010}"/>
    <cellStyle name="40% - Accent6 3 6 5" xfId="19800" xr:uid="{79D756D0-07F9-4B7C-87EA-959F00004C27}"/>
    <cellStyle name="40% - Accent6 3 6 6" xfId="28240" xr:uid="{79375BA7-A317-4736-8602-6C59AE9832FD}"/>
    <cellStyle name="40% - Accent6 3 7" xfId="2357" xr:uid="{00000000-0005-0000-0000-000057070000}"/>
    <cellStyle name="40% - Accent6 3 7 2" xfId="6663" xr:uid="{00000000-0005-0000-0000-000058070000}"/>
    <cellStyle name="40% - Accent6 3 7 2 2" xfId="15989" xr:uid="{E4889801-F3D4-4B58-84BE-A337D44D35B0}"/>
    <cellStyle name="40% - Accent6 3 7 2 3" xfId="24430" xr:uid="{C80ECE84-B4CF-487F-8AAA-C48BB4D909DB}"/>
    <cellStyle name="40% - Accent6 3 7 2 4" xfId="32870" xr:uid="{999187A2-55A6-4471-9E1C-42719E5D7654}"/>
    <cellStyle name="40% - Accent6 3 7 3" xfId="11772" xr:uid="{952AD310-1775-4503-A2FE-5D493BF9460A}"/>
    <cellStyle name="40% - Accent6 3 7 4" xfId="20213" xr:uid="{A08DB3D1-62A6-4705-8DFC-16E0CFE8BA5E}"/>
    <cellStyle name="40% - Accent6 3 7 5" xfId="28653" xr:uid="{5E482F35-0B82-43E9-8B3D-83DFFFB8C02F}"/>
    <cellStyle name="40% - Accent6 3 8" xfId="4597" xr:uid="{00000000-0005-0000-0000-000059070000}"/>
    <cellStyle name="40% - Accent6 3 8 2" xfId="13923" xr:uid="{0E9C6BB4-B637-4B45-A3F2-6235E42C4E7A}"/>
    <cellStyle name="40% - Accent6 3 8 3" xfId="22364" xr:uid="{7E4F99FA-2B65-4C5D-9673-654ACA9571E3}"/>
    <cellStyle name="40% - Accent6 3 8 4" xfId="30804" xr:uid="{2CDD7632-F899-44B9-A19F-CF0BFD538A46}"/>
    <cellStyle name="40% - Accent6 3 9" xfId="8872" xr:uid="{E018AF0F-504E-4DED-BF70-CC97997D74E9}"/>
    <cellStyle name="40% - Accent6 4" xfId="96" xr:uid="{00000000-0005-0000-0000-00005A070000}"/>
    <cellStyle name="40% - Accent6 4 10" xfId="18149" xr:uid="{52AE2791-621A-4417-8FF6-D0ABF97BF251}"/>
    <cellStyle name="40% - Accent6 4 11" xfId="26589" xr:uid="{57CCB1D3-890F-48AA-A642-273260841D5B}"/>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F2F2780A-F696-4BD1-A43E-CA2090EDAF15}"/>
    <cellStyle name="40% - Accent6 4 2 2 2 3" xfId="24925" xr:uid="{99182BD8-10B1-4332-8972-E0E275FCA98D}"/>
    <cellStyle name="40% - Accent6 4 2 2 2 4" xfId="33365" xr:uid="{18F16695-E265-47EC-8F7D-C471DC7FF8E7}"/>
    <cellStyle name="40% - Accent6 4 2 2 3" xfId="12267" xr:uid="{C52F277E-B21E-48A3-A1FC-B049242E8C4E}"/>
    <cellStyle name="40% - Accent6 4 2 2 4" xfId="20708" xr:uid="{7C859956-7576-4562-8191-0980699AD96D}"/>
    <cellStyle name="40% - Accent6 4 2 2 5" xfId="29148" xr:uid="{B75F1638-F222-494D-8F5C-A00A1FD9C62F}"/>
    <cellStyle name="40% - Accent6 4 2 3" xfId="5013" xr:uid="{00000000-0005-0000-0000-00005E070000}"/>
    <cellStyle name="40% - Accent6 4 2 3 2" xfId="14339" xr:uid="{380FD18F-6E19-467A-8053-5F9C9C6D6891}"/>
    <cellStyle name="40% - Accent6 4 2 3 3" xfId="22780" xr:uid="{3A7D8CC4-172A-440A-88B9-A2BF163DAAE6}"/>
    <cellStyle name="40% - Accent6 4 2 3 4" xfId="31220" xr:uid="{E130B596-8465-4C48-9F1C-A20E107917A8}"/>
    <cellStyle name="40% - Accent6 4 2 4" xfId="9383" xr:uid="{07C7426F-B517-4815-A0BF-2BAE02B26B53}"/>
    <cellStyle name="40% - Accent6 4 2 5" xfId="10122" xr:uid="{F2282866-28CA-4D7A-9887-1F417B2842E5}"/>
    <cellStyle name="40% - Accent6 4 2 6" xfId="18563" xr:uid="{DF14DADC-DC2D-4021-818A-EE831D7C99FF}"/>
    <cellStyle name="40% - Accent6 4 2 7" xfId="27003" xr:uid="{6CD63E82-A483-43F3-B898-781A8612180B}"/>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1F101D05-4B15-46BE-B489-C465A16895DE}"/>
    <cellStyle name="40% - Accent6 4 3 2 2 3" xfId="25338" xr:uid="{46784055-5A0A-453D-8A2F-7061ED101A1B}"/>
    <cellStyle name="40% - Accent6 4 3 2 2 4" xfId="33778" xr:uid="{E625ABAC-1518-4117-B530-806798BD4B18}"/>
    <cellStyle name="40% - Accent6 4 3 2 3" xfId="12680" xr:uid="{AD6EC1D5-93FC-4FFE-9FB2-3B4480802207}"/>
    <cellStyle name="40% - Accent6 4 3 2 4" xfId="21121" xr:uid="{EDD5DD97-BB0D-41A2-B073-C193741E19B6}"/>
    <cellStyle name="40% - Accent6 4 3 2 5" xfId="29561" xr:uid="{0D7EEF7A-FF6C-4E15-9539-37631616E1A1}"/>
    <cellStyle name="40% - Accent6 4 3 3" xfId="5426" xr:uid="{00000000-0005-0000-0000-000062070000}"/>
    <cellStyle name="40% - Accent6 4 3 3 2" xfId="14752" xr:uid="{02BB6C65-E2B0-40A3-A1AB-F12EF479E4E8}"/>
    <cellStyle name="40% - Accent6 4 3 3 3" xfId="23193" xr:uid="{EA31717D-2E12-4F37-BBD7-F69444A7B0FB}"/>
    <cellStyle name="40% - Accent6 4 3 3 4" xfId="31633" xr:uid="{851E24E0-B115-4D74-BD25-9FD73447F813}"/>
    <cellStyle name="40% - Accent6 4 3 4" xfId="10535" xr:uid="{232D136B-6F70-4762-9E6E-1E5A80418489}"/>
    <cellStyle name="40% - Accent6 4 3 5" xfId="18976" xr:uid="{A005B12F-660F-4B9E-8952-E733DB8F5B46}"/>
    <cellStyle name="40% - Accent6 4 3 6" xfId="27416" xr:uid="{7C8882A8-7BD3-4BE9-AE17-ACC60DCEE279}"/>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6FD6A2E4-E83B-4504-BFCF-B63415E8F5F9}"/>
    <cellStyle name="40% - Accent6 4 4 2 2 3" xfId="25751" xr:uid="{D4BD6ED1-82C9-4720-9991-917771819AF1}"/>
    <cellStyle name="40% - Accent6 4 4 2 2 4" xfId="34191" xr:uid="{02D97C9A-E3DD-48E5-8CA6-842583004643}"/>
    <cellStyle name="40% - Accent6 4 4 2 3" xfId="13093" xr:uid="{3B6C97BA-D48A-4CA7-B319-F165770FAC1A}"/>
    <cellStyle name="40% - Accent6 4 4 2 4" xfId="21534" xr:uid="{7D9D03EB-18DA-4EDB-888D-3868DF47EEB1}"/>
    <cellStyle name="40% - Accent6 4 4 2 5" xfId="29974" xr:uid="{8DDE16E0-E2B0-4FC4-9B99-86389C8AA38C}"/>
    <cellStyle name="40% - Accent6 4 4 3" xfId="5839" xr:uid="{00000000-0005-0000-0000-000066070000}"/>
    <cellStyle name="40% - Accent6 4 4 3 2" xfId="15165" xr:uid="{01608435-264F-4593-AF09-2FE4B151BF0F}"/>
    <cellStyle name="40% - Accent6 4 4 3 3" xfId="23606" xr:uid="{AB632029-D5FD-4B9D-8452-E402D7065707}"/>
    <cellStyle name="40% - Accent6 4 4 3 4" xfId="32046" xr:uid="{88921140-B826-4F23-BBF8-966E6848A94E}"/>
    <cellStyle name="40% - Accent6 4 4 4" xfId="10948" xr:uid="{0110CCD4-4264-481D-A24C-4AB665A33F43}"/>
    <cellStyle name="40% - Accent6 4 4 5" xfId="19389" xr:uid="{2E9F68F1-1C2F-4FA2-8713-AD1BBFCF03E6}"/>
    <cellStyle name="40% - Accent6 4 4 6" xfId="27829" xr:uid="{95863F38-FE80-4BCE-AE7D-B533501D1609}"/>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09496EF2-BF66-4F00-A39B-39CE1743FEE9}"/>
    <cellStyle name="40% - Accent6 4 5 2 2 3" xfId="26164" xr:uid="{23D68886-6BD8-4DFB-9232-38618C77E8FB}"/>
    <cellStyle name="40% - Accent6 4 5 2 2 4" xfId="34604" xr:uid="{AAFA209E-B0D7-4B0B-B592-55082E6CA868}"/>
    <cellStyle name="40% - Accent6 4 5 2 3" xfId="13506" xr:uid="{B196DCB7-3175-410E-97C6-FE914C160B66}"/>
    <cellStyle name="40% - Accent6 4 5 2 4" xfId="21947" xr:uid="{BF4ADBB0-D8F2-4A27-A4B3-1A5D0E7A03A4}"/>
    <cellStyle name="40% - Accent6 4 5 2 5" xfId="30387" xr:uid="{867B9105-9741-426A-B217-1F94C54C6BDE}"/>
    <cellStyle name="40% - Accent6 4 5 3" xfId="6252" xr:uid="{00000000-0005-0000-0000-00006A070000}"/>
    <cellStyle name="40% - Accent6 4 5 3 2" xfId="15578" xr:uid="{3A10F7E3-78D8-4E54-BBF2-85D76E599462}"/>
    <cellStyle name="40% - Accent6 4 5 3 3" xfId="24019" xr:uid="{447D420B-550B-4D5A-9881-143B36802300}"/>
    <cellStyle name="40% - Accent6 4 5 3 4" xfId="32459" xr:uid="{CC55BBD3-4E5A-499C-8D50-890B313C36FD}"/>
    <cellStyle name="40% - Accent6 4 5 4" xfId="11361" xr:uid="{BAA8ACCD-4956-4E88-A53D-DC958AA52176}"/>
    <cellStyle name="40% - Accent6 4 5 5" xfId="19802" xr:uid="{6FF879A2-79DE-45D1-A137-7783006EEB3C}"/>
    <cellStyle name="40% - Accent6 4 5 6" xfId="28242" xr:uid="{2E041A23-6692-4051-86F2-29D87921325E}"/>
    <cellStyle name="40% - Accent6 4 6" xfId="2359" xr:uid="{00000000-0005-0000-0000-00006B070000}"/>
    <cellStyle name="40% - Accent6 4 6 2" xfId="6665" xr:uid="{00000000-0005-0000-0000-00006C070000}"/>
    <cellStyle name="40% - Accent6 4 6 2 2" xfId="15991" xr:uid="{EB61FF5F-BE1F-4779-A4CE-F7EFC2C60799}"/>
    <cellStyle name="40% - Accent6 4 6 2 3" xfId="24432" xr:uid="{3F46093C-FFEB-4FC7-9DD9-14EA45D68140}"/>
    <cellStyle name="40% - Accent6 4 6 2 4" xfId="32872" xr:uid="{D0EF1B72-9C87-483B-A038-347E5F7120D7}"/>
    <cellStyle name="40% - Accent6 4 6 3" xfId="11774" xr:uid="{5D2487C4-52C4-4D37-A546-7BB4D5F2070F}"/>
    <cellStyle name="40% - Accent6 4 6 4" xfId="20215" xr:uid="{5F86BE40-2FB5-4090-943D-DD3AEE56EBBB}"/>
    <cellStyle name="40% - Accent6 4 6 5" xfId="28655" xr:uid="{A57497DF-5DE5-48D6-81AB-F964F0937D9B}"/>
    <cellStyle name="40% - Accent6 4 7" xfId="4599" xr:uid="{00000000-0005-0000-0000-00006D070000}"/>
    <cellStyle name="40% - Accent6 4 7 2" xfId="13925" xr:uid="{7D9707F5-9BAE-4EB4-979E-B5DE5EACF472}"/>
    <cellStyle name="40% - Accent6 4 7 3" xfId="22366" xr:uid="{48CB9017-44B6-4C95-AABF-0ACBE2601E3D}"/>
    <cellStyle name="40% - Accent6 4 7 4" xfId="30806" xr:uid="{2C326754-5ABD-4771-B840-848EF12699E7}"/>
    <cellStyle name="40% - Accent6 4 8" xfId="8958" xr:uid="{058203D5-6D6D-4106-8D68-93F66B236239}"/>
    <cellStyle name="40% - Accent6 4 9" xfId="9708" xr:uid="{D4B6AE0B-8CAA-46A6-A02C-DC1B130691DD}"/>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188AE031-13CF-491D-BD84-8479FA34924E}"/>
    <cellStyle name="40% - Accent6 5 2 2 3" xfId="24918" xr:uid="{54E12C7B-F30D-4D94-8AD8-09C97B99DF7C}"/>
    <cellStyle name="40% - Accent6 5 2 2 4" xfId="33358" xr:uid="{B1CC605D-6801-4B1B-8FEA-84507D22CD2D}"/>
    <cellStyle name="40% - Accent6 5 2 3" xfId="12260" xr:uid="{4329B12B-FCEE-4C57-9C2A-9474A23C5C23}"/>
    <cellStyle name="40% - Accent6 5 2 4" xfId="20701" xr:uid="{13F3F0C4-E95E-47B9-8201-54E79D6DDFE5}"/>
    <cellStyle name="40% - Accent6 5 2 5" xfId="29141" xr:uid="{31FF29F1-3F12-40BF-A30D-EE70C498A286}"/>
    <cellStyle name="40% - Accent6 5 3" xfId="5006" xr:uid="{00000000-0005-0000-0000-000071070000}"/>
    <cellStyle name="40% - Accent6 5 3 2" xfId="14332" xr:uid="{413A5930-AC06-4E9E-98E6-45D2D3DC4514}"/>
    <cellStyle name="40% - Accent6 5 3 3" xfId="22773" xr:uid="{9581239B-ABF6-4853-B2F0-5980B2821C34}"/>
    <cellStyle name="40% - Accent6 5 3 4" xfId="31213" xr:uid="{B7B6C121-F7E8-43AB-8FF8-D63C45714A97}"/>
    <cellStyle name="40% - Accent6 5 4" xfId="9192" xr:uid="{19661A88-B46A-4EF9-A9F3-4BCF8E242108}"/>
    <cellStyle name="40% - Accent6 5 5" xfId="10115" xr:uid="{0E7BE409-7C81-4F08-B888-A0B9F873B3F3}"/>
    <cellStyle name="40% - Accent6 5 6" xfId="18556" xr:uid="{FB8911C1-E022-4F84-BF10-92B96B3C1152}"/>
    <cellStyle name="40% - Accent6 5 7" xfId="26996" xr:uid="{D76220AD-7011-4E8A-8307-B229C35EF37B}"/>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DE868C13-F5CA-42F8-B56D-AA76E32C29A2}"/>
    <cellStyle name="40% - Accent6 6 2 2 3" xfId="25331" xr:uid="{AF4A3473-AC32-45D3-92C9-9089E53566B6}"/>
    <cellStyle name="40% - Accent6 6 2 2 4" xfId="33771" xr:uid="{A22CFF0F-6093-49FE-BF02-25AB3CA6A575}"/>
    <cellStyle name="40% - Accent6 6 2 3" xfId="12673" xr:uid="{9C1ACA15-F539-40BB-93ED-5F9D16A3CD60}"/>
    <cellStyle name="40% - Accent6 6 2 4" xfId="21114" xr:uid="{5CB74F98-8E7F-4EA6-A774-00598E1C3254}"/>
    <cellStyle name="40% - Accent6 6 2 5" xfId="29554" xr:uid="{333E9A95-24AB-44FE-BE5B-A32CB14600CB}"/>
    <cellStyle name="40% - Accent6 6 3" xfId="5419" xr:uid="{00000000-0005-0000-0000-000075070000}"/>
    <cellStyle name="40% - Accent6 6 3 2" xfId="14745" xr:uid="{62A07C53-EB26-453B-BA7C-1E4E306AB802}"/>
    <cellStyle name="40% - Accent6 6 3 3" xfId="23186" xr:uid="{D539604D-24B9-4E93-99C7-2730E87DB190}"/>
    <cellStyle name="40% - Accent6 6 3 4" xfId="31626" xr:uid="{135A83AD-B634-4009-82BC-40840F18EEE9}"/>
    <cellStyle name="40% - Accent6 6 4" xfId="10528" xr:uid="{35AC3D68-0FF5-4147-942D-74FE9958B290}"/>
    <cellStyle name="40% - Accent6 6 5" xfId="18969" xr:uid="{7571BF0B-AD69-4674-971C-6CEE1DD7941C}"/>
    <cellStyle name="40% - Accent6 6 6" xfId="27409" xr:uid="{9AC3B09B-1E03-4D6D-8664-7EE1AFB2B883}"/>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7A8DBCD5-2D21-4E10-B3A1-DF355949B307}"/>
    <cellStyle name="40% - Accent6 7 2 2 3" xfId="25744" xr:uid="{6F8D7360-1702-497D-AB86-E93336241028}"/>
    <cellStyle name="40% - Accent6 7 2 2 4" xfId="34184" xr:uid="{40310F15-8C9E-4D50-B27E-7E674ECBD78A}"/>
    <cellStyle name="40% - Accent6 7 2 3" xfId="13086" xr:uid="{E5C8E8A1-FD00-449B-8EB3-B88B0F43F741}"/>
    <cellStyle name="40% - Accent6 7 2 4" xfId="21527" xr:uid="{FEBDE352-D9AC-44DC-AAD2-C7B1497AD822}"/>
    <cellStyle name="40% - Accent6 7 2 5" xfId="29967" xr:uid="{CC2959E0-A324-42F9-9165-D9429A2D7ED8}"/>
    <cellStyle name="40% - Accent6 7 3" xfId="5832" xr:uid="{00000000-0005-0000-0000-000079070000}"/>
    <cellStyle name="40% - Accent6 7 3 2" xfId="15158" xr:uid="{D6666D3F-EC00-4B5A-9FCE-FCE05278F6E4}"/>
    <cellStyle name="40% - Accent6 7 3 3" xfId="23599" xr:uid="{F1787C52-836B-4DEF-8EF2-173E7C4B81CF}"/>
    <cellStyle name="40% - Accent6 7 3 4" xfId="32039" xr:uid="{8A885AB5-4C50-4A41-9216-FBE65E196E08}"/>
    <cellStyle name="40% - Accent6 7 4" xfId="10941" xr:uid="{4FA92165-52A6-4B20-A654-2AF188960B37}"/>
    <cellStyle name="40% - Accent6 7 5" xfId="19382" xr:uid="{85FEED43-AFDC-4EDD-B1FD-96BCEB394CD1}"/>
    <cellStyle name="40% - Accent6 7 6" xfId="27822" xr:uid="{7EAC2D27-3D01-485E-89FA-DA08FA187CF6}"/>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E65F3ABD-D62A-4C6E-8F97-B03C8E2D4D36}"/>
    <cellStyle name="40% - Accent6 8 2 2 3" xfId="26157" xr:uid="{15C04EC2-9C22-4C83-951B-2575A432D3D5}"/>
    <cellStyle name="40% - Accent6 8 2 2 4" xfId="34597" xr:uid="{02E5F7C3-A265-40A7-A1A4-B97E2D4C0D26}"/>
    <cellStyle name="40% - Accent6 8 2 3" xfId="13499" xr:uid="{94C686F7-43AB-4699-99A7-92E862B68693}"/>
    <cellStyle name="40% - Accent6 8 2 4" xfId="21940" xr:uid="{8F482FE7-159B-4ABC-BA80-008D0AC6F9EB}"/>
    <cellStyle name="40% - Accent6 8 2 5" xfId="30380" xr:uid="{22BDE8B1-A4FF-49C3-B5D3-ABE3E5EC4C71}"/>
    <cellStyle name="40% - Accent6 8 3" xfId="6245" xr:uid="{00000000-0005-0000-0000-00007D070000}"/>
    <cellStyle name="40% - Accent6 8 3 2" xfId="15571" xr:uid="{60256C88-D551-4883-8BC3-FFA7FEB0B6CF}"/>
    <cellStyle name="40% - Accent6 8 3 3" xfId="24012" xr:uid="{D863801A-22E0-4A2E-905C-B11D7F5960AD}"/>
    <cellStyle name="40% - Accent6 8 3 4" xfId="32452" xr:uid="{F648DFD7-7AA9-416B-9ABA-3A36AFB358FC}"/>
    <cellStyle name="40% - Accent6 8 4" xfId="11354" xr:uid="{50F25596-E9B0-453A-955C-0C221CB90B1E}"/>
    <cellStyle name="40% - Accent6 8 5" xfId="19795" xr:uid="{0BC932E6-79DD-4AC2-BB9A-62F13ED9F3D0}"/>
    <cellStyle name="40% - Accent6 8 6" xfId="28235" xr:uid="{C8E788EE-E798-4C5E-A9B9-E659E1F285CF}"/>
    <cellStyle name="40% - Accent6 9" xfId="2352" xr:uid="{00000000-0005-0000-0000-00007E070000}"/>
    <cellStyle name="40% - Accent6 9 2" xfId="6658" xr:uid="{00000000-0005-0000-0000-00007F070000}"/>
    <cellStyle name="40% - Accent6 9 2 2" xfId="15984" xr:uid="{150AF0D4-5445-4052-9483-463C49C80870}"/>
    <cellStyle name="40% - Accent6 9 2 3" xfId="24425" xr:uid="{38834385-8935-4C35-B97F-616B3082D1DD}"/>
    <cellStyle name="40% - Accent6 9 2 4" xfId="32865" xr:uid="{8D7253DA-4CF6-4742-A2C5-D20AFBAA19E2}"/>
    <cellStyle name="40% - Accent6 9 3" xfId="11767" xr:uid="{66B2E3EA-C94C-489C-B90A-E883A5F77D24}"/>
    <cellStyle name="40% - Accent6 9 4" xfId="20208" xr:uid="{DFDAE0CA-77B4-4D59-BDFC-0B068D7A88FF}"/>
    <cellStyle name="40% - Accent6 9 5" xfId="28648" xr:uid="{402AE987-3F13-4076-84C4-08A6F9CE6FB1}"/>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DFE4E792-6D37-4D74-8949-737D89E2B62C}"/>
    <cellStyle name="Comma 4 2 2 2 10 2 3" xfId="24750" xr:uid="{904DAC3B-917A-4E6F-B8D1-D1716157BF61}"/>
    <cellStyle name="Comma 4 2 2 2 10 2 4" xfId="33190" xr:uid="{E473E51F-31B5-4381-813F-E3C9A16B394E}"/>
    <cellStyle name="Comma 4 2 2 2 10 3" xfId="12092" xr:uid="{E14EF1B8-6568-4207-B4DA-E729BE6545A1}"/>
    <cellStyle name="Comma 4 2 2 2 10 4" xfId="20533" xr:uid="{C850C8BC-6BCC-469C-81A7-168F1879567D}"/>
    <cellStyle name="Comma 4 2 2 2 10 5" xfId="28973" xr:uid="{FE117B9E-A261-41E8-9886-3196467B0B25}"/>
    <cellStyle name="Comma 4 2 2 2 11" xfId="4600" xr:uid="{00000000-0005-0000-0000-0000A3070000}"/>
    <cellStyle name="Comma 4 2 2 2 11 2" xfId="13926" xr:uid="{3FABB8B4-A711-4914-A670-086D2FDB2BCB}"/>
    <cellStyle name="Comma 4 2 2 2 11 3" xfId="22367" xr:uid="{D267DFAB-0283-49E2-8CCA-14C64FDC0B5C}"/>
    <cellStyle name="Comma 4 2 2 2 11 4" xfId="30807" xr:uid="{BCA5461A-BA3A-4361-89D1-B4ED0A3EE4C9}"/>
    <cellStyle name="Comma 4 2 2 2 12" xfId="8806" xr:uid="{6C773D0B-D2E3-4A8C-B041-8DA2843B9E25}"/>
    <cellStyle name="Comma 4 2 2 2 13" xfId="9709" xr:uid="{1B22604B-CBED-4C27-97AF-EDEDF4CC298B}"/>
    <cellStyle name="Comma 4 2 2 2 14" xfId="18150" xr:uid="{77DDB6BD-60BD-4070-94B2-BC60F64D00AF}"/>
    <cellStyle name="Comma 4 2 2 2 15" xfId="26590" xr:uid="{11E81CC4-D18F-459E-896D-60B24D06D681}"/>
    <cellStyle name="Comma 4 2 2 2 2" xfId="129" xr:uid="{00000000-0005-0000-0000-0000A4070000}"/>
    <cellStyle name="Comma 4 2 2 2 2 10" xfId="4601" xr:uid="{00000000-0005-0000-0000-0000A5070000}"/>
    <cellStyle name="Comma 4 2 2 2 2 10 2" xfId="13927" xr:uid="{13900C4A-87A3-4B39-9A83-D04245982493}"/>
    <cellStyle name="Comma 4 2 2 2 2 10 3" xfId="22368" xr:uid="{1EA12E38-9D52-48B7-A646-DB2FA2523F72}"/>
    <cellStyle name="Comma 4 2 2 2 2 10 4" xfId="30808" xr:uid="{FA06B2D9-B712-43B1-ADD5-54D4E7083905}"/>
    <cellStyle name="Comma 4 2 2 2 2 11" xfId="8909" xr:uid="{477FCE05-1F49-4658-A03C-A8A5E7983C47}"/>
    <cellStyle name="Comma 4 2 2 2 2 12" xfId="9710" xr:uid="{0D4F6319-8583-462F-B514-0254A62D4633}"/>
    <cellStyle name="Comma 4 2 2 2 2 13" xfId="18151" xr:uid="{23F5242A-5835-4935-861E-5995423A9DC0}"/>
    <cellStyle name="Comma 4 2 2 2 2 14" xfId="26591" xr:uid="{E12A82DF-6CC1-436E-877B-CF853521066E}"/>
    <cellStyle name="Comma 4 2 2 2 2 2" xfId="130" xr:uid="{00000000-0005-0000-0000-0000A6070000}"/>
    <cellStyle name="Comma 4 2 2 2 2 2 10" xfId="9116" xr:uid="{7A07505D-6B4C-4086-90B5-B5D345FB7611}"/>
    <cellStyle name="Comma 4 2 2 2 2 2 11" xfId="9711" xr:uid="{D438C436-A243-48B9-B6B7-987DAFBB50B0}"/>
    <cellStyle name="Comma 4 2 2 2 2 2 12" xfId="18152" xr:uid="{7DF009C0-3363-473B-B2AB-D0B4C072D5E3}"/>
    <cellStyle name="Comma 4 2 2 2 2 2 13" xfId="26592" xr:uid="{3D39FDAD-E786-4FF0-825A-0B59474812E4}"/>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DF103757-4D74-4F6C-A37E-7072A5873B87}"/>
    <cellStyle name="Comma 4 2 2 2 2 2 2 2 2 3" xfId="24928" xr:uid="{3F07809A-08FB-422C-B0D2-56D28145F8C4}"/>
    <cellStyle name="Comma 4 2 2 2 2 2 2 2 2 4" xfId="33368" xr:uid="{DFC53E5E-BC86-4483-8EDD-EA95034A0562}"/>
    <cellStyle name="Comma 4 2 2 2 2 2 2 2 3" xfId="12270" xr:uid="{D497B66B-5A01-4521-B52F-1AC134F07F5C}"/>
    <cellStyle name="Comma 4 2 2 2 2 2 2 2 4" xfId="20711" xr:uid="{2A3626B4-77D0-4DA6-9174-57CC65540CBB}"/>
    <cellStyle name="Comma 4 2 2 2 2 2 2 2 5" xfId="29151" xr:uid="{624662A1-A293-44E3-A9DB-656DC16334D8}"/>
    <cellStyle name="Comma 4 2 2 2 2 2 2 3" xfId="5016" xr:uid="{00000000-0005-0000-0000-0000AA070000}"/>
    <cellStyle name="Comma 4 2 2 2 2 2 2 3 2" xfId="14342" xr:uid="{4F801884-B732-4233-9294-FCD4B3F220DE}"/>
    <cellStyle name="Comma 4 2 2 2 2 2 2 3 3" xfId="22783" xr:uid="{D1B4E02D-6CED-4A50-A8F1-335F1E99EEE9}"/>
    <cellStyle name="Comma 4 2 2 2 2 2 2 3 4" xfId="31223" xr:uid="{3845DF58-3597-4776-B81C-8458232BC2B2}"/>
    <cellStyle name="Comma 4 2 2 2 2 2 2 4" xfId="9541" xr:uid="{21DC771E-83A2-48BA-BE40-3E9E8454DE28}"/>
    <cellStyle name="Comma 4 2 2 2 2 2 2 5" xfId="10125" xr:uid="{6B370D5E-F39E-4811-9688-1744C2458D66}"/>
    <cellStyle name="Comma 4 2 2 2 2 2 2 6" xfId="18566" xr:uid="{34583E4B-90D8-43CC-B4DE-DA80DC0E1144}"/>
    <cellStyle name="Comma 4 2 2 2 2 2 2 7" xfId="27006" xr:uid="{92EB6423-830E-4E3D-9F5A-E450C41BF781}"/>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3BABFEC3-73E4-4418-896C-9A9AF2FAEC14}"/>
    <cellStyle name="Comma 4 2 2 2 2 2 3 2 2 3" xfId="25341" xr:uid="{E0A9A2AA-41E7-4FF1-86FB-5E5AA8F430DB}"/>
    <cellStyle name="Comma 4 2 2 2 2 2 3 2 2 4" xfId="33781" xr:uid="{4708DA9F-57F4-41E0-BA7E-72C283FA40BA}"/>
    <cellStyle name="Comma 4 2 2 2 2 2 3 2 3" xfId="12683" xr:uid="{6EFC1BF9-431F-41CE-8823-9B6ED8ADA208}"/>
    <cellStyle name="Comma 4 2 2 2 2 2 3 2 4" xfId="21124" xr:uid="{9B9E410D-72DB-4026-BF7F-17A4EDFDC44E}"/>
    <cellStyle name="Comma 4 2 2 2 2 2 3 2 5" xfId="29564" xr:uid="{62DE44EB-7FD2-4AF1-ABBA-5E80E210767F}"/>
    <cellStyle name="Comma 4 2 2 2 2 2 3 3" xfId="5429" xr:uid="{00000000-0005-0000-0000-0000AE070000}"/>
    <cellStyle name="Comma 4 2 2 2 2 2 3 3 2" xfId="14755" xr:uid="{AE09B6EC-D61B-4735-A1AE-C67349D4FEC0}"/>
    <cellStyle name="Comma 4 2 2 2 2 2 3 3 3" xfId="23196" xr:uid="{7832CE8D-6C7B-4F53-9513-210BCD190F3E}"/>
    <cellStyle name="Comma 4 2 2 2 2 2 3 3 4" xfId="31636" xr:uid="{4A3D9D93-133E-41C9-841A-B72A6218FE9B}"/>
    <cellStyle name="Comma 4 2 2 2 2 2 3 4" xfId="10538" xr:uid="{B1DCEA09-C3F1-457E-934C-4421C6455DFD}"/>
    <cellStyle name="Comma 4 2 2 2 2 2 3 5" xfId="18979" xr:uid="{5E0FBB94-C169-4F4B-83BE-11DDA41932BA}"/>
    <cellStyle name="Comma 4 2 2 2 2 2 3 6" xfId="27419" xr:uid="{5FD17D64-711F-452D-9AB2-1993384F7B62}"/>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6642A406-6C2F-4166-B3D4-225EBB5A6510}"/>
    <cellStyle name="Comma 4 2 2 2 2 2 4 2 2 3" xfId="25754" xr:uid="{E6486D87-59F0-474B-A5C5-BB4497F6C4DF}"/>
    <cellStyle name="Comma 4 2 2 2 2 2 4 2 2 4" xfId="34194" xr:uid="{4E0F4000-4352-4489-8C5B-1EAEFCF43F87}"/>
    <cellStyle name="Comma 4 2 2 2 2 2 4 2 3" xfId="13096" xr:uid="{8D8EE1D7-84F4-4EC3-A5BC-91A14C5ABA75}"/>
    <cellStyle name="Comma 4 2 2 2 2 2 4 2 4" xfId="21537" xr:uid="{9E152159-B596-4834-AC3C-CEC7D071B438}"/>
    <cellStyle name="Comma 4 2 2 2 2 2 4 2 5" xfId="29977" xr:uid="{B2F4E6C6-CA05-4A6E-97DF-0845D80B5A64}"/>
    <cellStyle name="Comma 4 2 2 2 2 2 4 3" xfId="5842" xr:uid="{00000000-0005-0000-0000-0000B2070000}"/>
    <cellStyle name="Comma 4 2 2 2 2 2 4 3 2" xfId="15168" xr:uid="{BB17ED36-B384-470A-B4AF-9F78883737C1}"/>
    <cellStyle name="Comma 4 2 2 2 2 2 4 3 3" xfId="23609" xr:uid="{019485F0-C990-4BBE-BA3D-4905D7EF94D1}"/>
    <cellStyle name="Comma 4 2 2 2 2 2 4 3 4" xfId="32049" xr:uid="{E6DFF56B-F320-4A9F-96E2-C6301F2710F0}"/>
    <cellStyle name="Comma 4 2 2 2 2 2 4 4" xfId="10951" xr:uid="{DDB1AF9F-428A-473D-A79F-74534468EE89}"/>
    <cellStyle name="Comma 4 2 2 2 2 2 4 5" xfId="19392" xr:uid="{9AE5EB84-47D1-4C7F-92E3-4DD4E950F330}"/>
    <cellStyle name="Comma 4 2 2 2 2 2 4 6" xfId="27832" xr:uid="{60BEFEE1-8001-4FD6-8ABC-E8A80D1BCD2C}"/>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65C1B557-CE0C-43AA-94B5-D8380F70CE98}"/>
    <cellStyle name="Comma 4 2 2 2 2 2 5 2 2 3" xfId="26167" xr:uid="{F159E418-1A70-47E4-9616-C50B7350B954}"/>
    <cellStyle name="Comma 4 2 2 2 2 2 5 2 2 4" xfId="34607" xr:uid="{B54E91C4-AA19-4774-B932-A4BA986C90F8}"/>
    <cellStyle name="Comma 4 2 2 2 2 2 5 2 3" xfId="13509" xr:uid="{9A9237AD-9024-4E42-9FC2-0E36AF736A96}"/>
    <cellStyle name="Comma 4 2 2 2 2 2 5 2 4" xfId="21950" xr:uid="{17978181-85E1-4FE2-BDE1-9B10D951D4F0}"/>
    <cellStyle name="Comma 4 2 2 2 2 2 5 2 5" xfId="30390" xr:uid="{FE26A081-03C1-4362-BCFF-E2250640D3AF}"/>
    <cellStyle name="Comma 4 2 2 2 2 2 5 3" xfId="6255" xr:uid="{00000000-0005-0000-0000-0000B6070000}"/>
    <cellStyle name="Comma 4 2 2 2 2 2 5 3 2" xfId="15581" xr:uid="{E9C6A5CB-6B92-4EF4-B00E-14427AC1C3E2}"/>
    <cellStyle name="Comma 4 2 2 2 2 2 5 3 3" xfId="24022" xr:uid="{F1CE0F7B-152E-4291-8269-709C730BB829}"/>
    <cellStyle name="Comma 4 2 2 2 2 2 5 3 4" xfId="32462" xr:uid="{511A4584-AFA5-494F-8ED6-B6668BA4CA53}"/>
    <cellStyle name="Comma 4 2 2 2 2 2 5 4" xfId="11364" xr:uid="{1BDFF9AE-6F4E-416A-B146-689C52AB33BB}"/>
    <cellStyle name="Comma 4 2 2 2 2 2 5 5" xfId="19805" xr:uid="{CFDCF5E0-0E81-480C-B9A6-E1A59B3A7BC6}"/>
    <cellStyle name="Comma 4 2 2 2 2 2 5 6" xfId="28245" xr:uid="{835535C0-056F-4790-A08C-DA0E6445E300}"/>
    <cellStyle name="Comma 4 2 2 2 2 2 6" xfId="2384" xr:uid="{00000000-0005-0000-0000-0000B7070000}"/>
    <cellStyle name="Comma 4 2 2 2 2 2 6 2" xfId="6668" xr:uid="{00000000-0005-0000-0000-0000B8070000}"/>
    <cellStyle name="Comma 4 2 2 2 2 2 6 2 2" xfId="15994" xr:uid="{4917C4BB-5277-4F22-BB90-7EF0B5A7F1E6}"/>
    <cellStyle name="Comma 4 2 2 2 2 2 6 2 3" xfId="24435" xr:uid="{9C2BA3FA-80CE-4945-BECB-AE47BD02CD75}"/>
    <cellStyle name="Comma 4 2 2 2 2 2 6 2 4" xfId="32875" xr:uid="{98456A87-B676-4829-BA2A-DC99277B12ED}"/>
    <cellStyle name="Comma 4 2 2 2 2 2 6 3" xfId="11777" xr:uid="{B708403B-3AD5-404A-BC01-7C995A4A96C1}"/>
    <cellStyle name="Comma 4 2 2 2 2 2 6 4" xfId="20218" xr:uid="{BB217913-8BF1-41A2-9B89-F43659140BD4}"/>
    <cellStyle name="Comma 4 2 2 2 2 2 6 5" xfId="28658" xr:uid="{C2D7B448-5DBC-43FC-8F3E-E4B1039E7D5C}"/>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A6B5242F-174B-44CB-A021-552A94BF0D40}"/>
    <cellStyle name="Comma 4 2 2 2 2 2 8 2 3" xfId="24752" xr:uid="{74AD1901-0102-4D32-A0B4-979791C56E7D}"/>
    <cellStyle name="Comma 4 2 2 2 2 2 8 2 4" xfId="33192" xr:uid="{C651BA82-B4F6-45EA-B1CE-57A4E8481E7F}"/>
    <cellStyle name="Comma 4 2 2 2 2 2 8 3" xfId="12094" xr:uid="{4711D6CC-78FA-4CB1-8CA1-BAF8B4511E00}"/>
    <cellStyle name="Comma 4 2 2 2 2 2 8 4" xfId="20535" xr:uid="{F6F6EE02-FDB0-48CE-9C94-353BCE3B7575}"/>
    <cellStyle name="Comma 4 2 2 2 2 2 8 5" xfId="28975" xr:uid="{C86B3794-03F6-40EF-92A3-20BB0CF13C42}"/>
    <cellStyle name="Comma 4 2 2 2 2 2 9" xfId="4602" xr:uid="{00000000-0005-0000-0000-0000BC070000}"/>
    <cellStyle name="Comma 4 2 2 2 2 2 9 2" xfId="13928" xr:uid="{0C66D324-896F-4608-B315-7DC1562792AA}"/>
    <cellStyle name="Comma 4 2 2 2 2 2 9 3" xfId="22369" xr:uid="{C48A4F77-C2C6-477D-8FC3-57EF9AE9BEEA}"/>
    <cellStyle name="Comma 4 2 2 2 2 2 9 4" xfId="30809" xr:uid="{C7A2A49F-0292-4036-88CA-BA19284593CB}"/>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1ACB6437-DF45-4206-9CB4-8EEACFDB1183}"/>
    <cellStyle name="Comma 4 2 2 2 2 3 2 2 3" xfId="24927" xr:uid="{F7E8A678-0BEC-4173-8133-519659C4C6C8}"/>
    <cellStyle name="Comma 4 2 2 2 2 3 2 2 4" xfId="33367" xr:uid="{F9D64384-A259-42B1-99C1-D196FE50CB09}"/>
    <cellStyle name="Comma 4 2 2 2 2 3 2 3" xfId="12269" xr:uid="{1A8772AA-CCF8-4D80-B6AB-BBA79D5FB385}"/>
    <cellStyle name="Comma 4 2 2 2 2 3 2 4" xfId="20710" xr:uid="{9495DE5D-EA2A-4568-99F4-9CEEB16BB68B}"/>
    <cellStyle name="Comma 4 2 2 2 2 3 2 5" xfId="29150" xr:uid="{E4281532-701C-4C53-B403-9CB7EB559BDC}"/>
    <cellStyle name="Comma 4 2 2 2 2 3 3" xfId="5015" xr:uid="{00000000-0005-0000-0000-0000C0070000}"/>
    <cellStyle name="Comma 4 2 2 2 2 3 3 2" xfId="14341" xr:uid="{9FDD1275-D542-4291-BDC9-9EA7C2FA9794}"/>
    <cellStyle name="Comma 4 2 2 2 2 3 3 3" xfId="22782" xr:uid="{0EBB7429-4F26-48DF-9939-272B63CAD4E0}"/>
    <cellStyle name="Comma 4 2 2 2 2 3 3 4" xfId="31222" xr:uid="{EDD0D56C-00D3-4CAF-8CE4-C855D8A42E52}"/>
    <cellStyle name="Comma 4 2 2 2 2 3 4" xfId="9334" xr:uid="{50E8807F-6450-4082-BD30-0A86C2E78D0E}"/>
    <cellStyle name="Comma 4 2 2 2 2 3 5" xfId="10124" xr:uid="{7B0E5682-28F0-4E32-905B-088000528D08}"/>
    <cellStyle name="Comma 4 2 2 2 2 3 6" xfId="18565" xr:uid="{45299437-F580-4680-B5F6-405786CF1265}"/>
    <cellStyle name="Comma 4 2 2 2 2 3 7" xfId="27005" xr:uid="{98B042F7-2469-4835-A9F4-20B000C006BC}"/>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0F03F411-7BE1-4E44-A0C9-66566ED4D797}"/>
    <cellStyle name="Comma 4 2 2 2 2 4 2 2 3" xfId="25340" xr:uid="{FDC30176-5ABE-44B5-8B1E-7A1563CB05FC}"/>
    <cellStyle name="Comma 4 2 2 2 2 4 2 2 4" xfId="33780" xr:uid="{9641E57E-BE31-4EA5-9097-CB25FCA1F6B8}"/>
    <cellStyle name="Comma 4 2 2 2 2 4 2 3" xfId="12682" xr:uid="{A9C65361-90F8-4DE4-B26B-C40D37BF3AF6}"/>
    <cellStyle name="Comma 4 2 2 2 2 4 2 4" xfId="21123" xr:uid="{8C0CEA83-C12D-4ED0-B61A-95B3E8DEBE19}"/>
    <cellStyle name="Comma 4 2 2 2 2 4 2 5" xfId="29563" xr:uid="{FD165BA0-3FC9-4479-B5E0-3B1A846000E1}"/>
    <cellStyle name="Comma 4 2 2 2 2 4 3" xfId="5428" xr:uid="{00000000-0005-0000-0000-0000C4070000}"/>
    <cellStyle name="Comma 4 2 2 2 2 4 3 2" xfId="14754" xr:uid="{3E848E8C-A53B-46C1-8A5B-5BEEA9F67083}"/>
    <cellStyle name="Comma 4 2 2 2 2 4 3 3" xfId="23195" xr:uid="{BDCD5D9B-5A21-43B0-8573-2FC4F7F76AB3}"/>
    <cellStyle name="Comma 4 2 2 2 2 4 3 4" xfId="31635" xr:uid="{D995EAED-3C86-4F4F-BF8A-4A60513ACAED}"/>
    <cellStyle name="Comma 4 2 2 2 2 4 4" xfId="10537" xr:uid="{7D157A41-7A41-4C56-A717-2D52854AF857}"/>
    <cellStyle name="Comma 4 2 2 2 2 4 5" xfId="18978" xr:uid="{5060AE2B-C7BD-4B9D-975E-A69D76A97B5D}"/>
    <cellStyle name="Comma 4 2 2 2 2 4 6" xfId="27418" xr:uid="{AA9C22CF-9DE2-4016-B450-001BA0F9C421}"/>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809BA1AB-22A2-4888-8338-D270B50848A0}"/>
    <cellStyle name="Comma 4 2 2 2 2 5 2 2 3" xfId="25753" xr:uid="{353E470D-682A-4310-82D8-83DB1F01B291}"/>
    <cellStyle name="Comma 4 2 2 2 2 5 2 2 4" xfId="34193" xr:uid="{1CDC7FDC-4924-44CD-B2D1-F80A73D45A3A}"/>
    <cellStyle name="Comma 4 2 2 2 2 5 2 3" xfId="13095" xr:uid="{BA1FDD27-BB64-4453-A37C-6122632C2008}"/>
    <cellStyle name="Comma 4 2 2 2 2 5 2 4" xfId="21536" xr:uid="{26FE1AE9-A3B1-4B32-8637-FD025D31AF0F}"/>
    <cellStyle name="Comma 4 2 2 2 2 5 2 5" xfId="29976" xr:uid="{A40CA788-7691-4D24-ADF1-44CE59EBCF91}"/>
    <cellStyle name="Comma 4 2 2 2 2 5 3" xfId="5841" xr:uid="{00000000-0005-0000-0000-0000C8070000}"/>
    <cellStyle name="Comma 4 2 2 2 2 5 3 2" xfId="15167" xr:uid="{50BF04CE-0F74-4610-9C7E-B655FDA737FA}"/>
    <cellStyle name="Comma 4 2 2 2 2 5 3 3" xfId="23608" xr:uid="{23124AC5-60CE-4940-B76C-15971D0B1846}"/>
    <cellStyle name="Comma 4 2 2 2 2 5 3 4" xfId="32048" xr:uid="{D285CFBC-BC85-4C8C-B653-34BD838E8A82}"/>
    <cellStyle name="Comma 4 2 2 2 2 5 4" xfId="10950" xr:uid="{B1310D5D-592A-479F-8851-315E3E6A7742}"/>
    <cellStyle name="Comma 4 2 2 2 2 5 5" xfId="19391" xr:uid="{7A2ACC50-0505-4778-8F9D-A762CA1672AD}"/>
    <cellStyle name="Comma 4 2 2 2 2 5 6" xfId="27831" xr:uid="{5B548CA9-4551-43D4-86B7-7E947B36DB5F}"/>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0DD76944-5648-4699-BFDD-99F07B041FD4}"/>
    <cellStyle name="Comma 4 2 2 2 2 6 2 2 3" xfId="26166" xr:uid="{4F9E55C7-C779-455E-A75A-FE3A932CE31C}"/>
    <cellStyle name="Comma 4 2 2 2 2 6 2 2 4" xfId="34606" xr:uid="{290C02AF-0A7E-4547-82B6-FC5DF31DCB38}"/>
    <cellStyle name="Comma 4 2 2 2 2 6 2 3" xfId="13508" xr:uid="{E0D83843-18F9-4124-8E4D-F71A89155A04}"/>
    <cellStyle name="Comma 4 2 2 2 2 6 2 4" xfId="21949" xr:uid="{E47C810E-4AFB-4482-95AA-64E2CE45A065}"/>
    <cellStyle name="Comma 4 2 2 2 2 6 2 5" xfId="30389" xr:uid="{31C232DF-4E22-44A7-926C-8B546489E070}"/>
    <cellStyle name="Comma 4 2 2 2 2 6 3" xfId="6254" xr:uid="{00000000-0005-0000-0000-0000CC070000}"/>
    <cellStyle name="Comma 4 2 2 2 2 6 3 2" xfId="15580" xr:uid="{839B4E29-210C-4397-A350-0925FD81239B}"/>
    <cellStyle name="Comma 4 2 2 2 2 6 3 3" xfId="24021" xr:uid="{BF45E553-DEF0-4D61-A076-C0CF081FCDCA}"/>
    <cellStyle name="Comma 4 2 2 2 2 6 3 4" xfId="32461" xr:uid="{73C63242-EBD8-426F-915D-9485F43335A5}"/>
    <cellStyle name="Comma 4 2 2 2 2 6 4" xfId="11363" xr:uid="{AF1D12DC-7305-4497-98D9-5DDE44EABA59}"/>
    <cellStyle name="Comma 4 2 2 2 2 6 5" xfId="19804" xr:uid="{D9BE6160-A487-4269-982F-15A02804DCF8}"/>
    <cellStyle name="Comma 4 2 2 2 2 6 6" xfId="28244" xr:uid="{26139525-C1B1-4078-B2EE-F00A4E6D2597}"/>
    <cellStyle name="Comma 4 2 2 2 2 7" xfId="2383" xr:uid="{00000000-0005-0000-0000-0000CD070000}"/>
    <cellStyle name="Comma 4 2 2 2 2 7 2" xfId="6667" xr:uid="{00000000-0005-0000-0000-0000CE070000}"/>
    <cellStyle name="Comma 4 2 2 2 2 7 2 2" xfId="15993" xr:uid="{CFF91465-4C64-48D6-AAAF-F6762EECE42F}"/>
    <cellStyle name="Comma 4 2 2 2 2 7 2 3" xfId="24434" xr:uid="{CCC38085-0B03-4543-A786-F91EEA394247}"/>
    <cellStyle name="Comma 4 2 2 2 2 7 2 4" xfId="32874" xr:uid="{0FDD9C39-F54F-45B6-804E-A568970D4F1D}"/>
    <cellStyle name="Comma 4 2 2 2 2 7 3" xfId="11776" xr:uid="{BEE44613-20AC-4743-A38E-A211C6150BC3}"/>
    <cellStyle name="Comma 4 2 2 2 2 7 4" xfId="20217" xr:uid="{E8AF4324-0634-471E-A99E-A6C3C72E1707}"/>
    <cellStyle name="Comma 4 2 2 2 2 7 5" xfId="28657" xr:uid="{59BAE47D-D9B5-49F9-A359-D60A3BDE4267}"/>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8239C001-EF55-4D75-A000-D3DABAADBD4D}"/>
    <cellStyle name="Comma 4 2 2 2 2 9 2 3" xfId="24751" xr:uid="{8D471351-AFA2-42F4-AFB3-78CB04EB8915}"/>
    <cellStyle name="Comma 4 2 2 2 2 9 2 4" xfId="33191" xr:uid="{2DB94D6F-CC38-427A-AF38-FA2FD90227F2}"/>
    <cellStyle name="Comma 4 2 2 2 2 9 3" xfId="12093" xr:uid="{7E524495-9889-47F7-96D4-9AD677B3B835}"/>
    <cellStyle name="Comma 4 2 2 2 2 9 4" xfId="20534" xr:uid="{AB7969D5-8ED9-49D8-9B5D-DB7415896DB5}"/>
    <cellStyle name="Comma 4 2 2 2 2 9 5" xfId="28974" xr:uid="{C885A7C7-443B-4E79-8DC1-7D69B4E77EF7}"/>
    <cellStyle name="Comma 4 2 2 2 3" xfId="131" xr:uid="{00000000-0005-0000-0000-0000D2070000}"/>
    <cellStyle name="Comma 4 2 2 2 3 10" xfId="9013" xr:uid="{D7491CA1-A7A0-4099-A659-9FB418CDDACA}"/>
    <cellStyle name="Comma 4 2 2 2 3 11" xfId="9712" xr:uid="{A7AEB616-4D11-4EC1-9AC6-BB50EB7B2F3D}"/>
    <cellStyle name="Comma 4 2 2 2 3 12" xfId="18153" xr:uid="{6F40E2CF-29FA-4846-974E-FF41BBA209A7}"/>
    <cellStyle name="Comma 4 2 2 2 3 13" xfId="26593" xr:uid="{66329DA8-B4BA-4C3D-B4F4-BD089B46D650}"/>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9814AE2D-E677-41B0-A133-1987F10756CA}"/>
    <cellStyle name="Comma 4 2 2 2 3 2 2 2 3" xfId="24929" xr:uid="{485DC5ED-6CC0-4366-8813-607C96C1C438}"/>
    <cellStyle name="Comma 4 2 2 2 3 2 2 2 4" xfId="33369" xr:uid="{1EB0400D-0D5E-4020-9952-BC4D9121CE7F}"/>
    <cellStyle name="Comma 4 2 2 2 3 2 2 3" xfId="12271" xr:uid="{12CA15BE-B229-4083-BA94-FD396223BD42}"/>
    <cellStyle name="Comma 4 2 2 2 3 2 2 4" xfId="20712" xr:uid="{7F6868A6-E891-4969-96D8-28B73A04E1A6}"/>
    <cellStyle name="Comma 4 2 2 2 3 2 2 5" xfId="29152" xr:uid="{CDC13FB0-F2F5-4920-B68D-EE468C124325}"/>
    <cellStyle name="Comma 4 2 2 2 3 2 3" xfId="5017" xr:uid="{00000000-0005-0000-0000-0000D6070000}"/>
    <cellStyle name="Comma 4 2 2 2 3 2 3 2" xfId="14343" xr:uid="{9BA58FEA-543A-48C7-BFBA-8CB31D2DD5C8}"/>
    <cellStyle name="Comma 4 2 2 2 3 2 3 3" xfId="22784" xr:uid="{C420874D-A842-4124-8AD1-8BAC47F435B5}"/>
    <cellStyle name="Comma 4 2 2 2 3 2 3 4" xfId="31224" xr:uid="{20317892-80B3-420F-9C27-7D18662FBD2E}"/>
    <cellStyle name="Comma 4 2 2 2 3 2 4" xfId="9438" xr:uid="{8E9C4341-814A-43D1-8D35-8CCC512A2E32}"/>
    <cellStyle name="Comma 4 2 2 2 3 2 5" xfId="10126" xr:uid="{AA35DEE8-EF6A-4270-B9EA-FD06AE2FF3C1}"/>
    <cellStyle name="Comma 4 2 2 2 3 2 6" xfId="18567" xr:uid="{ABDE82A7-25E2-48D8-85FD-7F108817A8CB}"/>
    <cellStyle name="Comma 4 2 2 2 3 2 7" xfId="27007" xr:uid="{523B529A-E6DE-4B32-91AE-D7347873E267}"/>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0F67BF27-1E5B-48B6-A227-FABC8AFD8C03}"/>
    <cellStyle name="Comma 4 2 2 2 3 3 2 2 3" xfId="25342" xr:uid="{206356FB-77A9-4A48-A71C-B06C1F06ED27}"/>
    <cellStyle name="Comma 4 2 2 2 3 3 2 2 4" xfId="33782" xr:uid="{1CB6C4A8-3579-4EA6-9E74-5B4D0E9A6FD0}"/>
    <cellStyle name="Comma 4 2 2 2 3 3 2 3" xfId="12684" xr:uid="{A64DEF89-D7B4-42C6-BF56-55F6EA79D42B}"/>
    <cellStyle name="Comma 4 2 2 2 3 3 2 4" xfId="21125" xr:uid="{00CB087C-4FC4-469E-BB41-6337F1834358}"/>
    <cellStyle name="Comma 4 2 2 2 3 3 2 5" xfId="29565" xr:uid="{4C284402-5AC5-47F6-B2B8-F4A3BCF73A06}"/>
    <cellStyle name="Comma 4 2 2 2 3 3 3" xfId="5430" xr:uid="{00000000-0005-0000-0000-0000DA070000}"/>
    <cellStyle name="Comma 4 2 2 2 3 3 3 2" xfId="14756" xr:uid="{4753BEF9-8A1B-41E3-8201-3EBFF48FDF2D}"/>
    <cellStyle name="Comma 4 2 2 2 3 3 3 3" xfId="23197" xr:uid="{712023EB-7FAC-4E3B-81DE-E57585829D6F}"/>
    <cellStyle name="Comma 4 2 2 2 3 3 3 4" xfId="31637" xr:uid="{203B1EF9-664E-44BF-9414-D24ECF6144B5}"/>
    <cellStyle name="Comma 4 2 2 2 3 3 4" xfId="10539" xr:uid="{EA786559-A9C0-4416-A362-FDC4DFA1175B}"/>
    <cellStyle name="Comma 4 2 2 2 3 3 5" xfId="18980" xr:uid="{B991D589-E0F3-4A90-AF81-92465C96DD7C}"/>
    <cellStyle name="Comma 4 2 2 2 3 3 6" xfId="27420" xr:uid="{6FF14F7A-12B4-4F60-9DFF-810D7CCA60BE}"/>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2E445650-0A94-47CC-A6D8-2BE55AB44403}"/>
    <cellStyle name="Comma 4 2 2 2 3 4 2 2 3" xfId="25755" xr:uid="{32DDF5AB-06E0-4D92-97B6-C46BCE08706E}"/>
    <cellStyle name="Comma 4 2 2 2 3 4 2 2 4" xfId="34195" xr:uid="{7B4FF94B-3105-4F0A-9360-7100D26CDDC3}"/>
    <cellStyle name="Comma 4 2 2 2 3 4 2 3" xfId="13097" xr:uid="{99B0C8C6-2F53-4BAC-AFF9-3DBA800D62C3}"/>
    <cellStyle name="Comma 4 2 2 2 3 4 2 4" xfId="21538" xr:uid="{167086FD-2617-4AC3-A061-BCA9AAAD750B}"/>
    <cellStyle name="Comma 4 2 2 2 3 4 2 5" xfId="29978" xr:uid="{FB854F18-6B1E-411E-B03C-3D85236708C2}"/>
    <cellStyle name="Comma 4 2 2 2 3 4 3" xfId="5843" xr:uid="{00000000-0005-0000-0000-0000DE070000}"/>
    <cellStyle name="Comma 4 2 2 2 3 4 3 2" xfId="15169" xr:uid="{DFDCFE4D-B4FD-42B6-9F3B-EA0097EB849A}"/>
    <cellStyle name="Comma 4 2 2 2 3 4 3 3" xfId="23610" xr:uid="{A66DD7C1-B055-40BE-A75B-9B234B60806D}"/>
    <cellStyle name="Comma 4 2 2 2 3 4 3 4" xfId="32050" xr:uid="{EB84E078-8121-4986-8C09-B33A276BDE8B}"/>
    <cellStyle name="Comma 4 2 2 2 3 4 4" xfId="10952" xr:uid="{67B11856-EA7C-4322-8EE0-3C0CE154D014}"/>
    <cellStyle name="Comma 4 2 2 2 3 4 5" xfId="19393" xr:uid="{8A761E78-BBB4-4200-8FA6-66F2B86D49E5}"/>
    <cellStyle name="Comma 4 2 2 2 3 4 6" xfId="27833" xr:uid="{EBCA3D3B-77C4-4C6C-B7D3-6BD6AAD96D08}"/>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727ACF53-4BE7-466A-AEF8-74EF29A1058A}"/>
    <cellStyle name="Comma 4 2 2 2 3 5 2 2 3" xfId="26168" xr:uid="{0C7BF02B-950F-4A02-97CF-2D1B7EB604DB}"/>
    <cellStyle name="Comma 4 2 2 2 3 5 2 2 4" xfId="34608" xr:uid="{BEA1BD67-0CE1-470B-BF34-368A3151186E}"/>
    <cellStyle name="Comma 4 2 2 2 3 5 2 3" xfId="13510" xr:uid="{38268FAB-161D-4355-8C63-5756E3EEB3FE}"/>
    <cellStyle name="Comma 4 2 2 2 3 5 2 4" xfId="21951" xr:uid="{518B9E3D-B302-4203-9A10-23638DBF5693}"/>
    <cellStyle name="Comma 4 2 2 2 3 5 2 5" xfId="30391" xr:uid="{D4A2D371-8A3E-44BB-9D4F-3BEB8B42D6BA}"/>
    <cellStyle name="Comma 4 2 2 2 3 5 3" xfId="6256" xr:uid="{00000000-0005-0000-0000-0000E2070000}"/>
    <cellStyle name="Comma 4 2 2 2 3 5 3 2" xfId="15582" xr:uid="{0F40F64F-3A96-45C6-B6F6-E15591E0C996}"/>
    <cellStyle name="Comma 4 2 2 2 3 5 3 3" xfId="24023" xr:uid="{60E9F130-6FDF-495B-9F25-555607BB01D8}"/>
    <cellStyle name="Comma 4 2 2 2 3 5 3 4" xfId="32463" xr:uid="{73652C56-3F1E-4E87-A744-B440B097F3E8}"/>
    <cellStyle name="Comma 4 2 2 2 3 5 4" xfId="11365" xr:uid="{062811D3-DC2E-411B-980F-2DC44027D4CB}"/>
    <cellStyle name="Comma 4 2 2 2 3 5 5" xfId="19806" xr:uid="{E8E283A1-5805-40AE-8775-56D6A9168D24}"/>
    <cellStyle name="Comma 4 2 2 2 3 5 6" xfId="28246" xr:uid="{FD596D79-68F2-47DB-AF5C-8F84F09045E2}"/>
    <cellStyle name="Comma 4 2 2 2 3 6" xfId="2385" xr:uid="{00000000-0005-0000-0000-0000E3070000}"/>
    <cellStyle name="Comma 4 2 2 2 3 6 2" xfId="6669" xr:uid="{00000000-0005-0000-0000-0000E4070000}"/>
    <cellStyle name="Comma 4 2 2 2 3 6 2 2" xfId="15995" xr:uid="{0B069BD5-77FE-425D-A3A4-9F9A6AC21C60}"/>
    <cellStyle name="Comma 4 2 2 2 3 6 2 3" xfId="24436" xr:uid="{A410C269-62B7-449B-812E-7E2799B992B0}"/>
    <cellStyle name="Comma 4 2 2 2 3 6 2 4" xfId="32876" xr:uid="{1B9F134E-44C3-4E9A-B947-49D8C9E5ADE7}"/>
    <cellStyle name="Comma 4 2 2 2 3 6 3" xfId="11778" xr:uid="{43E17DB2-F232-4134-8964-85C91AB098E7}"/>
    <cellStyle name="Comma 4 2 2 2 3 6 4" xfId="20219" xr:uid="{80059EC4-BB34-46D2-9556-CCB60A7468BE}"/>
    <cellStyle name="Comma 4 2 2 2 3 6 5" xfId="28659" xr:uid="{BACD677D-D0E9-441E-B1A9-237535FC1F70}"/>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A4151457-0B89-47BA-AC05-B26B9928E33B}"/>
    <cellStyle name="Comma 4 2 2 2 3 8 2 3" xfId="24753" xr:uid="{D1562D91-6FB3-493C-81E3-18441016A659}"/>
    <cellStyle name="Comma 4 2 2 2 3 8 2 4" xfId="33193" xr:uid="{61D36A9E-1AA0-467A-AF77-9806713696C9}"/>
    <cellStyle name="Comma 4 2 2 2 3 8 3" xfId="12095" xr:uid="{DEC5065F-8B57-4B63-A454-08E7B6EAA6F7}"/>
    <cellStyle name="Comma 4 2 2 2 3 8 4" xfId="20536" xr:uid="{12C59E0C-FE93-4E55-8152-5BB35639E9D4}"/>
    <cellStyle name="Comma 4 2 2 2 3 8 5" xfId="28976" xr:uid="{5C3EE271-2D10-464D-8890-92D6083F7385}"/>
    <cellStyle name="Comma 4 2 2 2 3 9" xfId="4603" xr:uid="{00000000-0005-0000-0000-0000E8070000}"/>
    <cellStyle name="Comma 4 2 2 2 3 9 2" xfId="13929" xr:uid="{1EF4707B-EDB8-4F1D-AEA3-43A861235270}"/>
    <cellStyle name="Comma 4 2 2 2 3 9 3" xfId="22370" xr:uid="{CC043DD1-4D7E-41BA-93EC-952F0FD53C4E}"/>
    <cellStyle name="Comma 4 2 2 2 3 9 4" xfId="30810" xr:uid="{76770E69-2768-47B0-8B5D-D013C7F3AE7D}"/>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783892BF-FD7A-4FE3-B013-B08ED9615472}"/>
    <cellStyle name="Comma 4 2 2 2 4 2 2 3" xfId="24926" xr:uid="{034BE735-C955-4F0B-98B6-1883C8953AC1}"/>
    <cellStyle name="Comma 4 2 2 2 4 2 2 4" xfId="33366" xr:uid="{39897480-5DE9-471F-9B05-647F6610D7DE}"/>
    <cellStyle name="Comma 4 2 2 2 4 2 3" xfId="12268" xr:uid="{358AC06D-8336-43C3-BCE9-E98841F1A2CF}"/>
    <cellStyle name="Comma 4 2 2 2 4 2 4" xfId="20709" xr:uid="{5D714EE6-2E5A-47CA-84B7-D3E25C9475E4}"/>
    <cellStyle name="Comma 4 2 2 2 4 2 5" xfId="29149" xr:uid="{0F8DFE1D-646D-434F-AB04-9E9048D11A15}"/>
    <cellStyle name="Comma 4 2 2 2 4 3" xfId="5014" xr:uid="{00000000-0005-0000-0000-0000EC070000}"/>
    <cellStyle name="Comma 4 2 2 2 4 3 2" xfId="14340" xr:uid="{E78EEEBA-478E-4E74-962C-892E4CC4BAEE}"/>
    <cellStyle name="Comma 4 2 2 2 4 3 3" xfId="22781" xr:uid="{701ABF61-7907-4870-8D33-BDB9D574AD62}"/>
    <cellStyle name="Comma 4 2 2 2 4 3 4" xfId="31221" xr:uid="{9BA19A02-912D-491D-8962-02E6483B0759}"/>
    <cellStyle name="Comma 4 2 2 2 4 4" xfId="9231" xr:uid="{31DAC97A-9492-467B-9850-183797A56FBE}"/>
    <cellStyle name="Comma 4 2 2 2 4 5" xfId="10123" xr:uid="{E82EAB40-0062-438E-AB53-2A37B7FE491D}"/>
    <cellStyle name="Comma 4 2 2 2 4 6" xfId="18564" xr:uid="{DD549465-BB71-4659-8C22-C4B04C373322}"/>
    <cellStyle name="Comma 4 2 2 2 4 7" xfId="27004" xr:uid="{AD4E2937-9F78-4618-B40E-74E82E5FD53F}"/>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B7904B0F-D860-4143-92E7-86E8E0DFB3F9}"/>
    <cellStyle name="Comma 4 2 2 2 5 2 2 3" xfId="25339" xr:uid="{E6F381AC-B285-428D-B685-CF565DAA6562}"/>
    <cellStyle name="Comma 4 2 2 2 5 2 2 4" xfId="33779" xr:uid="{B5736804-07E5-40E9-893B-C1AD96FA766E}"/>
    <cellStyle name="Comma 4 2 2 2 5 2 3" xfId="12681" xr:uid="{677740B7-A557-4EAE-87B0-A97469FCA65B}"/>
    <cellStyle name="Comma 4 2 2 2 5 2 4" xfId="21122" xr:uid="{31CCC807-552F-4270-88C5-A2BD55451453}"/>
    <cellStyle name="Comma 4 2 2 2 5 2 5" xfId="29562" xr:uid="{4C7D533C-F5F5-4039-9E0E-9035E9C63095}"/>
    <cellStyle name="Comma 4 2 2 2 5 3" xfId="5427" xr:uid="{00000000-0005-0000-0000-0000F0070000}"/>
    <cellStyle name="Comma 4 2 2 2 5 3 2" xfId="14753" xr:uid="{2DEAEEA3-73B3-4284-8C6F-F2ADC19FC9FA}"/>
    <cellStyle name="Comma 4 2 2 2 5 3 3" xfId="23194" xr:uid="{364F151D-1138-4C47-8F47-FEE1F3EF6631}"/>
    <cellStyle name="Comma 4 2 2 2 5 3 4" xfId="31634" xr:uid="{9FB9A283-EED6-481C-8FDB-303463010B38}"/>
    <cellStyle name="Comma 4 2 2 2 5 4" xfId="10536" xr:uid="{849DE5F0-9775-45B1-8120-C89ED85B62BC}"/>
    <cellStyle name="Comma 4 2 2 2 5 5" xfId="18977" xr:uid="{14678BF3-B885-4444-A02E-A05E1F03B189}"/>
    <cellStyle name="Comma 4 2 2 2 5 6" xfId="27417" xr:uid="{060D6F98-5918-40D0-AC80-49F3C760DE77}"/>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C14B4C58-C9C9-4070-9B33-3B1112CFB51E}"/>
    <cellStyle name="Comma 4 2 2 2 6 2 2 3" xfId="25752" xr:uid="{CDEDE117-C048-4553-8FF1-C8F34F46DD05}"/>
    <cellStyle name="Comma 4 2 2 2 6 2 2 4" xfId="34192" xr:uid="{B41E3FB3-94CF-41C0-80E3-539E3CDA3C7F}"/>
    <cellStyle name="Comma 4 2 2 2 6 2 3" xfId="13094" xr:uid="{45D38BDA-4261-4D6E-8677-83BAAB68FB11}"/>
    <cellStyle name="Comma 4 2 2 2 6 2 4" xfId="21535" xr:uid="{7C743C04-7451-4464-8051-FBB2AB89174F}"/>
    <cellStyle name="Comma 4 2 2 2 6 2 5" xfId="29975" xr:uid="{4E955567-9C9B-4765-8FC8-3491B1FE3D32}"/>
    <cellStyle name="Comma 4 2 2 2 6 3" xfId="5840" xr:uid="{00000000-0005-0000-0000-0000F4070000}"/>
    <cellStyle name="Comma 4 2 2 2 6 3 2" xfId="15166" xr:uid="{A2A65FFD-99AB-4652-BCDB-F0BE7FA0A117}"/>
    <cellStyle name="Comma 4 2 2 2 6 3 3" xfId="23607" xr:uid="{C1E78D8E-079F-406B-9CE7-6AB3C7419826}"/>
    <cellStyle name="Comma 4 2 2 2 6 3 4" xfId="32047" xr:uid="{932CF6D6-3A66-4E25-B7B5-530B14DB029B}"/>
    <cellStyle name="Comma 4 2 2 2 6 4" xfId="10949" xr:uid="{73D5FCB4-113C-4BB6-86D4-C03B7DA76069}"/>
    <cellStyle name="Comma 4 2 2 2 6 5" xfId="19390" xr:uid="{CD026748-BC4E-4A9D-9067-1962B37BBBF9}"/>
    <cellStyle name="Comma 4 2 2 2 6 6" xfId="27830" xr:uid="{0FCCC338-D2CC-482C-A2F2-9C2A35372482}"/>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7FEFEF4E-263B-4B72-866C-9FA827FBFBCB}"/>
    <cellStyle name="Comma 4 2 2 2 7 2 2 3" xfId="26165" xr:uid="{099E6D0E-172E-43AB-8A4A-3D3DAD4C7AB9}"/>
    <cellStyle name="Comma 4 2 2 2 7 2 2 4" xfId="34605" xr:uid="{3ED4AB19-B9E6-4ECA-B5A4-63BDF9F55880}"/>
    <cellStyle name="Comma 4 2 2 2 7 2 3" xfId="13507" xr:uid="{AE7C1FD4-F2AF-4B73-928F-A15A5D277323}"/>
    <cellStyle name="Comma 4 2 2 2 7 2 4" xfId="21948" xr:uid="{6803F8C2-7CD0-4218-8970-5999006E7D3B}"/>
    <cellStyle name="Comma 4 2 2 2 7 2 5" xfId="30388" xr:uid="{3672067B-1611-4F47-A427-509FF4B04C9D}"/>
    <cellStyle name="Comma 4 2 2 2 7 3" xfId="6253" xr:uid="{00000000-0005-0000-0000-0000F8070000}"/>
    <cellStyle name="Comma 4 2 2 2 7 3 2" xfId="15579" xr:uid="{A2E5C823-09F0-4EB6-BA88-90E277619729}"/>
    <cellStyle name="Comma 4 2 2 2 7 3 3" xfId="24020" xr:uid="{8E183152-AA44-416D-8B2F-B163CB36F58A}"/>
    <cellStyle name="Comma 4 2 2 2 7 3 4" xfId="32460" xr:uid="{6F3729C2-3CBA-471F-BAE1-8FD54FEF470D}"/>
    <cellStyle name="Comma 4 2 2 2 7 4" xfId="11362" xr:uid="{B5DBE215-D95D-4FA4-A2DF-2454CCF70ECF}"/>
    <cellStyle name="Comma 4 2 2 2 7 5" xfId="19803" xr:uid="{F2147C6A-85AD-41DD-BAC9-E764B16DC0AA}"/>
    <cellStyle name="Comma 4 2 2 2 7 6" xfId="28243" xr:uid="{27268A06-9869-4C42-9DD4-68A185FC2643}"/>
    <cellStyle name="Comma 4 2 2 2 8" xfId="2382" xr:uid="{00000000-0005-0000-0000-0000F9070000}"/>
    <cellStyle name="Comma 4 2 2 2 8 2" xfId="6666" xr:uid="{00000000-0005-0000-0000-0000FA070000}"/>
    <cellStyle name="Comma 4 2 2 2 8 2 2" xfId="15992" xr:uid="{8552CB1F-2E05-4EF4-A5EF-3D48E897C8B6}"/>
    <cellStyle name="Comma 4 2 2 2 8 2 3" xfId="24433" xr:uid="{E7A4DD17-919D-47F8-919B-0B86BD58AF88}"/>
    <cellStyle name="Comma 4 2 2 2 8 2 4" xfId="32873" xr:uid="{DFFD6A26-19BD-4905-9C52-04FB0330AD85}"/>
    <cellStyle name="Comma 4 2 2 2 8 3" xfId="11775" xr:uid="{65ADFA1F-63F4-48D4-8597-A066229EFED9}"/>
    <cellStyle name="Comma 4 2 2 2 8 4" xfId="20216" xr:uid="{2CD6DCA6-4E3B-4F30-BCB2-37BCB921F5B2}"/>
    <cellStyle name="Comma 4 2 2 2 8 5" xfId="28656" xr:uid="{CEABDDA3-3724-4790-A92A-A1D50EFCA7EC}"/>
    <cellStyle name="Comma 4 2 2 2 9" xfId="2381" xr:uid="{00000000-0005-0000-0000-0000FB070000}"/>
    <cellStyle name="Comma 4 2 2 3" xfId="132" xr:uid="{00000000-0005-0000-0000-0000FC070000}"/>
    <cellStyle name="Comma 4 2 2 3 10" xfId="4604" xr:uid="{00000000-0005-0000-0000-0000FD070000}"/>
    <cellStyle name="Comma 4 2 2 3 10 2" xfId="13930" xr:uid="{729EE1E6-53E5-49BC-B999-3ADC39B4A6FC}"/>
    <cellStyle name="Comma 4 2 2 3 10 3" xfId="22371" xr:uid="{0F12FDCB-E5FE-42FF-A8AD-1EC65CEC9837}"/>
    <cellStyle name="Comma 4 2 2 3 10 4" xfId="30811" xr:uid="{78BD3020-F9DA-4071-BB32-F6C220F1FC2A}"/>
    <cellStyle name="Comma 4 2 2 3 11" xfId="8889" xr:uid="{93813409-C042-4436-8561-B0237A135E7D}"/>
    <cellStyle name="Comma 4 2 2 3 12" xfId="9713" xr:uid="{4AD60568-312F-4898-9831-9695AF57AECB}"/>
    <cellStyle name="Comma 4 2 2 3 13" xfId="18154" xr:uid="{D860A7D6-7AE1-4DBE-821B-A4AA5AAEF95D}"/>
    <cellStyle name="Comma 4 2 2 3 14" xfId="26594" xr:uid="{CD2FDA19-9049-4D5F-9C5F-7107CD23E2D9}"/>
    <cellStyle name="Comma 4 2 2 3 2" xfId="133" xr:uid="{00000000-0005-0000-0000-0000FE070000}"/>
    <cellStyle name="Comma 4 2 2 3 2 10" xfId="9096" xr:uid="{C395B6CC-7E3E-452B-B5AB-BBF992A45CEB}"/>
    <cellStyle name="Comma 4 2 2 3 2 11" xfId="9714" xr:uid="{9F6E52C6-6CD7-45A1-899E-42A4AA532640}"/>
    <cellStyle name="Comma 4 2 2 3 2 12" xfId="18155" xr:uid="{C68DE8BD-5C2B-42D0-B742-8A88223D0E74}"/>
    <cellStyle name="Comma 4 2 2 3 2 13" xfId="26595" xr:uid="{46903B48-A0E7-41A3-BB9E-68933382DED3}"/>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638E81A9-D227-4164-AB2F-ABDA4DA2972B}"/>
    <cellStyle name="Comma 4 2 2 3 2 2 2 2 3" xfId="24931" xr:uid="{EB7E82E3-F97E-4C67-B158-B4294A5CE88B}"/>
    <cellStyle name="Comma 4 2 2 3 2 2 2 2 4" xfId="33371" xr:uid="{6F04757D-9AA5-47AA-800C-3EE60EBA5C9A}"/>
    <cellStyle name="Comma 4 2 2 3 2 2 2 3" xfId="12273" xr:uid="{68FD83FB-9088-4621-8EC5-CE02A7F0ECD1}"/>
    <cellStyle name="Comma 4 2 2 3 2 2 2 4" xfId="20714" xr:uid="{E6669276-F15C-47A1-AF63-68FDE30D598B}"/>
    <cellStyle name="Comma 4 2 2 3 2 2 2 5" xfId="29154" xr:uid="{42126E4E-C839-4F45-BCCC-A326D794CEB5}"/>
    <cellStyle name="Comma 4 2 2 3 2 2 3" xfId="5019" xr:uid="{00000000-0005-0000-0000-000002080000}"/>
    <cellStyle name="Comma 4 2 2 3 2 2 3 2" xfId="14345" xr:uid="{04B75A1E-4E92-420A-891E-E2D78186890B}"/>
    <cellStyle name="Comma 4 2 2 3 2 2 3 3" xfId="22786" xr:uid="{A8B8C94A-D689-4501-8CBD-0DD22C779ABC}"/>
    <cellStyle name="Comma 4 2 2 3 2 2 3 4" xfId="31226" xr:uid="{C106FF6E-C8EA-4784-B6EB-868583B4B52B}"/>
    <cellStyle name="Comma 4 2 2 3 2 2 4" xfId="9521" xr:uid="{8F14F654-C711-4E70-8A06-71F68E70E2E0}"/>
    <cellStyle name="Comma 4 2 2 3 2 2 5" xfId="10128" xr:uid="{4209CEDC-87EF-408A-92FE-AEC2012A2FD3}"/>
    <cellStyle name="Comma 4 2 2 3 2 2 6" xfId="18569" xr:uid="{B0D5A1C4-A6C6-4F1D-8D76-754852170562}"/>
    <cellStyle name="Comma 4 2 2 3 2 2 7" xfId="27009" xr:uid="{D6B69694-DBF1-40FF-BD8E-8ECF6CCE55DC}"/>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1F80E752-CD49-4AA4-8916-187B24C317F5}"/>
    <cellStyle name="Comma 4 2 2 3 2 3 2 2 3" xfId="25344" xr:uid="{A4519AC7-D6CB-4F53-84F4-880726E2715C}"/>
    <cellStyle name="Comma 4 2 2 3 2 3 2 2 4" xfId="33784" xr:uid="{F83A695D-CF23-44AD-A984-20D7286DBF23}"/>
    <cellStyle name="Comma 4 2 2 3 2 3 2 3" xfId="12686" xr:uid="{40436CCA-FBF5-43DE-B6E7-04C18EAE018F}"/>
    <cellStyle name="Comma 4 2 2 3 2 3 2 4" xfId="21127" xr:uid="{EF3BD0BF-6755-4C9E-9664-17ABFA85C142}"/>
    <cellStyle name="Comma 4 2 2 3 2 3 2 5" xfId="29567" xr:uid="{922F6CB2-3F6C-44F9-9FA0-82C420A909D1}"/>
    <cellStyle name="Comma 4 2 2 3 2 3 3" xfId="5432" xr:uid="{00000000-0005-0000-0000-000006080000}"/>
    <cellStyle name="Comma 4 2 2 3 2 3 3 2" xfId="14758" xr:uid="{564EC6DD-29CB-421A-B6E7-ACB950860460}"/>
    <cellStyle name="Comma 4 2 2 3 2 3 3 3" xfId="23199" xr:uid="{CAA05E20-792F-4095-8D22-F63A5D1B5505}"/>
    <cellStyle name="Comma 4 2 2 3 2 3 3 4" xfId="31639" xr:uid="{F4C76835-4CC9-44BE-AD7B-2C6532760E04}"/>
    <cellStyle name="Comma 4 2 2 3 2 3 4" xfId="10541" xr:uid="{8D7DDB6C-4E17-49B1-B54C-42F296E556D6}"/>
    <cellStyle name="Comma 4 2 2 3 2 3 5" xfId="18982" xr:uid="{CD9ADDF1-0012-49C4-8DFF-AE2192C031EA}"/>
    <cellStyle name="Comma 4 2 2 3 2 3 6" xfId="27422" xr:uid="{26B4FFCF-2FBE-40C8-B29D-8F1E8D91699C}"/>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6448979E-7490-4498-8053-ECDF5C827F1A}"/>
    <cellStyle name="Comma 4 2 2 3 2 4 2 2 3" xfId="25757" xr:uid="{D3E5B38F-6CF6-45F5-AC14-076070EAD862}"/>
    <cellStyle name="Comma 4 2 2 3 2 4 2 2 4" xfId="34197" xr:uid="{D7E464F4-C2BF-41A3-A816-11EF664EF429}"/>
    <cellStyle name="Comma 4 2 2 3 2 4 2 3" xfId="13099" xr:uid="{DC22B2AF-C6E1-4381-8D4C-7AFBCE4054D8}"/>
    <cellStyle name="Comma 4 2 2 3 2 4 2 4" xfId="21540" xr:uid="{322CCD17-3CF5-4E4D-893C-35CB67CCC26C}"/>
    <cellStyle name="Comma 4 2 2 3 2 4 2 5" xfId="29980" xr:uid="{228721F5-F27A-46E1-8226-0C822BB8A810}"/>
    <cellStyle name="Comma 4 2 2 3 2 4 3" xfId="5845" xr:uid="{00000000-0005-0000-0000-00000A080000}"/>
    <cellStyle name="Comma 4 2 2 3 2 4 3 2" xfId="15171" xr:uid="{D712E14B-F6EB-47F0-888D-724739290D6A}"/>
    <cellStyle name="Comma 4 2 2 3 2 4 3 3" xfId="23612" xr:uid="{0451174F-EF44-4A52-B724-1A87CB09C181}"/>
    <cellStyle name="Comma 4 2 2 3 2 4 3 4" xfId="32052" xr:uid="{C54A6B9E-7679-4533-B19C-299E80EDF165}"/>
    <cellStyle name="Comma 4 2 2 3 2 4 4" xfId="10954" xr:uid="{69FFA2A3-58A7-45DA-BB1A-3FE71FF23F48}"/>
    <cellStyle name="Comma 4 2 2 3 2 4 5" xfId="19395" xr:uid="{04BFE7CD-97E3-49B2-904E-67FA1159031B}"/>
    <cellStyle name="Comma 4 2 2 3 2 4 6" xfId="27835" xr:uid="{18D83F1A-4419-417C-A0D5-A07319246768}"/>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0BB4CFE6-1532-45AE-AE8F-8F4DEFB53A12}"/>
    <cellStyle name="Comma 4 2 2 3 2 5 2 2 3" xfId="26170" xr:uid="{290BF43D-59F2-4084-B628-7C22E030039E}"/>
    <cellStyle name="Comma 4 2 2 3 2 5 2 2 4" xfId="34610" xr:uid="{E2F7B557-7DCC-4546-90A8-A6D143E7B3D8}"/>
    <cellStyle name="Comma 4 2 2 3 2 5 2 3" xfId="13512" xr:uid="{2FE51C3D-1087-4237-BAA9-6C4199A8228D}"/>
    <cellStyle name="Comma 4 2 2 3 2 5 2 4" xfId="21953" xr:uid="{63406579-ADE4-48B7-939D-5AEF10A30559}"/>
    <cellStyle name="Comma 4 2 2 3 2 5 2 5" xfId="30393" xr:uid="{7B29B2C6-EB59-4DFA-929F-B92299752DAF}"/>
    <cellStyle name="Comma 4 2 2 3 2 5 3" xfId="6258" xr:uid="{00000000-0005-0000-0000-00000E080000}"/>
    <cellStyle name="Comma 4 2 2 3 2 5 3 2" xfId="15584" xr:uid="{3FDA293C-8489-4170-AF8F-5B654F77B2CE}"/>
    <cellStyle name="Comma 4 2 2 3 2 5 3 3" xfId="24025" xr:uid="{D4824F80-E104-45B5-B697-CBBC14A65EA2}"/>
    <cellStyle name="Comma 4 2 2 3 2 5 3 4" xfId="32465" xr:uid="{D831B2F4-3817-4E01-B3AB-205E91EC7825}"/>
    <cellStyle name="Comma 4 2 2 3 2 5 4" xfId="11367" xr:uid="{56A9DAD1-1C8E-4537-80CF-AF85C3B5432E}"/>
    <cellStyle name="Comma 4 2 2 3 2 5 5" xfId="19808" xr:uid="{CEAC7847-6E82-461C-AB68-A95E1D3D829A}"/>
    <cellStyle name="Comma 4 2 2 3 2 5 6" xfId="28248" xr:uid="{0A9A466F-68D7-4993-8701-B4051350CD4A}"/>
    <cellStyle name="Comma 4 2 2 3 2 6" xfId="2387" xr:uid="{00000000-0005-0000-0000-00000F080000}"/>
    <cellStyle name="Comma 4 2 2 3 2 6 2" xfId="6671" xr:uid="{00000000-0005-0000-0000-000010080000}"/>
    <cellStyle name="Comma 4 2 2 3 2 6 2 2" xfId="15997" xr:uid="{EF3580FE-99A0-44B0-84CD-35939378E030}"/>
    <cellStyle name="Comma 4 2 2 3 2 6 2 3" xfId="24438" xr:uid="{88DB4CE6-4DBD-4F71-94D5-6EB4F2DE9D9F}"/>
    <cellStyle name="Comma 4 2 2 3 2 6 2 4" xfId="32878" xr:uid="{DB6BBBB6-1D5C-4422-A526-5AD5F54EFA1E}"/>
    <cellStyle name="Comma 4 2 2 3 2 6 3" xfId="11780" xr:uid="{55CFA57D-23D6-46BE-AE7A-06EA211307B9}"/>
    <cellStyle name="Comma 4 2 2 3 2 6 4" xfId="20221" xr:uid="{340F44C5-4568-4609-8CF8-165FDA6D0C41}"/>
    <cellStyle name="Comma 4 2 2 3 2 6 5" xfId="28661" xr:uid="{AF6540F8-0B84-4317-BB65-65975CBC8BBE}"/>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ACBE54EF-9EEA-422F-97F6-F11A98F80962}"/>
    <cellStyle name="Comma 4 2 2 3 2 8 2 3" xfId="24755" xr:uid="{2415FFCC-2EDE-487F-B559-F0053DF181C7}"/>
    <cellStyle name="Comma 4 2 2 3 2 8 2 4" xfId="33195" xr:uid="{AA85DDE9-C450-4E38-8CA9-1DB61242AF9F}"/>
    <cellStyle name="Comma 4 2 2 3 2 8 3" xfId="12097" xr:uid="{4F3E9B3C-6FD6-43B2-BE86-CB3C305C2139}"/>
    <cellStyle name="Comma 4 2 2 3 2 8 4" xfId="20538" xr:uid="{AFEEDB1C-AB67-4A57-A92C-5889149998B0}"/>
    <cellStyle name="Comma 4 2 2 3 2 8 5" xfId="28978" xr:uid="{93ABFA07-445A-446C-A754-2F1FA2DB35A3}"/>
    <cellStyle name="Comma 4 2 2 3 2 9" xfId="4605" xr:uid="{00000000-0005-0000-0000-000014080000}"/>
    <cellStyle name="Comma 4 2 2 3 2 9 2" xfId="13931" xr:uid="{D908B583-37CA-4A34-9C9A-284C814252C0}"/>
    <cellStyle name="Comma 4 2 2 3 2 9 3" xfId="22372" xr:uid="{044DB01A-3FF6-4E76-9C1E-021A87F589BE}"/>
    <cellStyle name="Comma 4 2 2 3 2 9 4" xfId="30812" xr:uid="{BD880C08-98D7-48E6-8440-294288982435}"/>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178AA550-D3A8-4BED-91D5-01DEAB61C871}"/>
    <cellStyle name="Comma 4 2 2 3 3 2 2 3" xfId="24930" xr:uid="{C8C8A93C-CB01-41B4-9687-88FEAA44490C}"/>
    <cellStyle name="Comma 4 2 2 3 3 2 2 4" xfId="33370" xr:uid="{7A54BFF0-9F73-496C-A654-D2A03CFFDD8D}"/>
    <cellStyle name="Comma 4 2 2 3 3 2 3" xfId="12272" xr:uid="{37F1C8AE-6BE6-4F81-9A28-4380B427BDE2}"/>
    <cellStyle name="Comma 4 2 2 3 3 2 4" xfId="20713" xr:uid="{AA1FAA7B-BF9E-47F7-8273-CEC86A860AED}"/>
    <cellStyle name="Comma 4 2 2 3 3 2 5" xfId="29153" xr:uid="{589755C8-3D4A-45DE-8A8E-8E1906C54C0D}"/>
    <cellStyle name="Comma 4 2 2 3 3 3" xfId="5018" xr:uid="{00000000-0005-0000-0000-000018080000}"/>
    <cellStyle name="Comma 4 2 2 3 3 3 2" xfId="14344" xr:uid="{91763A55-67FC-4888-A651-D3731F0E2F06}"/>
    <cellStyle name="Comma 4 2 2 3 3 3 3" xfId="22785" xr:uid="{0631FF5F-4FE7-43ED-B3D1-17C958BCFC49}"/>
    <cellStyle name="Comma 4 2 2 3 3 3 4" xfId="31225" xr:uid="{A6E95CA2-7AB7-466E-8CB6-8CCE19FEDE36}"/>
    <cellStyle name="Comma 4 2 2 3 3 4" xfId="9314" xr:uid="{A74197AE-1229-40FC-8212-8FB289D74FF6}"/>
    <cellStyle name="Comma 4 2 2 3 3 5" xfId="10127" xr:uid="{CBC73B34-2932-4E74-AAB1-65EB88A4A209}"/>
    <cellStyle name="Comma 4 2 2 3 3 6" xfId="18568" xr:uid="{DB8CE718-8D3A-4805-82CC-464193481D82}"/>
    <cellStyle name="Comma 4 2 2 3 3 7" xfId="27008" xr:uid="{6B272E3D-A1B9-4E4E-88F7-8DE602B89855}"/>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2ECEB5A6-F7FC-4DD1-9FD6-3A034D411A78}"/>
    <cellStyle name="Comma 4 2 2 3 4 2 2 3" xfId="25343" xr:uid="{56C1842A-BDB4-4CFB-B26A-82A80F129546}"/>
    <cellStyle name="Comma 4 2 2 3 4 2 2 4" xfId="33783" xr:uid="{D4DD6F61-8468-4823-99D5-7CE6CF06E718}"/>
    <cellStyle name="Comma 4 2 2 3 4 2 3" xfId="12685" xr:uid="{A499E038-2950-45EE-9B38-494522EAFFEB}"/>
    <cellStyle name="Comma 4 2 2 3 4 2 4" xfId="21126" xr:uid="{18AA137F-BC45-49A9-8435-E0A94F6F32EC}"/>
    <cellStyle name="Comma 4 2 2 3 4 2 5" xfId="29566" xr:uid="{FDFE5CBA-7EC7-463E-9FB8-5DE52555C4C4}"/>
    <cellStyle name="Comma 4 2 2 3 4 3" xfId="5431" xr:uid="{00000000-0005-0000-0000-00001C080000}"/>
    <cellStyle name="Comma 4 2 2 3 4 3 2" xfId="14757" xr:uid="{90CA25D0-8154-4750-A864-7B7225AA1847}"/>
    <cellStyle name="Comma 4 2 2 3 4 3 3" xfId="23198" xr:uid="{BACC0FE6-B369-43B4-BEA8-78C76B5C9680}"/>
    <cellStyle name="Comma 4 2 2 3 4 3 4" xfId="31638" xr:uid="{3EC27640-0102-4003-A2F1-0E483E14C096}"/>
    <cellStyle name="Comma 4 2 2 3 4 4" xfId="10540" xr:uid="{40A308C7-18E9-4EF7-BD64-584E3CBEC819}"/>
    <cellStyle name="Comma 4 2 2 3 4 5" xfId="18981" xr:uid="{B0D313C6-B46C-466C-B043-9977D7B5A4EE}"/>
    <cellStyle name="Comma 4 2 2 3 4 6" xfId="27421" xr:uid="{D25B0397-8A6F-4859-90C7-8BF7A0FE5AAA}"/>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69A9A11C-C19F-408C-A602-4DF10D74B337}"/>
    <cellStyle name="Comma 4 2 2 3 5 2 2 3" xfId="25756" xr:uid="{EB0AEC21-1BA7-489B-84DF-6DAB9B5A8B3D}"/>
    <cellStyle name="Comma 4 2 2 3 5 2 2 4" xfId="34196" xr:uid="{B3EDC53D-14AF-4E2E-8C45-DC4693EDD328}"/>
    <cellStyle name="Comma 4 2 2 3 5 2 3" xfId="13098" xr:uid="{9BE46F6B-B499-40DD-BBF6-11B9FEB84197}"/>
    <cellStyle name="Comma 4 2 2 3 5 2 4" xfId="21539" xr:uid="{483D48EA-4A58-4675-B961-9ACEC390DFD3}"/>
    <cellStyle name="Comma 4 2 2 3 5 2 5" xfId="29979" xr:uid="{E1775F50-5743-4FE4-99E2-60383F6AE143}"/>
    <cellStyle name="Comma 4 2 2 3 5 3" xfId="5844" xr:uid="{00000000-0005-0000-0000-000020080000}"/>
    <cellStyle name="Comma 4 2 2 3 5 3 2" xfId="15170" xr:uid="{140B869F-FDA0-4891-AB2B-2E3AA3522FFC}"/>
    <cellStyle name="Comma 4 2 2 3 5 3 3" xfId="23611" xr:uid="{F84867D8-0538-4AC4-861B-401CDE717F54}"/>
    <cellStyle name="Comma 4 2 2 3 5 3 4" xfId="32051" xr:uid="{9A3670BC-D8F3-473B-91D0-D53D493DF07E}"/>
    <cellStyle name="Comma 4 2 2 3 5 4" xfId="10953" xr:uid="{E864E2A5-B7FA-47ED-BD5F-E674205D6901}"/>
    <cellStyle name="Comma 4 2 2 3 5 5" xfId="19394" xr:uid="{BA69FA22-6E6C-45DB-8642-D0353B79D9ED}"/>
    <cellStyle name="Comma 4 2 2 3 5 6" xfId="27834" xr:uid="{ECA19AD7-46B2-4045-A21C-6A6237A47B7F}"/>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78807ED7-D815-41C7-B3FF-6ED7AB727807}"/>
    <cellStyle name="Comma 4 2 2 3 6 2 2 3" xfId="26169" xr:uid="{AC459D97-A7D7-4374-8E38-C8892D178B2D}"/>
    <cellStyle name="Comma 4 2 2 3 6 2 2 4" xfId="34609" xr:uid="{EE29E082-16B4-4986-96DC-03F59D6DF67B}"/>
    <cellStyle name="Comma 4 2 2 3 6 2 3" xfId="13511" xr:uid="{92D5D76B-6315-48C2-9DB9-A70E790968B4}"/>
    <cellStyle name="Comma 4 2 2 3 6 2 4" xfId="21952" xr:uid="{274218DE-30CB-425F-A558-1528DF638775}"/>
    <cellStyle name="Comma 4 2 2 3 6 2 5" xfId="30392" xr:uid="{6AE2384E-E1D0-4121-83FB-23471F0A9644}"/>
    <cellStyle name="Comma 4 2 2 3 6 3" xfId="6257" xr:uid="{00000000-0005-0000-0000-000024080000}"/>
    <cellStyle name="Comma 4 2 2 3 6 3 2" xfId="15583" xr:uid="{C2DD35C8-86AE-467F-B59D-99C38727F038}"/>
    <cellStyle name="Comma 4 2 2 3 6 3 3" xfId="24024" xr:uid="{14D9C16F-8B74-4ECC-AD03-AB40BBCDF2B5}"/>
    <cellStyle name="Comma 4 2 2 3 6 3 4" xfId="32464" xr:uid="{B5825073-6DE1-4C03-9FD7-4CFCEC3BB688}"/>
    <cellStyle name="Comma 4 2 2 3 6 4" xfId="11366" xr:uid="{786AC1BA-D5D3-4ECF-ADCE-851054459B0D}"/>
    <cellStyle name="Comma 4 2 2 3 6 5" xfId="19807" xr:uid="{A2444AE3-BBEC-40C0-9912-594D81E7B775}"/>
    <cellStyle name="Comma 4 2 2 3 6 6" xfId="28247" xr:uid="{9A2C9075-5885-4F18-9854-8ECFAED9E647}"/>
    <cellStyle name="Comma 4 2 2 3 7" xfId="2386" xr:uid="{00000000-0005-0000-0000-000025080000}"/>
    <cellStyle name="Comma 4 2 2 3 7 2" xfId="6670" xr:uid="{00000000-0005-0000-0000-000026080000}"/>
    <cellStyle name="Comma 4 2 2 3 7 2 2" xfId="15996" xr:uid="{D3E109F9-A235-4899-A6EA-6C422C9864EF}"/>
    <cellStyle name="Comma 4 2 2 3 7 2 3" xfId="24437" xr:uid="{AF4DBD97-6441-4277-866F-BADACD11385F}"/>
    <cellStyle name="Comma 4 2 2 3 7 2 4" xfId="32877" xr:uid="{9BCA59FC-11E6-40FA-9166-494086F02226}"/>
    <cellStyle name="Comma 4 2 2 3 7 3" xfId="11779" xr:uid="{F685B8DF-6B43-4AC4-8F8C-29EF85CE5C1C}"/>
    <cellStyle name="Comma 4 2 2 3 7 4" xfId="20220" xr:uid="{B8C70447-0A42-4809-97E6-965FE8266C96}"/>
    <cellStyle name="Comma 4 2 2 3 7 5" xfId="28660" xr:uid="{86A358E5-8424-4E77-B119-927F1A698002}"/>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5570D137-59A0-4DD2-849F-5B6671D7692D}"/>
    <cellStyle name="Comma 4 2 2 3 9 2 3" xfId="24754" xr:uid="{52049407-9AAE-4045-BAC8-9E9F35DA083F}"/>
    <cellStyle name="Comma 4 2 2 3 9 2 4" xfId="33194" xr:uid="{9722476A-0DE4-4BBC-8192-31A1CC6B1FCC}"/>
    <cellStyle name="Comma 4 2 2 3 9 3" xfId="12096" xr:uid="{04EA2CE2-A193-4B01-B351-592FE4D9BFEA}"/>
    <cellStyle name="Comma 4 2 2 3 9 4" xfId="20537" xr:uid="{3BFCF311-0560-4F6F-A3C4-1D02FE34FCA1}"/>
    <cellStyle name="Comma 4 2 2 3 9 5" xfId="28977" xr:uid="{8E8B2BCC-9453-41F7-8D52-BD1B65CB61D9}"/>
    <cellStyle name="Comma 4 2 2 4" xfId="134" xr:uid="{00000000-0005-0000-0000-00002A080000}"/>
    <cellStyle name="Comma 4 2 2 4 10" xfId="8993" xr:uid="{2969CB69-37C4-4C43-BC9D-87F92556F829}"/>
    <cellStyle name="Comma 4 2 2 4 11" xfId="9715" xr:uid="{A3F0A172-8A1A-446E-8580-955967FDF567}"/>
    <cellStyle name="Comma 4 2 2 4 12" xfId="18156" xr:uid="{AA1AFA86-9026-43BF-9033-3A0510A84B9F}"/>
    <cellStyle name="Comma 4 2 2 4 13" xfId="26596" xr:uid="{4464E5A3-9745-4502-94C5-87048BB35CE6}"/>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FCCCA929-18E1-4C13-80CA-01164F5C29DB}"/>
    <cellStyle name="Comma 4 2 2 4 2 2 2 3" xfId="24932" xr:uid="{5975EEF3-2C4B-43FE-BC91-639DCF6CA4C5}"/>
    <cellStyle name="Comma 4 2 2 4 2 2 2 4" xfId="33372" xr:uid="{44C66511-C339-418F-A300-FF7770168956}"/>
    <cellStyle name="Comma 4 2 2 4 2 2 3" xfId="12274" xr:uid="{06BAB79E-32D0-4D76-BB87-B68A91F9B621}"/>
    <cellStyle name="Comma 4 2 2 4 2 2 4" xfId="20715" xr:uid="{CE3B38B7-EEBE-4D3E-8039-38983AF6E350}"/>
    <cellStyle name="Comma 4 2 2 4 2 2 5" xfId="29155" xr:uid="{FC326251-B6CE-410E-89B8-355102931BA4}"/>
    <cellStyle name="Comma 4 2 2 4 2 3" xfId="5020" xr:uid="{00000000-0005-0000-0000-00002E080000}"/>
    <cellStyle name="Comma 4 2 2 4 2 3 2" xfId="14346" xr:uid="{F7B321F1-114D-4BE2-826F-F5A6B8EB459E}"/>
    <cellStyle name="Comma 4 2 2 4 2 3 3" xfId="22787" xr:uid="{E652C3B6-EA8F-4780-9423-20AFF254202A}"/>
    <cellStyle name="Comma 4 2 2 4 2 3 4" xfId="31227" xr:uid="{C4C67B02-0217-4252-A41A-452F735F4BBB}"/>
    <cellStyle name="Comma 4 2 2 4 2 4" xfId="9418" xr:uid="{F2EB07B7-2227-485D-9411-A8F75EC2F9DA}"/>
    <cellStyle name="Comma 4 2 2 4 2 5" xfId="10129" xr:uid="{385493AD-E997-45B7-B9E6-E72476BE2EE0}"/>
    <cellStyle name="Comma 4 2 2 4 2 6" xfId="18570" xr:uid="{91E8C7D6-4FFA-441F-B112-1AFB621A122D}"/>
    <cellStyle name="Comma 4 2 2 4 2 7" xfId="27010" xr:uid="{0D87D43D-4823-4090-B15D-C5C856DE56B2}"/>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2E312B7F-E6FC-4968-B688-557FF7EA1572}"/>
    <cellStyle name="Comma 4 2 2 4 3 2 2 3" xfId="25345" xr:uid="{E77964B4-6B84-4A8B-9044-751CFF91FE93}"/>
    <cellStyle name="Comma 4 2 2 4 3 2 2 4" xfId="33785" xr:uid="{FF30DEE0-114F-4925-81E8-844FD3474DF4}"/>
    <cellStyle name="Comma 4 2 2 4 3 2 3" xfId="12687" xr:uid="{F8394872-C740-45D6-8EB0-3CFEA4E279FF}"/>
    <cellStyle name="Comma 4 2 2 4 3 2 4" xfId="21128" xr:uid="{93923E69-A9A3-4BE1-A807-B98A650D827D}"/>
    <cellStyle name="Comma 4 2 2 4 3 2 5" xfId="29568" xr:uid="{D8DFA529-40E2-4F19-97D0-880F0DEE427C}"/>
    <cellStyle name="Comma 4 2 2 4 3 3" xfId="5433" xr:uid="{00000000-0005-0000-0000-000032080000}"/>
    <cellStyle name="Comma 4 2 2 4 3 3 2" xfId="14759" xr:uid="{259221E6-8DA5-4B91-9294-5055CE9B8F80}"/>
    <cellStyle name="Comma 4 2 2 4 3 3 3" xfId="23200" xr:uid="{8C822184-453B-4AA4-BCFD-25FA7A92E29A}"/>
    <cellStyle name="Comma 4 2 2 4 3 3 4" xfId="31640" xr:uid="{A4DC7A6F-81E1-4B5F-964E-8BB805291101}"/>
    <cellStyle name="Comma 4 2 2 4 3 4" xfId="10542" xr:uid="{9E7E19E7-E772-4387-816C-7112325F7FA2}"/>
    <cellStyle name="Comma 4 2 2 4 3 5" xfId="18983" xr:uid="{BEE8A894-0797-4AE4-BC25-A8E6BDA19641}"/>
    <cellStyle name="Comma 4 2 2 4 3 6" xfId="27423" xr:uid="{FB4EB29E-38FF-4A64-9766-3DDD2A723097}"/>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3B11AABF-E15C-4555-B552-4EFE4823D0F4}"/>
    <cellStyle name="Comma 4 2 2 4 4 2 2 3" xfId="25758" xr:uid="{157BAE3D-D08B-40AE-99B2-7688E0588625}"/>
    <cellStyle name="Comma 4 2 2 4 4 2 2 4" xfId="34198" xr:uid="{9A11B02B-0885-4C79-96D0-8DF15144E4F9}"/>
    <cellStyle name="Comma 4 2 2 4 4 2 3" xfId="13100" xr:uid="{1721D7E1-0633-4C9F-8DE0-1561F5E6E22C}"/>
    <cellStyle name="Comma 4 2 2 4 4 2 4" xfId="21541" xr:uid="{3B599EEB-A83F-4A2B-B97D-BB87594E99C3}"/>
    <cellStyle name="Comma 4 2 2 4 4 2 5" xfId="29981" xr:uid="{8D20D417-8DE0-465A-9145-E89B59FF1726}"/>
    <cellStyle name="Comma 4 2 2 4 4 3" xfId="5846" xr:uid="{00000000-0005-0000-0000-000036080000}"/>
    <cellStyle name="Comma 4 2 2 4 4 3 2" xfId="15172" xr:uid="{6623F897-802B-4760-BAEE-70A93816ACA6}"/>
    <cellStyle name="Comma 4 2 2 4 4 3 3" xfId="23613" xr:uid="{5E2661DE-E836-4747-B219-DF0ED0EF86FA}"/>
    <cellStyle name="Comma 4 2 2 4 4 3 4" xfId="32053" xr:uid="{117B2DB2-56DE-495F-948C-00C6362F8039}"/>
    <cellStyle name="Comma 4 2 2 4 4 4" xfId="10955" xr:uid="{593A321B-89A9-4610-A14B-FF3C17406C46}"/>
    <cellStyle name="Comma 4 2 2 4 4 5" xfId="19396" xr:uid="{5CE08E5A-932D-471B-AE59-B6F13E936AA2}"/>
    <cellStyle name="Comma 4 2 2 4 4 6" xfId="27836" xr:uid="{2599FA28-7A27-44F4-9AF6-F14737E9D0C2}"/>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63882089-6976-41AD-A470-028C4A7CCA89}"/>
    <cellStyle name="Comma 4 2 2 4 5 2 2 3" xfId="26171" xr:uid="{58D0E3A4-D84D-436B-8645-DC08DA5D9EDE}"/>
    <cellStyle name="Comma 4 2 2 4 5 2 2 4" xfId="34611" xr:uid="{1067EE89-541E-4C19-8C1E-4F8FB5B3426B}"/>
    <cellStyle name="Comma 4 2 2 4 5 2 3" xfId="13513" xr:uid="{3DDF6A69-943B-4C39-B6A0-C2AE180A531D}"/>
    <cellStyle name="Comma 4 2 2 4 5 2 4" xfId="21954" xr:uid="{3F63E565-46C0-412F-9249-3B6AC9987D76}"/>
    <cellStyle name="Comma 4 2 2 4 5 2 5" xfId="30394" xr:uid="{C0544352-9288-4D90-8F16-EB33583DC780}"/>
    <cellStyle name="Comma 4 2 2 4 5 3" xfId="6259" xr:uid="{00000000-0005-0000-0000-00003A080000}"/>
    <cellStyle name="Comma 4 2 2 4 5 3 2" xfId="15585" xr:uid="{1902D353-3E7D-427D-8B3F-35774A84B768}"/>
    <cellStyle name="Comma 4 2 2 4 5 3 3" xfId="24026" xr:uid="{07248DB6-0408-4CDF-B92C-441AF5B6F7D8}"/>
    <cellStyle name="Comma 4 2 2 4 5 3 4" xfId="32466" xr:uid="{AA1EABC2-1071-4185-952E-D91574F84A59}"/>
    <cellStyle name="Comma 4 2 2 4 5 4" xfId="11368" xr:uid="{F5F648B8-28BD-439C-AEE1-F266274E38C5}"/>
    <cellStyle name="Comma 4 2 2 4 5 5" xfId="19809" xr:uid="{A7A15742-1E6A-4DB3-9ED5-1DF6701C83C3}"/>
    <cellStyle name="Comma 4 2 2 4 5 6" xfId="28249" xr:uid="{2419BEFC-6C07-44C6-8E57-931244D0280E}"/>
    <cellStyle name="Comma 4 2 2 4 6" xfId="2388" xr:uid="{00000000-0005-0000-0000-00003B080000}"/>
    <cellStyle name="Comma 4 2 2 4 6 2" xfId="6672" xr:uid="{00000000-0005-0000-0000-00003C080000}"/>
    <cellStyle name="Comma 4 2 2 4 6 2 2" xfId="15998" xr:uid="{D2B0661F-1ACC-445A-AE4B-162300D82EAF}"/>
    <cellStyle name="Comma 4 2 2 4 6 2 3" xfId="24439" xr:uid="{C4C031B2-EBC3-4A2A-A729-CE876AA5E582}"/>
    <cellStyle name="Comma 4 2 2 4 6 2 4" xfId="32879" xr:uid="{0260B75B-6F11-4FA0-9DC6-2C6C0936330E}"/>
    <cellStyle name="Comma 4 2 2 4 6 3" xfId="11781" xr:uid="{1FCD9365-2DED-489D-A12A-05775D9EB0F2}"/>
    <cellStyle name="Comma 4 2 2 4 6 4" xfId="20222" xr:uid="{FBCC7CFC-2762-4E2E-9E58-CECAF0D28FD0}"/>
    <cellStyle name="Comma 4 2 2 4 6 5" xfId="28662" xr:uid="{17F311F2-2A7A-413B-B311-35A665A50600}"/>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023ADB0A-8DBF-40C2-B334-FCDD25D762C6}"/>
    <cellStyle name="Comma 4 2 2 4 8 2 3" xfId="24756" xr:uid="{3826243E-1094-4C90-9C4A-09CC9CB78F9D}"/>
    <cellStyle name="Comma 4 2 2 4 8 2 4" xfId="33196" xr:uid="{5A537227-6FE1-4051-A81F-F2C4E08CECFF}"/>
    <cellStyle name="Comma 4 2 2 4 8 3" xfId="12098" xr:uid="{44F50435-A330-4890-8D85-56AF402C393A}"/>
    <cellStyle name="Comma 4 2 2 4 8 4" xfId="20539" xr:uid="{2D28610E-099D-48E6-9CBA-5C50A53DED78}"/>
    <cellStyle name="Comma 4 2 2 4 8 5" xfId="28979" xr:uid="{534D8481-C131-4F5B-B3CB-0017C1B53DC9}"/>
    <cellStyle name="Comma 4 2 2 4 9" xfId="4606" xr:uid="{00000000-0005-0000-0000-000040080000}"/>
    <cellStyle name="Comma 4 2 2 4 9 2" xfId="13932" xr:uid="{F8C39563-5DA1-40C4-8442-2FD0E4C6B312}"/>
    <cellStyle name="Comma 4 2 2 4 9 3" xfId="22373" xr:uid="{FD0112EA-BF5C-44AA-B7F8-2D2AD99C09B9}"/>
    <cellStyle name="Comma 4 2 2 4 9 4" xfId="30813" xr:uid="{D5EAB1AC-2121-4DF0-BE01-DD2A2EB3846D}"/>
    <cellStyle name="Comma 4 2 2 5" xfId="135" xr:uid="{00000000-0005-0000-0000-000041080000}"/>
    <cellStyle name="Comma 4 2 2 5 10" xfId="9210" xr:uid="{C1F9418B-EF96-4063-883D-A983E131C6A4}"/>
    <cellStyle name="Comma 4 2 2 5 11" xfId="9716" xr:uid="{C537BA50-8FBF-4536-A563-AE720FD26055}"/>
    <cellStyle name="Comma 4 2 2 5 12" xfId="18157" xr:uid="{7E4F51C7-F5B7-49ED-A826-D9CF891D031B}"/>
    <cellStyle name="Comma 4 2 2 5 13" xfId="26597" xr:uid="{7F4C382E-AE15-41A2-896B-E4768945C5CC}"/>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8EA68D50-E499-4345-A942-FD6E4BED2D46}"/>
    <cellStyle name="Comma 4 2 2 5 2 2 2 3" xfId="24933" xr:uid="{E7ED08D8-E7FA-4486-BB5B-2610322D061C}"/>
    <cellStyle name="Comma 4 2 2 5 2 2 2 4" xfId="33373" xr:uid="{B4252881-81D6-4D95-B84D-33C7D93925D5}"/>
    <cellStyle name="Comma 4 2 2 5 2 2 3" xfId="12275" xr:uid="{9A45BBB6-2100-49BF-ABB5-2D61D64A1FF1}"/>
    <cellStyle name="Comma 4 2 2 5 2 2 4" xfId="20716" xr:uid="{4CBB09A8-A77C-47E1-A606-93BA17432F5D}"/>
    <cellStyle name="Comma 4 2 2 5 2 2 5" xfId="29156" xr:uid="{8FA7CA30-C0B8-4F37-94B7-E94F87AC5A5A}"/>
    <cellStyle name="Comma 4 2 2 5 2 3" xfId="5021" xr:uid="{00000000-0005-0000-0000-000045080000}"/>
    <cellStyle name="Comma 4 2 2 5 2 3 2" xfId="14347" xr:uid="{567F0868-D247-4F8A-8CEC-D6079CD808FF}"/>
    <cellStyle name="Comma 4 2 2 5 2 3 3" xfId="22788" xr:uid="{81BB31BB-71FD-4205-8A82-2610921A2E5C}"/>
    <cellStyle name="Comma 4 2 2 5 2 3 4" xfId="31228" xr:uid="{72D3874B-8B4C-42C3-ACBD-069E649BF06E}"/>
    <cellStyle name="Comma 4 2 2 5 2 4" xfId="9593" xr:uid="{3B41C66E-2108-4CBE-9776-211459781E55}"/>
    <cellStyle name="Comma 4 2 2 5 2 5" xfId="10130" xr:uid="{61C64BB9-E567-451F-A69F-C7740F9B5CEF}"/>
    <cellStyle name="Comma 4 2 2 5 2 6" xfId="18571" xr:uid="{A706CC38-DA0C-42B8-A4CA-4C5B2DC82E62}"/>
    <cellStyle name="Comma 4 2 2 5 2 7" xfId="27011" xr:uid="{4356E8DC-6958-4453-B1DC-A96DE6A73934}"/>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FF267440-8D66-40B5-B2A7-BF59942F9025}"/>
    <cellStyle name="Comma 4 2 2 5 3 2 2 3" xfId="25346" xr:uid="{76DB6034-9AAB-4670-84DA-581DD1B91E89}"/>
    <cellStyle name="Comma 4 2 2 5 3 2 2 4" xfId="33786" xr:uid="{CBB4EA9C-7466-4DD5-829D-5062992269C7}"/>
    <cellStyle name="Comma 4 2 2 5 3 2 3" xfId="12688" xr:uid="{6321498A-5A8E-4AE4-BBD4-FB907CF4C380}"/>
    <cellStyle name="Comma 4 2 2 5 3 2 4" xfId="21129" xr:uid="{95C0660E-3CEA-4917-9C43-AAE4417D81CF}"/>
    <cellStyle name="Comma 4 2 2 5 3 2 5" xfId="29569" xr:uid="{2C81E5F6-F61A-4A62-A627-00C96985BA5A}"/>
    <cellStyle name="Comma 4 2 2 5 3 3" xfId="5434" xr:uid="{00000000-0005-0000-0000-000049080000}"/>
    <cellStyle name="Comma 4 2 2 5 3 3 2" xfId="14760" xr:uid="{0047D7A1-A7F0-422F-B662-06CADB13E815}"/>
    <cellStyle name="Comma 4 2 2 5 3 3 3" xfId="23201" xr:uid="{BE9614CD-58FD-41AF-8CF0-AFA4AE4792BA}"/>
    <cellStyle name="Comma 4 2 2 5 3 3 4" xfId="31641" xr:uid="{44205802-97D6-4DBB-AEDC-D4FC719610E9}"/>
    <cellStyle name="Comma 4 2 2 5 3 4" xfId="10543" xr:uid="{8E6E270E-35DA-44DA-9946-F7FFEB6B5826}"/>
    <cellStyle name="Comma 4 2 2 5 3 5" xfId="18984" xr:uid="{520BC9CB-E2B4-4FF8-A515-6A078DE178D2}"/>
    <cellStyle name="Comma 4 2 2 5 3 6" xfId="27424" xr:uid="{ED2F97FB-D70B-487D-85B9-DC8C9AD4A8E1}"/>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DD7E6AF4-AA3C-44B8-AF02-BC0225CCD21C}"/>
    <cellStyle name="Comma 4 2 2 5 4 2 2 3" xfId="25759" xr:uid="{10F49ADD-7E04-47FC-9A3E-08C4349AF910}"/>
    <cellStyle name="Comma 4 2 2 5 4 2 2 4" xfId="34199" xr:uid="{F2F2F3DF-6C18-4F36-BD4A-592ED9F53ABE}"/>
    <cellStyle name="Comma 4 2 2 5 4 2 3" xfId="13101" xr:uid="{79D86D4B-16EF-4BD0-9451-DDB745A9EEF8}"/>
    <cellStyle name="Comma 4 2 2 5 4 2 4" xfId="21542" xr:uid="{B67DB62D-0073-4314-AD30-31B7C830996D}"/>
    <cellStyle name="Comma 4 2 2 5 4 2 5" xfId="29982" xr:uid="{D549E259-5AE2-46F4-9E74-6604F8EAA695}"/>
    <cellStyle name="Comma 4 2 2 5 4 3" xfId="5847" xr:uid="{00000000-0005-0000-0000-00004D080000}"/>
    <cellStyle name="Comma 4 2 2 5 4 3 2" xfId="15173" xr:uid="{802A7204-3462-41AD-A94B-9DAA4715A46A}"/>
    <cellStyle name="Comma 4 2 2 5 4 3 3" xfId="23614" xr:uid="{EDD25475-8A6D-4C6F-B7F3-749FB4565B4D}"/>
    <cellStyle name="Comma 4 2 2 5 4 3 4" xfId="32054" xr:uid="{6802E707-D2FD-4D2D-BAA3-57C0896E91D8}"/>
    <cellStyle name="Comma 4 2 2 5 4 4" xfId="10956" xr:uid="{17962430-93EB-4572-B123-9CF6E64F5DED}"/>
    <cellStyle name="Comma 4 2 2 5 4 5" xfId="19397" xr:uid="{1647FC98-A649-4930-9C81-8BDB47743279}"/>
    <cellStyle name="Comma 4 2 2 5 4 6" xfId="27837" xr:uid="{D3BC78D6-3DD9-441A-9F9B-498C81DB11FE}"/>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75DBE3D7-4545-45F1-98A3-495F9D9E735E}"/>
    <cellStyle name="Comma 4 2 2 5 5 2 2 3" xfId="26172" xr:uid="{17AAD81B-5143-4306-8D1F-8F4A59337280}"/>
    <cellStyle name="Comma 4 2 2 5 5 2 2 4" xfId="34612" xr:uid="{2C4DC9D8-A158-4FF4-87E6-1A5492B883F7}"/>
    <cellStyle name="Comma 4 2 2 5 5 2 3" xfId="13514" xr:uid="{7E8C5CF8-5C13-4AF2-AB90-A2DCBB2C0ABE}"/>
    <cellStyle name="Comma 4 2 2 5 5 2 4" xfId="21955" xr:uid="{A1CB391F-2730-47F5-A220-48E903A511F7}"/>
    <cellStyle name="Comma 4 2 2 5 5 2 5" xfId="30395" xr:uid="{739781F5-B982-4C1B-850E-733512FBD2BA}"/>
    <cellStyle name="Comma 4 2 2 5 5 3" xfId="6260" xr:uid="{00000000-0005-0000-0000-000051080000}"/>
    <cellStyle name="Comma 4 2 2 5 5 3 2" xfId="15586" xr:uid="{1CB8138D-26AA-470F-9563-28621EBCF581}"/>
    <cellStyle name="Comma 4 2 2 5 5 3 3" xfId="24027" xr:uid="{74582991-CFB4-4A33-962F-6040FA67E31C}"/>
    <cellStyle name="Comma 4 2 2 5 5 3 4" xfId="32467" xr:uid="{4FC2D8D1-7D2C-4BE0-A6BB-49AA48535F17}"/>
    <cellStyle name="Comma 4 2 2 5 5 4" xfId="11369" xr:uid="{832BA310-B5D2-4FF2-863F-A7E73FDB93DE}"/>
    <cellStyle name="Comma 4 2 2 5 5 5" xfId="19810" xr:uid="{08AF4047-4299-45F9-BDF1-CD19979462C4}"/>
    <cellStyle name="Comma 4 2 2 5 5 6" xfId="28250" xr:uid="{622AAF8E-DB70-4F3B-933B-8C5CC10F3F00}"/>
    <cellStyle name="Comma 4 2 2 5 6" xfId="2389" xr:uid="{00000000-0005-0000-0000-000052080000}"/>
    <cellStyle name="Comma 4 2 2 5 6 2" xfId="6673" xr:uid="{00000000-0005-0000-0000-000053080000}"/>
    <cellStyle name="Comma 4 2 2 5 6 2 2" xfId="15999" xr:uid="{6EEC7397-2D5A-4C82-8DCC-DAA7F8C3760F}"/>
    <cellStyle name="Comma 4 2 2 5 6 2 3" xfId="24440" xr:uid="{4BE226E2-4FFC-4770-B18B-10465424D22B}"/>
    <cellStyle name="Comma 4 2 2 5 6 2 4" xfId="32880" xr:uid="{FB89A1BA-4559-4DF4-B10C-9A70D63DDE95}"/>
    <cellStyle name="Comma 4 2 2 5 6 3" xfId="11782" xr:uid="{822F5E65-B82A-404E-B630-92DF74B7426B}"/>
    <cellStyle name="Comma 4 2 2 5 6 4" xfId="20223" xr:uid="{B7E0C372-6668-4D8B-AB9F-1FF94113BA70}"/>
    <cellStyle name="Comma 4 2 2 5 6 5" xfId="28663" xr:uid="{2B06EA58-F882-4D41-B673-814839AC5E81}"/>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434E3CDB-D524-4873-AEED-C27591792E6E}"/>
    <cellStyle name="Comma 4 2 2 5 8 2 3" xfId="24757" xr:uid="{23FE0EED-A0E0-4C28-BC43-95B673F866BF}"/>
    <cellStyle name="Comma 4 2 2 5 8 2 4" xfId="33197" xr:uid="{BBAE8399-D4E4-4F55-BFF1-A116BFC31A82}"/>
    <cellStyle name="Comma 4 2 2 5 8 3" xfId="12099" xr:uid="{4939E960-8140-4AC1-B64F-051DB80CB9BC}"/>
    <cellStyle name="Comma 4 2 2 5 8 4" xfId="20540" xr:uid="{657827F8-7D37-4147-9FD5-1A43000A2A89}"/>
    <cellStyle name="Comma 4 2 2 5 8 5" xfId="28980" xr:uid="{6E48E759-A7E3-48E3-8341-50E641C6426B}"/>
    <cellStyle name="Comma 4 2 2 5 9" xfId="4607" xr:uid="{00000000-0005-0000-0000-000057080000}"/>
    <cellStyle name="Comma 4 2 2 5 9 2" xfId="13933" xr:uid="{8A41ED0E-A72A-4E13-B0B0-71A71E98999F}"/>
    <cellStyle name="Comma 4 2 2 5 9 3" xfId="22374" xr:uid="{6BA68DC5-0B30-464F-8D6E-2E43D6CDF678}"/>
    <cellStyle name="Comma 4 2 2 5 9 4" xfId="30814" xr:uid="{AF9F678B-7438-4B39-84A5-D638067CDD82}"/>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6317" xr:uid="{A3191E2B-A36F-48CB-8D7A-081481C28304}"/>
    <cellStyle name="Comma 4 2 3 10 2 3" xfId="24758" xr:uid="{B0607CE2-68EA-4B4F-A961-5F1930C90A31}"/>
    <cellStyle name="Comma 4 2 3 10 2 4" xfId="33198" xr:uid="{FB3D61C1-E377-44E1-80B7-B21885C59C5F}"/>
    <cellStyle name="Comma 4 2 3 10 3" xfId="12100" xr:uid="{E5173D6F-ABBB-4246-B4EC-B76B8352A07D}"/>
    <cellStyle name="Comma 4 2 3 10 4" xfId="20541" xr:uid="{41939741-7651-4C3D-A5D3-16B76013C448}"/>
    <cellStyle name="Comma 4 2 3 10 5" xfId="28981" xr:uid="{C335C2EA-CFFF-45ED-99F2-EC1B4BD1D112}"/>
    <cellStyle name="Comma 4 2 3 11" xfId="4608" xr:uid="{00000000-0005-0000-0000-00005B080000}"/>
    <cellStyle name="Comma 4 2 3 11 2" xfId="13934" xr:uid="{2A14B37A-8D2B-4D28-9353-D2673CCF02E6}"/>
    <cellStyle name="Comma 4 2 3 11 3" xfId="22375" xr:uid="{1F48497E-E9CD-4446-9D4F-080DB9293AC5}"/>
    <cellStyle name="Comma 4 2 3 11 4" xfId="30815" xr:uid="{1AE01F35-6813-45C6-ABB9-F274ADA7DE90}"/>
    <cellStyle name="Comma 4 2 3 12" xfId="8805" xr:uid="{C45527F6-07B7-4887-BAF3-A6424444BA3B}"/>
    <cellStyle name="Comma 4 2 3 13" xfId="9717" xr:uid="{BBAD7DBE-2411-4B88-814F-64A82520E847}"/>
    <cellStyle name="Comma 4 2 3 14" xfId="18158" xr:uid="{4AB05B39-AFAF-41A3-93C6-FA3DE45E7FC4}"/>
    <cellStyle name="Comma 4 2 3 15" xfId="26598" xr:uid="{FAA63C12-BFFA-4105-8AED-39C891568D79}"/>
    <cellStyle name="Comma 4 2 3 2" xfId="137" xr:uid="{00000000-0005-0000-0000-00005C080000}"/>
    <cellStyle name="Comma 4 2 3 2 10" xfId="4609" xr:uid="{00000000-0005-0000-0000-00005D080000}"/>
    <cellStyle name="Comma 4 2 3 2 10 2" xfId="13935" xr:uid="{CD2C3163-F135-4DF6-9862-1850FB85E56C}"/>
    <cellStyle name="Comma 4 2 3 2 10 3" xfId="22376" xr:uid="{AFA65DBD-BCCF-4760-A9E1-6E081960A075}"/>
    <cellStyle name="Comma 4 2 3 2 10 4" xfId="30816" xr:uid="{68F40B5D-466E-41B5-B185-A7251F5F3039}"/>
    <cellStyle name="Comma 4 2 3 2 11" xfId="8908" xr:uid="{E7021C11-E6EB-4392-A0AD-2A78F42B4BB7}"/>
    <cellStyle name="Comma 4 2 3 2 12" xfId="9718" xr:uid="{FB5C3E4E-DFE3-4923-B65B-99588F2911A7}"/>
    <cellStyle name="Comma 4 2 3 2 13" xfId="18159" xr:uid="{C0B89DD2-13F6-4684-869B-3658DC1780C7}"/>
    <cellStyle name="Comma 4 2 3 2 14" xfId="26599" xr:uid="{2E672CB5-C2CC-4BC5-82DE-2C1CA94E199E}"/>
    <cellStyle name="Comma 4 2 3 2 2" xfId="138" xr:uid="{00000000-0005-0000-0000-00005E080000}"/>
    <cellStyle name="Comma 4 2 3 2 2 10" xfId="9115" xr:uid="{1A31CCC4-B2C0-4E0C-B714-855521500FE8}"/>
    <cellStyle name="Comma 4 2 3 2 2 11" xfId="9719" xr:uid="{6F42CE01-5298-4A34-9BEF-B8EF3F5AB5D6}"/>
    <cellStyle name="Comma 4 2 3 2 2 12" xfId="18160" xr:uid="{B9D8D88A-666C-4D14-96D4-C01C4396403F}"/>
    <cellStyle name="Comma 4 2 3 2 2 13" xfId="26600" xr:uid="{C7F1B551-5DA4-4251-AA4E-0AA85039A397}"/>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0D6D04D6-E361-403A-A336-315A0EB5735E}"/>
    <cellStyle name="Comma 4 2 3 2 2 2 2 2 3" xfId="24936" xr:uid="{CB602BA7-B033-42AC-8FBB-2CA23BD520BC}"/>
    <cellStyle name="Comma 4 2 3 2 2 2 2 2 4" xfId="33376" xr:uid="{01B8F2CE-89DA-4245-B80E-036F5E4EA970}"/>
    <cellStyle name="Comma 4 2 3 2 2 2 2 3" xfId="12278" xr:uid="{431CC42F-E868-4512-83C4-9BB44DFFB8EB}"/>
    <cellStyle name="Comma 4 2 3 2 2 2 2 4" xfId="20719" xr:uid="{CF0A1378-F310-4315-9028-39AFDA4D6189}"/>
    <cellStyle name="Comma 4 2 3 2 2 2 2 5" xfId="29159" xr:uid="{2E481C60-8C8D-4F48-AC15-022FB662A1C5}"/>
    <cellStyle name="Comma 4 2 3 2 2 2 3" xfId="5024" xr:uid="{00000000-0005-0000-0000-000062080000}"/>
    <cellStyle name="Comma 4 2 3 2 2 2 3 2" xfId="14350" xr:uid="{F90F69C0-27AB-42EF-A7A1-40BB210A8C6F}"/>
    <cellStyle name="Comma 4 2 3 2 2 2 3 3" xfId="22791" xr:uid="{7431CE6A-F545-48FA-AA58-C13A8EB4E1F7}"/>
    <cellStyle name="Comma 4 2 3 2 2 2 3 4" xfId="31231" xr:uid="{543BF250-A39A-4EB5-9146-0EF5AD110BF1}"/>
    <cellStyle name="Comma 4 2 3 2 2 2 4" xfId="9540" xr:uid="{F922DD27-FEAE-4DB6-894F-26CD58815668}"/>
    <cellStyle name="Comma 4 2 3 2 2 2 5" xfId="10133" xr:uid="{FA2D1253-EF88-418E-BA3F-D19E5DA44543}"/>
    <cellStyle name="Comma 4 2 3 2 2 2 6" xfId="18574" xr:uid="{D782FEB5-17FB-4A6E-BC0A-C9E0F60DD628}"/>
    <cellStyle name="Comma 4 2 3 2 2 2 7" xfId="27014" xr:uid="{4E7144DA-EA42-4210-AE95-6073F85C3802}"/>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111F8605-0ACF-4FBC-A554-F0B774A33B7F}"/>
    <cellStyle name="Comma 4 2 3 2 2 3 2 2 3" xfId="25349" xr:uid="{0AC8DC7C-8D07-4E0D-A8F7-68E6B0640CD4}"/>
    <cellStyle name="Comma 4 2 3 2 2 3 2 2 4" xfId="33789" xr:uid="{D792F7EC-1D40-43F1-9896-6F26B4C22BA7}"/>
    <cellStyle name="Comma 4 2 3 2 2 3 2 3" xfId="12691" xr:uid="{B23F27A5-F98A-4357-8E49-A22B8033012B}"/>
    <cellStyle name="Comma 4 2 3 2 2 3 2 4" xfId="21132" xr:uid="{CC71BE8E-C72C-4BF2-987C-8D3AD288C68B}"/>
    <cellStyle name="Comma 4 2 3 2 2 3 2 5" xfId="29572" xr:uid="{2EBFA5F4-128D-4874-8331-D7094C9F2F87}"/>
    <cellStyle name="Comma 4 2 3 2 2 3 3" xfId="5437" xr:uid="{00000000-0005-0000-0000-000066080000}"/>
    <cellStyle name="Comma 4 2 3 2 2 3 3 2" xfId="14763" xr:uid="{507516F7-A691-4A16-97E3-6D94D78853E4}"/>
    <cellStyle name="Comma 4 2 3 2 2 3 3 3" xfId="23204" xr:uid="{45ADC4C5-77D0-43A7-9A1A-C95AB15EF3C1}"/>
    <cellStyle name="Comma 4 2 3 2 2 3 3 4" xfId="31644" xr:uid="{A506B760-F6E0-463D-8082-B4185F8D606E}"/>
    <cellStyle name="Comma 4 2 3 2 2 3 4" xfId="10546" xr:uid="{0C66EAB2-D9E3-4DC0-99BB-B1B73A9422E0}"/>
    <cellStyle name="Comma 4 2 3 2 2 3 5" xfId="18987" xr:uid="{7A2AA2DE-8CC0-46ED-A8C9-50D3DD3EEE06}"/>
    <cellStyle name="Comma 4 2 3 2 2 3 6" xfId="27427" xr:uid="{A7D500C8-7C50-4CD1-B6D9-8AA14CA7C607}"/>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3EFFDBAB-9FE7-4A4F-9CCC-920ABA456932}"/>
    <cellStyle name="Comma 4 2 3 2 2 4 2 2 3" xfId="25762" xr:uid="{392EC0F5-F744-47A4-8820-8498F4243E96}"/>
    <cellStyle name="Comma 4 2 3 2 2 4 2 2 4" xfId="34202" xr:uid="{192B8F71-213B-431D-A43B-C81952ADBDFD}"/>
    <cellStyle name="Comma 4 2 3 2 2 4 2 3" xfId="13104" xr:uid="{39EB41FB-D56E-4BC1-92F0-2E6D78E5ABCE}"/>
    <cellStyle name="Comma 4 2 3 2 2 4 2 4" xfId="21545" xr:uid="{B74263ED-54D0-4EB9-9F36-B92A54C60414}"/>
    <cellStyle name="Comma 4 2 3 2 2 4 2 5" xfId="29985" xr:uid="{28D33C51-2BC6-4638-A279-1B0B6F92C494}"/>
    <cellStyle name="Comma 4 2 3 2 2 4 3" xfId="5850" xr:uid="{00000000-0005-0000-0000-00006A080000}"/>
    <cellStyle name="Comma 4 2 3 2 2 4 3 2" xfId="15176" xr:uid="{D2D48F7E-2A4B-4C5C-AB29-0CD6390D694A}"/>
    <cellStyle name="Comma 4 2 3 2 2 4 3 3" xfId="23617" xr:uid="{24B7B001-658F-45AA-80F7-E5205E659F3A}"/>
    <cellStyle name="Comma 4 2 3 2 2 4 3 4" xfId="32057" xr:uid="{9A933576-BC78-42D4-870D-FF62F8B0F73F}"/>
    <cellStyle name="Comma 4 2 3 2 2 4 4" xfId="10959" xr:uid="{9CF011C7-C466-4745-952F-48E07C7153DC}"/>
    <cellStyle name="Comma 4 2 3 2 2 4 5" xfId="19400" xr:uid="{CCE157E2-D167-49D8-9FA5-3854FA6C2837}"/>
    <cellStyle name="Comma 4 2 3 2 2 4 6" xfId="27840" xr:uid="{6A8E50B1-91A7-4DA3-8EC9-C4AD1D6FC0C9}"/>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36C1606B-AE16-4071-AED7-BC4F5D6E2A77}"/>
    <cellStyle name="Comma 4 2 3 2 2 5 2 2 3" xfId="26175" xr:uid="{3545A81B-ACC6-4E61-BDE9-DDB665CBF105}"/>
    <cellStyle name="Comma 4 2 3 2 2 5 2 2 4" xfId="34615" xr:uid="{33CC08FA-C0BF-4C0D-A4DD-83BBF929E0CE}"/>
    <cellStyle name="Comma 4 2 3 2 2 5 2 3" xfId="13517" xr:uid="{B0DE93E4-A3DE-4D14-951C-7D61B684C541}"/>
    <cellStyle name="Comma 4 2 3 2 2 5 2 4" xfId="21958" xr:uid="{4FA76022-09DD-4183-880D-C9D2766A0BDD}"/>
    <cellStyle name="Comma 4 2 3 2 2 5 2 5" xfId="30398" xr:uid="{8AE0679F-B428-40CF-B1A2-9C2580C1566D}"/>
    <cellStyle name="Comma 4 2 3 2 2 5 3" xfId="6263" xr:uid="{00000000-0005-0000-0000-00006E080000}"/>
    <cellStyle name="Comma 4 2 3 2 2 5 3 2" xfId="15589" xr:uid="{595B64B7-09A0-4F1D-B1F4-BCDA2CEF42A3}"/>
    <cellStyle name="Comma 4 2 3 2 2 5 3 3" xfId="24030" xr:uid="{DEC35599-2C6D-4BD7-86C3-2E8E53D762B8}"/>
    <cellStyle name="Comma 4 2 3 2 2 5 3 4" xfId="32470" xr:uid="{9C163A78-B81C-457F-B96B-C5491433AE0D}"/>
    <cellStyle name="Comma 4 2 3 2 2 5 4" xfId="11372" xr:uid="{B4B44786-55B4-41BC-83D3-1914BC3E05F0}"/>
    <cellStyle name="Comma 4 2 3 2 2 5 5" xfId="19813" xr:uid="{A69447FA-12AD-4E72-837A-1EBAFE84A34C}"/>
    <cellStyle name="Comma 4 2 3 2 2 5 6" xfId="28253" xr:uid="{FE2AC372-C431-415A-AB02-FF08043A01C9}"/>
    <cellStyle name="Comma 4 2 3 2 2 6" xfId="2392" xr:uid="{00000000-0005-0000-0000-00006F080000}"/>
    <cellStyle name="Comma 4 2 3 2 2 6 2" xfId="6676" xr:uid="{00000000-0005-0000-0000-000070080000}"/>
    <cellStyle name="Comma 4 2 3 2 2 6 2 2" xfId="16002" xr:uid="{25A8471C-FB01-42D2-A40B-87C6B2636F84}"/>
    <cellStyle name="Comma 4 2 3 2 2 6 2 3" xfId="24443" xr:uid="{A2800CD9-6E27-487D-8E50-F23679D135AE}"/>
    <cellStyle name="Comma 4 2 3 2 2 6 2 4" xfId="32883" xr:uid="{2A577BA9-4C45-4F39-ADC6-EEF2D42DF3B7}"/>
    <cellStyle name="Comma 4 2 3 2 2 6 3" xfId="11785" xr:uid="{18C302A6-7F9B-4107-84BB-F94AF44F7D65}"/>
    <cellStyle name="Comma 4 2 3 2 2 6 4" xfId="20226" xr:uid="{6E3F7807-FE01-42D2-8301-59FB057F46C4}"/>
    <cellStyle name="Comma 4 2 3 2 2 6 5" xfId="28666" xr:uid="{FAF67AEE-92B3-4859-9BCE-1C700996854A}"/>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7EE39330-96DF-4611-AE63-A459982950F7}"/>
    <cellStyle name="Comma 4 2 3 2 2 8 2 3" xfId="24760" xr:uid="{38854D80-DC5B-43E9-8AA0-1C3F3F5716DD}"/>
    <cellStyle name="Comma 4 2 3 2 2 8 2 4" xfId="33200" xr:uid="{1500FA3B-3A8A-455E-BB24-07DE850A5779}"/>
    <cellStyle name="Comma 4 2 3 2 2 8 3" xfId="12102" xr:uid="{04C4DB3B-E0A3-4C8B-B6D0-C2C06B8A3413}"/>
    <cellStyle name="Comma 4 2 3 2 2 8 4" xfId="20543" xr:uid="{675702F2-4940-4E04-9C78-0925E62DB9EE}"/>
    <cellStyle name="Comma 4 2 3 2 2 8 5" xfId="28983" xr:uid="{8EA202FD-EFD7-480F-8EEB-D95300548273}"/>
    <cellStyle name="Comma 4 2 3 2 2 9" xfId="4610" xr:uid="{00000000-0005-0000-0000-000074080000}"/>
    <cellStyle name="Comma 4 2 3 2 2 9 2" xfId="13936" xr:uid="{FDCF0453-2E05-492C-BE09-21293BE164C8}"/>
    <cellStyle name="Comma 4 2 3 2 2 9 3" xfId="22377" xr:uid="{14701C52-712D-47D5-B7E3-948C66B95B3E}"/>
    <cellStyle name="Comma 4 2 3 2 2 9 4" xfId="30817" xr:uid="{560EB2C2-D1E2-43DD-B778-7662F826DCDC}"/>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D2A9C873-9848-4FA5-8635-374A0CADB09B}"/>
    <cellStyle name="Comma 4 2 3 2 3 2 2 3" xfId="24935" xr:uid="{C9E3B2A4-765D-47AB-A93B-E777FC41245B}"/>
    <cellStyle name="Comma 4 2 3 2 3 2 2 4" xfId="33375" xr:uid="{EF428AA6-C817-41A9-BE9E-3B91C09899E7}"/>
    <cellStyle name="Comma 4 2 3 2 3 2 3" xfId="12277" xr:uid="{0C233E66-067A-4754-9618-91F2A20B6138}"/>
    <cellStyle name="Comma 4 2 3 2 3 2 4" xfId="20718" xr:uid="{A14F43FA-88D2-47E0-B679-75D173FE25A9}"/>
    <cellStyle name="Comma 4 2 3 2 3 2 5" xfId="29158" xr:uid="{0F2F145C-AB81-4867-B98E-31F290DDCFC0}"/>
    <cellStyle name="Comma 4 2 3 2 3 3" xfId="5023" xr:uid="{00000000-0005-0000-0000-000078080000}"/>
    <cellStyle name="Comma 4 2 3 2 3 3 2" xfId="14349" xr:uid="{0250AEB8-682F-41A9-8106-1D4A056C6042}"/>
    <cellStyle name="Comma 4 2 3 2 3 3 3" xfId="22790" xr:uid="{CDFB3AA7-6F72-47E5-ACF0-F12D0445266A}"/>
    <cellStyle name="Comma 4 2 3 2 3 3 4" xfId="31230" xr:uid="{1A76BA1B-8440-48FC-9189-6FCD3D9F428D}"/>
    <cellStyle name="Comma 4 2 3 2 3 4" xfId="9333" xr:uid="{5C974796-1B06-4FA8-AB2A-F6B34628ACD4}"/>
    <cellStyle name="Comma 4 2 3 2 3 5" xfId="10132" xr:uid="{91671B90-78F8-42AE-860A-C4AACBEF4EE4}"/>
    <cellStyle name="Comma 4 2 3 2 3 6" xfId="18573" xr:uid="{31A32605-C386-435A-9070-07D4374FFA11}"/>
    <cellStyle name="Comma 4 2 3 2 3 7" xfId="27013" xr:uid="{2C978B4C-CA15-407F-A586-7FDD87983385}"/>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06E4DC9D-E3F3-4D0D-9DC3-4705F2E8DA0B}"/>
    <cellStyle name="Comma 4 2 3 2 4 2 2 3" xfId="25348" xr:uid="{E2B07896-231E-4C27-8A96-DF0045DC4459}"/>
    <cellStyle name="Comma 4 2 3 2 4 2 2 4" xfId="33788" xr:uid="{2B283A5E-F0F4-4FCF-A1A8-5C663ADA3373}"/>
    <cellStyle name="Comma 4 2 3 2 4 2 3" xfId="12690" xr:uid="{DFD34DA6-5ABC-4816-AD60-80CC832F710B}"/>
    <cellStyle name="Comma 4 2 3 2 4 2 4" xfId="21131" xr:uid="{566725D0-381A-46E4-9873-562CECED0850}"/>
    <cellStyle name="Comma 4 2 3 2 4 2 5" xfId="29571" xr:uid="{E5E702A3-52E2-46FF-A7BB-B6E2C78D815E}"/>
    <cellStyle name="Comma 4 2 3 2 4 3" xfId="5436" xr:uid="{00000000-0005-0000-0000-00007C080000}"/>
    <cellStyle name="Comma 4 2 3 2 4 3 2" xfId="14762" xr:uid="{704FEF30-E7E0-4A91-8D17-A1FDC0DDF264}"/>
    <cellStyle name="Comma 4 2 3 2 4 3 3" xfId="23203" xr:uid="{D3E63890-4C09-4ED6-9837-835850941AD4}"/>
    <cellStyle name="Comma 4 2 3 2 4 3 4" xfId="31643" xr:uid="{6362DEC1-D172-4A5C-8AA5-3E20555F1168}"/>
    <cellStyle name="Comma 4 2 3 2 4 4" xfId="10545" xr:uid="{D021E53E-2D96-49F9-84C4-A2551EE074A5}"/>
    <cellStyle name="Comma 4 2 3 2 4 5" xfId="18986" xr:uid="{DA62B582-73A1-4FBE-A1C7-66C64C32D1D5}"/>
    <cellStyle name="Comma 4 2 3 2 4 6" xfId="27426" xr:uid="{44D8468D-1D67-41C3-A943-1AF4C8CFD8BA}"/>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CA0F96A3-DCE8-463E-B2C5-0C8BD4C7FA5F}"/>
    <cellStyle name="Comma 4 2 3 2 5 2 2 3" xfId="25761" xr:uid="{2CF82EC5-2C31-4B37-9243-0CB3E3E913DB}"/>
    <cellStyle name="Comma 4 2 3 2 5 2 2 4" xfId="34201" xr:uid="{8E4DDE1C-C5F6-4129-8277-D91E070D8078}"/>
    <cellStyle name="Comma 4 2 3 2 5 2 3" xfId="13103" xr:uid="{3C47B9BF-E559-4647-A07F-CED8EDEDFE57}"/>
    <cellStyle name="Comma 4 2 3 2 5 2 4" xfId="21544" xr:uid="{2127AC19-6B96-4398-81E3-8C6B90C0C9D5}"/>
    <cellStyle name="Comma 4 2 3 2 5 2 5" xfId="29984" xr:uid="{070FE2C6-8EA4-4F42-95B2-C2EDC2E7A612}"/>
    <cellStyle name="Comma 4 2 3 2 5 3" xfId="5849" xr:uid="{00000000-0005-0000-0000-000080080000}"/>
    <cellStyle name="Comma 4 2 3 2 5 3 2" xfId="15175" xr:uid="{C1B4CA6D-008C-49D1-AAE2-A814D236771F}"/>
    <cellStyle name="Comma 4 2 3 2 5 3 3" xfId="23616" xr:uid="{87818408-6224-440F-801D-EAE7CC77DBDB}"/>
    <cellStyle name="Comma 4 2 3 2 5 3 4" xfId="32056" xr:uid="{7E86F3FE-BBF2-4702-981B-C12A1CFC7E3D}"/>
    <cellStyle name="Comma 4 2 3 2 5 4" xfId="10958" xr:uid="{7A170B39-D32B-4FC6-A800-E268E86E561B}"/>
    <cellStyle name="Comma 4 2 3 2 5 5" xfId="19399" xr:uid="{0611F849-967D-4184-BD45-A825217D1379}"/>
    <cellStyle name="Comma 4 2 3 2 5 6" xfId="27839" xr:uid="{DB3D0C4A-2B82-499D-9348-558A2FA12F4F}"/>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2EEBF110-6567-4D2C-96C4-BBF4B5B950BE}"/>
    <cellStyle name="Comma 4 2 3 2 6 2 2 3" xfId="26174" xr:uid="{48D00A77-D9BF-4F92-8BCC-0F67DD6700BB}"/>
    <cellStyle name="Comma 4 2 3 2 6 2 2 4" xfId="34614" xr:uid="{8818218A-D71E-497C-B584-93904D08AB45}"/>
    <cellStyle name="Comma 4 2 3 2 6 2 3" xfId="13516" xr:uid="{3743879F-0851-42C5-A49B-8F3295F0F2DB}"/>
    <cellStyle name="Comma 4 2 3 2 6 2 4" xfId="21957" xr:uid="{B57F46D0-F908-4B26-982F-57325EB8CB06}"/>
    <cellStyle name="Comma 4 2 3 2 6 2 5" xfId="30397" xr:uid="{2C22C2EC-3370-40BE-A069-D4599D5FA717}"/>
    <cellStyle name="Comma 4 2 3 2 6 3" xfId="6262" xr:uid="{00000000-0005-0000-0000-000084080000}"/>
    <cellStyle name="Comma 4 2 3 2 6 3 2" xfId="15588" xr:uid="{7576A06C-90CA-4C68-BB43-0FC6A90F356E}"/>
    <cellStyle name="Comma 4 2 3 2 6 3 3" xfId="24029" xr:uid="{36B35461-CF13-4BDF-9E74-B8923171BDEA}"/>
    <cellStyle name="Comma 4 2 3 2 6 3 4" xfId="32469" xr:uid="{B8543163-D238-4741-B653-09BD169C549E}"/>
    <cellStyle name="Comma 4 2 3 2 6 4" xfId="11371" xr:uid="{9B67A7E4-F771-433E-B1E8-1151B2E2213E}"/>
    <cellStyle name="Comma 4 2 3 2 6 5" xfId="19812" xr:uid="{57047165-E482-4B9C-88DE-D983BCD32299}"/>
    <cellStyle name="Comma 4 2 3 2 6 6" xfId="28252" xr:uid="{0743E0B9-D466-4D75-9995-1C9115CE7D23}"/>
    <cellStyle name="Comma 4 2 3 2 7" xfId="2391" xr:uid="{00000000-0005-0000-0000-000085080000}"/>
    <cellStyle name="Comma 4 2 3 2 7 2" xfId="6675" xr:uid="{00000000-0005-0000-0000-000086080000}"/>
    <cellStyle name="Comma 4 2 3 2 7 2 2" xfId="16001" xr:uid="{03A6D8A9-DECC-4411-B67D-4EF0409D365D}"/>
    <cellStyle name="Comma 4 2 3 2 7 2 3" xfId="24442" xr:uid="{AF3464F3-3083-4E9C-9FDE-256411D4C955}"/>
    <cellStyle name="Comma 4 2 3 2 7 2 4" xfId="32882" xr:uid="{2D7E5CF6-DF4B-45AC-BA4D-4286C1CDD2C6}"/>
    <cellStyle name="Comma 4 2 3 2 7 3" xfId="11784" xr:uid="{E0ADFBC9-7506-4D9F-8909-EF55771F696C}"/>
    <cellStyle name="Comma 4 2 3 2 7 4" xfId="20225" xr:uid="{0D5350E7-DF3F-4656-846A-DCFE6007C0E4}"/>
    <cellStyle name="Comma 4 2 3 2 7 5" xfId="28665" xr:uid="{F810A6DC-6AF6-4206-86B3-C32FDEF2B183}"/>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49778FE5-96FA-47C2-9ECA-C1AB654A7CC9}"/>
    <cellStyle name="Comma 4 2 3 2 9 2 3" xfId="24759" xr:uid="{8254EAC4-0821-4954-AF5A-7AE8722A0AC7}"/>
    <cellStyle name="Comma 4 2 3 2 9 2 4" xfId="33199" xr:uid="{1AFA9326-A0DF-4BB5-B442-78643EC4A9C4}"/>
    <cellStyle name="Comma 4 2 3 2 9 3" xfId="12101" xr:uid="{BA7F0D89-D005-48F0-9916-DEA2A06DDE07}"/>
    <cellStyle name="Comma 4 2 3 2 9 4" xfId="20542" xr:uid="{E181691C-F373-41E8-B407-86ECE1CEA8C1}"/>
    <cellStyle name="Comma 4 2 3 2 9 5" xfId="28982" xr:uid="{4CE5C37A-5962-4FC7-AC20-26475523A614}"/>
    <cellStyle name="Comma 4 2 3 3" xfId="139" xr:uid="{00000000-0005-0000-0000-00008A080000}"/>
    <cellStyle name="Comma 4 2 3 3 10" xfId="9012" xr:uid="{61C0F117-76A9-43CA-B381-88B2CFF6294C}"/>
    <cellStyle name="Comma 4 2 3 3 11" xfId="9720" xr:uid="{6D53A220-7BFF-4162-B22C-4CC404B5F273}"/>
    <cellStyle name="Comma 4 2 3 3 12" xfId="18161" xr:uid="{F090D5F9-9915-4661-96A4-B460785AF96D}"/>
    <cellStyle name="Comma 4 2 3 3 13" xfId="26601" xr:uid="{8E7CBA24-BC53-4DF7-B8DC-B9611FA28007}"/>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B085C219-268B-4BF7-A2B8-269965E20AE1}"/>
    <cellStyle name="Comma 4 2 3 3 2 2 2 3" xfId="24937" xr:uid="{3C6D4870-169E-472A-839A-28A1790D0357}"/>
    <cellStyle name="Comma 4 2 3 3 2 2 2 4" xfId="33377" xr:uid="{39E708DC-33E1-4D85-B725-143086F9193D}"/>
    <cellStyle name="Comma 4 2 3 3 2 2 3" xfId="12279" xr:uid="{FE288D24-8894-48BA-8948-7F59075786D5}"/>
    <cellStyle name="Comma 4 2 3 3 2 2 4" xfId="20720" xr:uid="{81B82FCD-D5D4-45C8-9141-407A09FAD64E}"/>
    <cellStyle name="Comma 4 2 3 3 2 2 5" xfId="29160" xr:uid="{A0C50F9F-A363-4D38-93B9-6A2570F7B7F4}"/>
    <cellStyle name="Comma 4 2 3 3 2 3" xfId="5025" xr:uid="{00000000-0005-0000-0000-00008E080000}"/>
    <cellStyle name="Comma 4 2 3 3 2 3 2" xfId="14351" xr:uid="{6D4C4609-B6F1-43FD-8A06-880E81605C7C}"/>
    <cellStyle name="Comma 4 2 3 3 2 3 3" xfId="22792" xr:uid="{9A198DED-D37A-4139-B776-A07342816D8E}"/>
    <cellStyle name="Comma 4 2 3 3 2 3 4" xfId="31232" xr:uid="{DE310D6A-BC63-455E-A02A-11F241D4E900}"/>
    <cellStyle name="Comma 4 2 3 3 2 4" xfId="9437" xr:uid="{35C6809B-E49F-4A7F-8CB1-650474E72B0A}"/>
    <cellStyle name="Comma 4 2 3 3 2 5" xfId="10134" xr:uid="{4ED9CC7B-E34D-4269-9BB5-EC19A1A77AF8}"/>
    <cellStyle name="Comma 4 2 3 3 2 6" xfId="18575" xr:uid="{F9619F8C-C652-44A7-8F82-CB8880499903}"/>
    <cellStyle name="Comma 4 2 3 3 2 7" xfId="27015" xr:uid="{55A3D9FE-93AD-4FE0-A24E-7294A0A13F76}"/>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87B8027F-D503-4B7A-95CD-993DE8C39F92}"/>
    <cellStyle name="Comma 4 2 3 3 3 2 2 3" xfId="25350" xr:uid="{0C03B902-A701-4CCA-850F-54DFAACAB262}"/>
    <cellStyle name="Comma 4 2 3 3 3 2 2 4" xfId="33790" xr:uid="{491198AF-05A7-44D4-AF91-DBB480441C02}"/>
    <cellStyle name="Comma 4 2 3 3 3 2 3" xfId="12692" xr:uid="{04CF2E55-8EE0-4DAD-A168-E5890496E263}"/>
    <cellStyle name="Comma 4 2 3 3 3 2 4" xfId="21133" xr:uid="{26DAF926-0692-466E-A9D7-23CFF430B483}"/>
    <cellStyle name="Comma 4 2 3 3 3 2 5" xfId="29573" xr:uid="{AC37F972-A8F2-4478-8131-46A6797B8B7B}"/>
    <cellStyle name="Comma 4 2 3 3 3 3" xfId="5438" xr:uid="{00000000-0005-0000-0000-000092080000}"/>
    <cellStyle name="Comma 4 2 3 3 3 3 2" xfId="14764" xr:uid="{120EB406-3C22-424B-9271-4DA4C3560544}"/>
    <cellStyle name="Comma 4 2 3 3 3 3 3" xfId="23205" xr:uid="{D894D10B-A7C4-471A-A6D4-904A926BB239}"/>
    <cellStyle name="Comma 4 2 3 3 3 3 4" xfId="31645" xr:uid="{477862A6-8574-4D0B-84DB-9CA1FDAEF30A}"/>
    <cellStyle name="Comma 4 2 3 3 3 4" xfId="10547" xr:uid="{0B0118D3-F1ED-4B86-AB15-9839CD1166F9}"/>
    <cellStyle name="Comma 4 2 3 3 3 5" xfId="18988" xr:uid="{D0C17031-2B36-4411-B5CE-A003BDF6E7B1}"/>
    <cellStyle name="Comma 4 2 3 3 3 6" xfId="27428" xr:uid="{6B2B7EC1-8D89-4035-B904-6D7B4131A5A8}"/>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2D528389-9977-483F-9793-22AC0774B037}"/>
    <cellStyle name="Comma 4 2 3 3 4 2 2 3" xfId="25763" xr:uid="{2F991D48-A70B-4F61-91F0-D025F3212EB7}"/>
    <cellStyle name="Comma 4 2 3 3 4 2 2 4" xfId="34203" xr:uid="{34D3154B-7490-42DB-A5B3-8CEA389F67BE}"/>
    <cellStyle name="Comma 4 2 3 3 4 2 3" xfId="13105" xr:uid="{60ECB93E-0F20-4C8B-99E1-0E40136F0BC5}"/>
    <cellStyle name="Comma 4 2 3 3 4 2 4" xfId="21546" xr:uid="{F616AFDF-C0CF-4DD1-98D7-4C15DE75157E}"/>
    <cellStyle name="Comma 4 2 3 3 4 2 5" xfId="29986" xr:uid="{4AA657EE-36D1-4CFD-894F-5DFDC2B1C62A}"/>
    <cellStyle name="Comma 4 2 3 3 4 3" xfId="5851" xr:uid="{00000000-0005-0000-0000-000096080000}"/>
    <cellStyle name="Comma 4 2 3 3 4 3 2" xfId="15177" xr:uid="{4AD4AE5D-A3CD-47BC-A731-1DCF889A07C3}"/>
    <cellStyle name="Comma 4 2 3 3 4 3 3" xfId="23618" xr:uid="{F902BEEE-EE34-4903-957F-F34DD08D613E}"/>
    <cellStyle name="Comma 4 2 3 3 4 3 4" xfId="32058" xr:uid="{38257F4E-794B-45BB-8D36-F52B2E31DF0C}"/>
    <cellStyle name="Comma 4 2 3 3 4 4" xfId="10960" xr:uid="{09626DEE-943E-49FE-9D8B-442076E0AD71}"/>
    <cellStyle name="Comma 4 2 3 3 4 5" xfId="19401" xr:uid="{BAF6A542-F016-497D-A8AC-113241705C9C}"/>
    <cellStyle name="Comma 4 2 3 3 4 6" xfId="27841" xr:uid="{EB70CCCF-F2BA-4A0C-9289-DEB62C93C151}"/>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9213C073-9BC6-4A89-BA6A-F9EC019BBE28}"/>
    <cellStyle name="Comma 4 2 3 3 5 2 2 3" xfId="26176" xr:uid="{09487CAC-5B94-461D-B60C-7C6F28EE50C3}"/>
    <cellStyle name="Comma 4 2 3 3 5 2 2 4" xfId="34616" xr:uid="{14FD231E-2C8B-4564-8A41-3634D8CC20DE}"/>
    <cellStyle name="Comma 4 2 3 3 5 2 3" xfId="13518" xr:uid="{21B2C128-DA42-49BA-B3F3-C3F6B0E81086}"/>
    <cellStyle name="Comma 4 2 3 3 5 2 4" xfId="21959" xr:uid="{96EEB5BF-EBA4-4D2B-BACB-72FC20C70292}"/>
    <cellStyle name="Comma 4 2 3 3 5 2 5" xfId="30399" xr:uid="{717896DF-F31D-40EE-A9F4-4ED1C94CDCA5}"/>
    <cellStyle name="Comma 4 2 3 3 5 3" xfId="6264" xr:uid="{00000000-0005-0000-0000-00009A080000}"/>
    <cellStyle name="Comma 4 2 3 3 5 3 2" xfId="15590" xr:uid="{D5DAC133-347E-46FB-B517-D786940A6904}"/>
    <cellStyle name="Comma 4 2 3 3 5 3 3" xfId="24031" xr:uid="{EE2FC638-B669-45A1-8AA8-5B45AAA7A83B}"/>
    <cellStyle name="Comma 4 2 3 3 5 3 4" xfId="32471" xr:uid="{54FAA980-4409-46EC-8D7A-7B05E9FC1740}"/>
    <cellStyle name="Comma 4 2 3 3 5 4" xfId="11373" xr:uid="{16E787D0-9B93-4C91-B361-0F0689C276AE}"/>
    <cellStyle name="Comma 4 2 3 3 5 5" xfId="19814" xr:uid="{11901B49-D7EE-418D-84B9-A3D725297A15}"/>
    <cellStyle name="Comma 4 2 3 3 5 6" xfId="28254" xr:uid="{A5D1A9BE-A753-4EA4-BA72-5907AF1E3B0B}"/>
    <cellStyle name="Comma 4 2 3 3 6" xfId="2393" xr:uid="{00000000-0005-0000-0000-00009B080000}"/>
    <cellStyle name="Comma 4 2 3 3 6 2" xfId="6677" xr:uid="{00000000-0005-0000-0000-00009C080000}"/>
    <cellStyle name="Comma 4 2 3 3 6 2 2" xfId="16003" xr:uid="{70A930A6-66FC-4A39-B1ED-ECD01D20589D}"/>
    <cellStyle name="Comma 4 2 3 3 6 2 3" xfId="24444" xr:uid="{6D564ABC-518E-49B0-BE27-B894FFFA6C09}"/>
    <cellStyle name="Comma 4 2 3 3 6 2 4" xfId="32884" xr:uid="{6C9F3B59-30FB-42B9-9AEE-CCB0E2F4A085}"/>
    <cellStyle name="Comma 4 2 3 3 6 3" xfId="11786" xr:uid="{58E1F4E8-D230-42E8-A571-DF5C93B537BF}"/>
    <cellStyle name="Comma 4 2 3 3 6 4" xfId="20227" xr:uid="{9551FD7F-4CDA-4288-B0E1-8EA93604215E}"/>
    <cellStyle name="Comma 4 2 3 3 6 5" xfId="28667" xr:uid="{6E95F8A2-FA31-4639-906F-D5C989D679AD}"/>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CD035CBC-62C7-415E-AFA3-AAEC3E0BBFF3}"/>
    <cellStyle name="Comma 4 2 3 3 8 2 3" xfId="24761" xr:uid="{F79C51FC-1B93-4340-A118-8CA9166BFFD1}"/>
    <cellStyle name="Comma 4 2 3 3 8 2 4" xfId="33201" xr:uid="{DFCFB234-04D3-4BA5-A6A8-693015183CF0}"/>
    <cellStyle name="Comma 4 2 3 3 8 3" xfId="12103" xr:uid="{DF4E31F7-EAF8-4DEF-BF30-12EFFDA3FB72}"/>
    <cellStyle name="Comma 4 2 3 3 8 4" xfId="20544" xr:uid="{560A199F-4685-45AB-A52D-CC0EC02316F4}"/>
    <cellStyle name="Comma 4 2 3 3 8 5" xfId="28984" xr:uid="{29F45392-2832-4383-90CE-D638A34119CD}"/>
    <cellStyle name="Comma 4 2 3 3 9" xfId="4611" xr:uid="{00000000-0005-0000-0000-0000A0080000}"/>
    <cellStyle name="Comma 4 2 3 3 9 2" xfId="13937" xr:uid="{AF7184C8-9653-4E6B-8D73-8846E283AE29}"/>
    <cellStyle name="Comma 4 2 3 3 9 3" xfId="22378" xr:uid="{414ACAE3-A60B-4B6D-8526-D3F6122399D2}"/>
    <cellStyle name="Comma 4 2 3 3 9 4" xfId="30818" xr:uid="{3EDD6F26-2FFD-4E28-BE25-5C4924A9968C}"/>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4AE1D4C4-30EA-4166-BD52-5D674867D625}"/>
    <cellStyle name="Comma 4 2 3 4 2 2 3" xfId="24934" xr:uid="{D0C4DAA4-57C4-45C5-BE29-1A18B09F761B}"/>
    <cellStyle name="Comma 4 2 3 4 2 2 4" xfId="33374" xr:uid="{73CAFAF6-D004-44F0-9220-64428F6F3C6B}"/>
    <cellStyle name="Comma 4 2 3 4 2 3" xfId="12276" xr:uid="{6DFC892B-3947-4A10-9557-3152D7B315B0}"/>
    <cellStyle name="Comma 4 2 3 4 2 4" xfId="20717" xr:uid="{87264621-BFD7-4F56-AD78-800CFE2EC987}"/>
    <cellStyle name="Comma 4 2 3 4 2 5" xfId="29157" xr:uid="{0E649DD2-5C2F-4734-97B9-8AAFB2AF1FF5}"/>
    <cellStyle name="Comma 4 2 3 4 3" xfId="5022" xr:uid="{00000000-0005-0000-0000-0000A4080000}"/>
    <cellStyle name="Comma 4 2 3 4 3 2" xfId="14348" xr:uid="{86B2815A-E46D-430F-984D-9CD0BF0F567B}"/>
    <cellStyle name="Comma 4 2 3 4 3 3" xfId="22789" xr:uid="{1410DF42-4875-43C8-A5C9-FAB2FE2859D0}"/>
    <cellStyle name="Comma 4 2 3 4 3 4" xfId="31229" xr:uid="{EED8CAD7-34F6-4C5D-B6CC-DBC70EB4D77A}"/>
    <cellStyle name="Comma 4 2 3 4 4" xfId="9230" xr:uid="{24B6B749-023F-4009-8785-C6CFE1098E24}"/>
    <cellStyle name="Comma 4 2 3 4 5" xfId="10131" xr:uid="{F260FB76-3DC4-45CB-8BDC-D84FEF747C36}"/>
    <cellStyle name="Comma 4 2 3 4 6" xfId="18572" xr:uid="{6A9D5F79-41A8-4DBD-8DB5-2090C1E38B89}"/>
    <cellStyle name="Comma 4 2 3 4 7" xfId="27012" xr:uid="{6BCC463D-3498-4712-9EC6-E68792FB0912}"/>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E8638D16-7757-4778-AA97-4C62BDFF0E5C}"/>
    <cellStyle name="Comma 4 2 3 5 2 2 3" xfId="25347" xr:uid="{09481C07-822B-466D-9BA5-29105ED26236}"/>
    <cellStyle name="Comma 4 2 3 5 2 2 4" xfId="33787" xr:uid="{EC238C4F-6DF7-49FB-8F2C-F238014DC95A}"/>
    <cellStyle name="Comma 4 2 3 5 2 3" xfId="12689" xr:uid="{97D16738-CC99-42F0-880C-56069758B7FC}"/>
    <cellStyle name="Comma 4 2 3 5 2 4" xfId="21130" xr:uid="{B4FB960D-C30B-4763-B47B-943AB35D8EFF}"/>
    <cellStyle name="Comma 4 2 3 5 2 5" xfId="29570" xr:uid="{EC9A2F7E-B9A5-42E3-AEDD-C3ECB6183069}"/>
    <cellStyle name="Comma 4 2 3 5 3" xfId="5435" xr:uid="{00000000-0005-0000-0000-0000A8080000}"/>
    <cellStyle name="Comma 4 2 3 5 3 2" xfId="14761" xr:uid="{E2C3E90A-C20E-48A2-A045-198A96601C76}"/>
    <cellStyle name="Comma 4 2 3 5 3 3" xfId="23202" xr:uid="{82D994EA-D2B1-4220-BE72-55F6665BC333}"/>
    <cellStyle name="Comma 4 2 3 5 3 4" xfId="31642" xr:uid="{7CF00958-E199-4813-BE4F-607E97C118E2}"/>
    <cellStyle name="Comma 4 2 3 5 4" xfId="10544" xr:uid="{3D7A229D-D4E9-4F9F-8518-000FDA410D2A}"/>
    <cellStyle name="Comma 4 2 3 5 5" xfId="18985" xr:uid="{B6D8FF88-BA60-4386-B88B-80C9CE0A93F4}"/>
    <cellStyle name="Comma 4 2 3 5 6" xfId="27425" xr:uid="{F8BCC784-63F3-417D-A4DE-F79BB6957E7C}"/>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78CE99AF-DDC1-4245-8385-BC8EBAF30F7F}"/>
    <cellStyle name="Comma 4 2 3 6 2 2 3" xfId="25760" xr:uid="{83D1AFE2-884B-4F7F-9EE5-4C15F34D42A2}"/>
    <cellStyle name="Comma 4 2 3 6 2 2 4" xfId="34200" xr:uid="{04479B9B-3460-45C8-8215-46A90AE5E929}"/>
    <cellStyle name="Comma 4 2 3 6 2 3" xfId="13102" xr:uid="{AECA8ED9-8528-45F3-881B-E897669F0940}"/>
    <cellStyle name="Comma 4 2 3 6 2 4" xfId="21543" xr:uid="{DC290253-47F5-479D-9BCA-3594D12C0F3D}"/>
    <cellStyle name="Comma 4 2 3 6 2 5" xfId="29983" xr:uid="{5E6C6AB8-A54E-4EF0-8BA6-EC3C7154A20D}"/>
    <cellStyle name="Comma 4 2 3 6 3" xfId="5848" xr:uid="{00000000-0005-0000-0000-0000AC080000}"/>
    <cellStyle name="Comma 4 2 3 6 3 2" xfId="15174" xr:uid="{39B2E763-8B4C-4312-AD61-689C37426161}"/>
    <cellStyle name="Comma 4 2 3 6 3 3" xfId="23615" xr:uid="{7AF72FB9-A792-4A67-9FAE-AC32AB3BAC52}"/>
    <cellStyle name="Comma 4 2 3 6 3 4" xfId="32055" xr:uid="{3334C2F0-8C92-45C1-ABFD-7D5E1BC662A4}"/>
    <cellStyle name="Comma 4 2 3 6 4" xfId="10957" xr:uid="{7B39D8BB-CBC0-485B-9CD5-AD2BD09AF9E7}"/>
    <cellStyle name="Comma 4 2 3 6 5" xfId="19398" xr:uid="{F4B90FD7-6E00-48B5-88F3-AC4B863B623A}"/>
    <cellStyle name="Comma 4 2 3 6 6" xfId="27838" xr:uid="{6BB33D90-BAE7-4771-B3E3-0B68DA397A0A}"/>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2B02D66E-2924-4827-843F-1AD743F005C5}"/>
    <cellStyle name="Comma 4 2 3 7 2 2 3" xfId="26173" xr:uid="{E9BD69AC-2E96-4191-8AC1-B842316DACB7}"/>
    <cellStyle name="Comma 4 2 3 7 2 2 4" xfId="34613" xr:uid="{2D7B8F23-D1AA-4642-8984-E9B98913736B}"/>
    <cellStyle name="Comma 4 2 3 7 2 3" xfId="13515" xr:uid="{9FBB2387-8CA7-4D07-800E-A11AFC75DC48}"/>
    <cellStyle name="Comma 4 2 3 7 2 4" xfId="21956" xr:uid="{3A445C66-B8EA-431B-9288-0EF79860404E}"/>
    <cellStyle name="Comma 4 2 3 7 2 5" xfId="30396" xr:uid="{B0A4670D-7A10-4664-89A8-3626C4245029}"/>
    <cellStyle name="Comma 4 2 3 7 3" xfId="6261" xr:uid="{00000000-0005-0000-0000-0000B0080000}"/>
    <cellStyle name="Comma 4 2 3 7 3 2" xfId="15587" xr:uid="{943E7F1F-60F4-473F-82BC-24EF63BAD40B}"/>
    <cellStyle name="Comma 4 2 3 7 3 3" xfId="24028" xr:uid="{6F290B92-3215-4A79-A2E5-B729958D0E9D}"/>
    <cellStyle name="Comma 4 2 3 7 3 4" xfId="32468" xr:uid="{6C838382-5818-4C75-9598-AA8FDA27E87C}"/>
    <cellStyle name="Comma 4 2 3 7 4" xfId="11370" xr:uid="{61378880-5F07-4794-9B6B-EDD33128070A}"/>
    <cellStyle name="Comma 4 2 3 7 5" xfId="19811" xr:uid="{520A6F97-9B15-4B55-AF4A-FA27CB1EA25C}"/>
    <cellStyle name="Comma 4 2 3 7 6" xfId="28251" xr:uid="{C88781FD-1608-4177-B5D7-39C1AB44A0D3}"/>
    <cellStyle name="Comma 4 2 3 8" xfId="2390" xr:uid="{00000000-0005-0000-0000-0000B1080000}"/>
    <cellStyle name="Comma 4 2 3 8 2" xfId="6674" xr:uid="{00000000-0005-0000-0000-0000B2080000}"/>
    <cellStyle name="Comma 4 2 3 8 2 2" xfId="16000" xr:uid="{823B2EDF-FFB0-4E80-9947-30AC16891F5F}"/>
    <cellStyle name="Comma 4 2 3 8 2 3" xfId="24441" xr:uid="{11C8E13E-238C-4B24-A141-8F9BEA558A8D}"/>
    <cellStyle name="Comma 4 2 3 8 2 4" xfId="32881" xr:uid="{83E2A45D-9899-44B1-8051-7289E9676F0A}"/>
    <cellStyle name="Comma 4 2 3 8 3" xfId="11783" xr:uid="{1AC03639-0231-42FE-8255-58161A399C86}"/>
    <cellStyle name="Comma 4 2 3 8 4" xfId="20224" xr:uid="{931E926D-34B8-471A-8728-53927CF45250}"/>
    <cellStyle name="Comma 4 2 3 8 5" xfId="28664" xr:uid="{E6A4549D-3B10-4278-9699-E15F324802AE}"/>
    <cellStyle name="Comma 4 2 3 9" xfId="2373" xr:uid="{00000000-0005-0000-0000-0000B3080000}"/>
    <cellStyle name="Comma 4 2 4" xfId="140" xr:uid="{00000000-0005-0000-0000-0000B4080000}"/>
    <cellStyle name="Comma 4 2 4 10" xfId="4612" xr:uid="{00000000-0005-0000-0000-0000B5080000}"/>
    <cellStyle name="Comma 4 2 4 10 2" xfId="13938" xr:uid="{BEE847EA-B40C-4A02-AF4D-22AC55B13D0C}"/>
    <cellStyle name="Comma 4 2 4 10 3" xfId="22379" xr:uid="{4907FF55-E7AF-43DF-B241-D826242F206D}"/>
    <cellStyle name="Comma 4 2 4 10 4" xfId="30819" xr:uid="{2F698DE4-55E0-491B-AAFE-BD87756E99D7}"/>
    <cellStyle name="Comma 4 2 4 11" xfId="8858" xr:uid="{B6A00C95-D04C-44B2-B8AF-67540882256C}"/>
    <cellStyle name="Comma 4 2 4 12" xfId="9721" xr:uid="{2FE46C74-DBD1-423F-AF6C-6374B0D09D93}"/>
    <cellStyle name="Comma 4 2 4 13" xfId="18162" xr:uid="{394F3B16-4F1E-43D0-BB48-00D9DE81A8CF}"/>
    <cellStyle name="Comma 4 2 4 14" xfId="26602" xr:uid="{90D31672-AF2B-480A-9068-EE93CE831798}"/>
    <cellStyle name="Comma 4 2 4 2" xfId="141" xr:uid="{00000000-0005-0000-0000-0000B6080000}"/>
    <cellStyle name="Comma 4 2 4 2 10" xfId="9065" xr:uid="{961AA06A-D943-447E-AADB-49B440E7E7CE}"/>
    <cellStyle name="Comma 4 2 4 2 11" xfId="9722" xr:uid="{8E9655D2-750A-4295-81D0-22A162BD8473}"/>
    <cellStyle name="Comma 4 2 4 2 12" xfId="18163" xr:uid="{B49D2057-0441-4B86-A77A-5977082DC4F7}"/>
    <cellStyle name="Comma 4 2 4 2 13" xfId="26603" xr:uid="{82E9DB4C-F4EC-48F2-A44A-7AFBAE4DD00A}"/>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1C71F2D5-3AC3-4F81-AF57-05A4BB9012EA}"/>
    <cellStyle name="Comma 4 2 4 2 2 2 2 3" xfId="24939" xr:uid="{AE1DC100-9DD3-4FF5-839E-AA125CA5F2C7}"/>
    <cellStyle name="Comma 4 2 4 2 2 2 2 4" xfId="33379" xr:uid="{C6A66AE6-9AC3-437F-B8B0-5014F31E27B4}"/>
    <cellStyle name="Comma 4 2 4 2 2 2 3" xfId="12281" xr:uid="{C4A82236-2FA3-4024-8DF1-855F01524C33}"/>
    <cellStyle name="Comma 4 2 4 2 2 2 4" xfId="20722" xr:uid="{EBDB1617-3913-4689-B79F-03398838AAF5}"/>
    <cellStyle name="Comma 4 2 4 2 2 2 5" xfId="29162" xr:uid="{8E9F7E4B-2CB7-43CC-B670-A62D7F883AEB}"/>
    <cellStyle name="Comma 4 2 4 2 2 3" xfId="5027" xr:uid="{00000000-0005-0000-0000-0000BA080000}"/>
    <cellStyle name="Comma 4 2 4 2 2 3 2" xfId="14353" xr:uid="{6F005AB8-A598-4B67-BF63-B748F80C04C2}"/>
    <cellStyle name="Comma 4 2 4 2 2 3 3" xfId="22794" xr:uid="{F4AEF4D1-EA9D-4D66-A7A8-0F6D395318BE}"/>
    <cellStyle name="Comma 4 2 4 2 2 3 4" xfId="31234" xr:uid="{464EFA82-4713-474A-92FE-F1D5E4950DFF}"/>
    <cellStyle name="Comma 4 2 4 2 2 4" xfId="9490" xr:uid="{2FAEB1E6-7B41-437B-B2A9-4352AB4F4B98}"/>
    <cellStyle name="Comma 4 2 4 2 2 5" xfId="10136" xr:uid="{C18924F0-C25D-43DF-8CBD-C691081A9FFB}"/>
    <cellStyle name="Comma 4 2 4 2 2 6" xfId="18577" xr:uid="{7A2D910C-FB32-4B43-AEDB-613281DD0636}"/>
    <cellStyle name="Comma 4 2 4 2 2 7" xfId="27017" xr:uid="{0E0B077B-2127-4A7A-9569-0573EB2E02DA}"/>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9BD69737-55D5-41BB-A943-76EA55B6ED3B}"/>
    <cellStyle name="Comma 4 2 4 2 3 2 2 3" xfId="25352" xr:uid="{BA2650C5-0234-4E15-B8DB-944A4FFA0EAF}"/>
    <cellStyle name="Comma 4 2 4 2 3 2 2 4" xfId="33792" xr:uid="{795F3770-8956-4EA3-ADCB-F9B7841356DB}"/>
    <cellStyle name="Comma 4 2 4 2 3 2 3" xfId="12694" xr:uid="{2C20D905-7044-46FE-B202-797E8B8D8F74}"/>
    <cellStyle name="Comma 4 2 4 2 3 2 4" xfId="21135" xr:uid="{524CD011-9158-42B8-9604-0AA422B05CF7}"/>
    <cellStyle name="Comma 4 2 4 2 3 2 5" xfId="29575" xr:uid="{2BB42F63-2E5C-4951-BD6F-C6F0841873A0}"/>
    <cellStyle name="Comma 4 2 4 2 3 3" xfId="5440" xr:uid="{00000000-0005-0000-0000-0000BE080000}"/>
    <cellStyle name="Comma 4 2 4 2 3 3 2" xfId="14766" xr:uid="{D513DFA4-D90C-4B83-9B4A-AFFFEFEFE1A5}"/>
    <cellStyle name="Comma 4 2 4 2 3 3 3" xfId="23207" xr:uid="{123D7BD5-CA57-4030-9DFD-424B58A7537B}"/>
    <cellStyle name="Comma 4 2 4 2 3 3 4" xfId="31647" xr:uid="{36D93B7E-284A-4102-B84B-ECA85744BBA2}"/>
    <cellStyle name="Comma 4 2 4 2 3 4" xfId="10549" xr:uid="{DE7C5490-EC11-48BE-B74B-D6C7CE28A21D}"/>
    <cellStyle name="Comma 4 2 4 2 3 5" xfId="18990" xr:uid="{64077715-2AB8-4153-8142-A5DC29C5067B}"/>
    <cellStyle name="Comma 4 2 4 2 3 6" xfId="27430" xr:uid="{A7821382-1FFC-4A17-92A7-B017F6F388DC}"/>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D8767D17-F250-4334-AE85-B9757127C720}"/>
    <cellStyle name="Comma 4 2 4 2 4 2 2 3" xfId="25765" xr:uid="{0DA95920-4F10-404C-BCC3-655F3106D044}"/>
    <cellStyle name="Comma 4 2 4 2 4 2 2 4" xfId="34205" xr:uid="{3E7A2C9F-DF94-4ACF-96E3-0DBF1275EC69}"/>
    <cellStyle name="Comma 4 2 4 2 4 2 3" xfId="13107" xr:uid="{23396A87-C2F5-4CB5-B259-8B7157977A7E}"/>
    <cellStyle name="Comma 4 2 4 2 4 2 4" xfId="21548" xr:uid="{88A035BA-8DB1-4BDD-AD0D-0150DD6D0756}"/>
    <cellStyle name="Comma 4 2 4 2 4 2 5" xfId="29988" xr:uid="{0A80FD71-02D6-4FC3-8120-F672031F2EBC}"/>
    <cellStyle name="Comma 4 2 4 2 4 3" xfId="5853" xr:uid="{00000000-0005-0000-0000-0000C2080000}"/>
    <cellStyle name="Comma 4 2 4 2 4 3 2" xfId="15179" xr:uid="{61653B4F-92BB-4A4F-8AAB-F83811D6411E}"/>
    <cellStyle name="Comma 4 2 4 2 4 3 3" xfId="23620" xr:uid="{E8681C4E-5BFA-4CB6-A8A1-C8BAD1DA818C}"/>
    <cellStyle name="Comma 4 2 4 2 4 3 4" xfId="32060" xr:uid="{203B02FF-4510-44C3-9E8C-BAEB20AF7C49}"/>
    <cellStyle name="Comma 4 2 4 2 4 4" xfId="10962" xr:uid="{446AEAF7-AAB3-4C9A-90BA-2E6D87F23E75}"/>
    <cellStyle name="Comma 4 2 4 2 4 5" xfId="19403" xr:uid="{91B2ED88-5635-48E0-888E-F395432C8664}"/>
    <cellStyle name="Comma 4 2 4 2 4 6" xfId="27843" xr:uid="{06AC9502-AA77-4EC6-93BF-8F99E4350357}"/>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38303F4D-AC7E-4C16-AEDA-C371B5D84B3F}"/>
    <cellStyle name="Comma 4 2 4 2 5 2 2 3" xfId="26178" xr:uid="{815B2746-51FF-40E4-8E38-2018EB1372B4}"/>
    <cellStyle name="Comma 4 2 4 2 5 2 2 4" xfId="34618" xr:uid="{32329FD6-9C9F-4CDC-905A-3529E26DA893}"/>
    <cellStyle name="Comma 4 2 4 2 5 2 3" xfId="13520" xr:uid="{4D5F4B8B-6064-493D-B554-B8BEF70715D7}"/>
    <cellStyle name="Comma 4 2 4 2 5 2 4" xfId="21961" xr:uid="{38F47821-4493-4948-8861-158B3D70A8AA}"/>
    <cellStyle name="Comma 4 2 4 2 5 2 5" xfId="30401" xr:uid="{2E5DA3B1-1B57-4F0A-9D28-2D5A19E571E9}"/>
    <cellStyle name="Comma 4 2 4 2 5 3" xfId="6266" xr:uid="{00000000-0005-0000-0000-0000C6080000}"/>
    <cellStyle name="Comma 4 2 4 2 5 3 2" xfId="15592" xr:uid="{1D921B4B-3E72-44C6-814B-FC2F99DC4A65}"/>
    <cellStyle name="Comma 4 2 4 2 5 3 3" xfId="24033" xr:uid="{98876D52-9F3C-471F-9290-1AC5D9326696}"/>
    <cellStyle name="Comma 4 2 4 2 5 3 4" xfId="32473" xr:uid="{90E203BD-334C-4046-9372-CD176F0A2922}"/>
    <cellStyle name="Comma 4 2 4 2 5 4" xfId="11375" xr:uid="{61D1BE68-F100-4B6C-A6EE-13912AE57EF8}"/>
    <cellStyle name="Comma 4 2 4 2 5 5" xfId="19816" xr:uid="{57D1783A-3517-4BBA-ABE6-234C2F4BA739}"/>
    <cellStyle name="Comma 4 2 4 2 5 6" xfId="28256" xr:uid="{CB8EF220-0E86-435B-8123-1C337BD5D439}"/>
    <cellStyle name="Comma 4 2 4 2 6" xfId="2395" xr:uid="{00000000-0005-0000-0000-0000C7080000}"/>
    <cellStyle name="Comma 4 2 4 2 6 2" xfId="6679" xr:uid="{00000000-0005-0000-0000-0000C8080000}"/>
    <cellStyle name="Comma 4 2 4 2 6 2 2" xfId="16005" xr:uid="{FC64E922-D61E-4919-A6F3-6FD4850A9B7F}"/>
    <cellStyle name="Comma 4 2 4 2 6 2 3" xfId="24446" xr:uid="{B897B909-BF75-488E-8CCE-FAC2DFCDC973}"/>
    <cellStyle name="Comma 4 2 4 2 6 2 4" xfId="32886" xr:uid="{72D882DA-9506-4833-A883-4142C6311E2F}"/>
    <cellStyle name="Comma 4 2 4 2 6 3" xfId="11788" xr:uid="{B454EC46-04FD-4FFA-B675-891D4F376523}"/>
    <cellStyle name="Comma 4 2 4 2 6 4" xfId="20229" xr:uid="{CF82832D-6038-4FFC-8E35-6FE03F676DCC}"/>
    <cellStyle name="Comma 4 2 4 2 6 5" xfId="28669" xr:uid="{FCB58CEB-E0F7-4F77-A4C7-B22D30F90289}"/>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6CB265E6-9AC2-495D-AE7F-4AEF655245A2}"/>
    <cellStyle name="Comma 4 2 4 2 8 2 3" xfId="24763" xr:uid="{E64D3E8C-22B5-4111-8A76-666F019D6222}"/>
    <cellStyle name="Comma 4 2 4 2 8 2 4" xfId="33203" xr:uid="{CC47ABBA-891D-407C-97B2-AA2BD7B5E36F}"/>
    <cellStyle name="Comma 4 2 4 2 8 3" xfId="12105" xr:uid="{E282A88A-6F79-47A3-AC3E-25085AADCEA8}"/>
    <cellStyle name="Comma 4 2 4 2 8 4" xfId="20546" xr:uid="{7A5D12F5-7255-48F1-B5ED-EA108C381BFA}"/>
    <cellStyle name="Comma 4 2 4 2 8 5" xfId="28986" xr:uid="{3B7F27CC-D61F-4E09-92DF-FCF5930234E6}"/>
    <cellStyle name="Comma 4 2 4 2 9" xfId="4613" xr:uid="{00000000-0005-0000-0000-0000CC080000}"/>
    <cellStyle name="Comma 4 2 4 2 9 2" xfId="13939" xr:uid="{CA74300D-7D30-4ED4-82ED-42CFA69F4B56}"/>
    <cellStyle name="Comma 4 2 4 2 9 3" xfId="22380" xr:uid="{93236CD2-6AB5-40C3-B88C-F6C9D54764DA}"/>
    <cellStyle name="Comma 4 2 4 2 9 4" xfId="30820" xr:uid="{A27BD4AD-2766-480E-9102-23A9E828FE62}"/>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25477F70-59F1-40BF-82A4-15D092292D6F}"/>
    <cellStyle name="Comma 4 2 4 3 2 2 3" xfId="24938" xr:uid="{6ABF6C8C-A06E-4AB1-975C-411AD941CF89}"/>
    <cellStyle name="Comma 4 2 4 3 2 2 4" xfId="33378" xr:uid="{ED74187E-64BD-45C8-B7F2-245416124B9A}"/>
    <cellStyle name="Comma 4 2 4 3 2 3" xfId="12280" xr:uid="{005A2742-0FF6-49BC-9C80-B04684B6E843}"/>
    <cellStyle name="Comma 4 2 4 3 2 4" xfId="20721" xr:uid="{B5A8CE04-49A8-4377-90F5-F6E4B2C86F74}"/>
    <cellStyle name="Comma 4 2 4 3 2 5" xfId="29161" xr:uid="{A185F67B-3CDA-4B9C-BB6E-5F65588CBB9E}"/>
    <cellStyle name="Comma 4 2 4 3 3" xfId="5026" xr:uid="{00000000-0005-0000-0000-0000D0080000}"/>
    <cellStyle name="Comma 4 2 4 3 3 2" xfId="14352" xr:uid="{83BCD485-40A1-4D52-9A96-512898A215C5}"/>
    <cellStyle name="Comma 4 2 4 3 3 3" xfId="22793" xr:uid="{4B1A9116-7E3B-47FC-ABFD-FCB1E0A0E4E6}"/>
    <cellStyle name="Comma 4 2 4 3 3 4" xfId="31233" xr:uid="{B8AB03DF-141C-4A99-A3BC-73288A88A17C}"/>
    <cellStyle name="Comma 4 2 4 3 4" xfId="9283" xr:uid="{7E46ED3C-A8F4-4512-93D9-5F41F1AC397C}"/>
    <cellStyle name="Comma 4 2 4 3 5" xfId="10135" xr:uid="{B86FBE54-C2B9-475E-AECB-F85297311FC2}"/>
    <cellStyle name="Comma 4 2 4 3 6" xfId="18576" xr:uid="{11EB17A0-6D7E-4B07-9DEB-605460F4E673}"/>
    <cellStyle name="Comma 4 2 4 3 7" xfId="27016" xr:uid="{836C2D11-060D-4953-AAC4-C04AE1746196}"/>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0C8AB2C2-1318-4369-95F9-F1CAD401EFDB}"/>
    <cellStyle name="Comma 4 2 4 4 2 2 3" xfId="25351" xr:uid="{21F43144-0B06-4132-A4DE-1C887AE5BF0F}"/>
    <cellStyle name="Comma 4 2 4 4 2 2 4" xfId="33791" xr:uid="{A1DFE413-1737-46BD-A8DA-95432C210B4A}"/>
    <cellStyle name="Comma 4 2 4 4 2 3" xfId="12693" xr:uid="{235D0772-0D98-4D93-B765-ECB76FF8CA1B}"/>
    <cellStyle name="Comma 4 2 4 4 2 4" xfId="21134" xr:uid="{849D8116-D6A0-44B5-B8C8-A51A219AFEC7}"/>
    <cellStyle name="Comma 4 2 4 4 2 5" xfId="29574" xr:uid="{BDA07271-CEB9-46F8-ABAB-4F1C7B7AF4FD}"/>
    <cellStyle name="Comma 4 2 4 4 3" xfId="5439" xr:uid="{00000000-0005-0000-0000-0000D4080000}"/>
    <cellStyle name="Comma 4 2 4 4 3 2" xfId="14765" xr:uid="{C023DB78-40A5-4BF2-A6EF-3083809E53C3}"/>
    <cellStyle name="Comma 4 2 4 4 3 3" xfId="23206" xr:uid="{CC2EC7B5-8DDA-460A-B070-86B77A0EFBF5}"/>
    <cellStyle name="Comma 4 2 4 4 3 4" xfId="31646" xr:uid="{C65A7C27-0574-463C-B6DD-C6169B894204}"/>
    <cellStyle name="Comma 4 2 4 4 4" xfId="10548" xr:uid="{4D95357D-938B-47E4-8BAF-4555823D311C}"/>
    <cellStyle name="Comma 4 2 4 4 5" xfId="18989" xr:uid="{736F886D-8638-474C-B808-FB5D0507C818}"/>
    <cellStyle name="Comma 4 2 4 4 6" xfId="27429" xr:uid="{7ABC7A1E-8DE6-48F3-9CB1-550312163ACB}"/>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80600744-9999-40FB-BB9A-E35C11518977}"/>
    <cellStyle name="Comma 4 2 4 5 2 2 3" xfId="25764" xr:uid="{B088E2CD-780D-4ABA-80F1-BA6DA54D48BC}"/>
    <cellStyle name="Comma 4 2 4 5 2 2 4" xfId="34204" xr:uid="{4E8C110B-7953-4446-BB06-999C98CE8B6F}"/>
    <cellStyle name="Comma 4 2 4 5 2 3" xfId="13106" xr:uid="{7BF636E0-C240-400F-A25C-7361AC210F25}"/>
    <cellStyle name="Comma 4 2 4 5 2 4" xfId="21547" xr:uid="{99C4DA28-464C-464F-9C58-3B46AB239D97}"/>
    <cellStyle name="Comma 4 2 4 5 2 5" xfId="29987" xr:uid="{4F3CDD78-00C6-4AF7-A22D-81A8FB620986}"/>
    <cellStyle name="Comma 4 2 4 5 3" xfId="5852" xr:uid="{00000000-0005-0000-0000-0000D8080000}"/>
    <cellStyle name="Comma 4 2 4 5 3 2" xfId="15178" xr:uid="{6262BABB-A18E-4E0D-94ED-20A641264F17}"/>
    <cellStyle name="Comma 4 2 4 5 3 3" xfId="23619" xr:uid="{49ED904C-F90B-4D28-91B5-2DC84D398263}"/>
    <cellStyle name="Comma 4 2 4 5 3 4" xfId="32059" xr:uid="{C1E61044-2F43-41EE-A58B-561986DF78AD}"/>
    <cellStyle name="Comma 4 2 4 5 4" xfId="10961" xr:uid="{857A773B-57CA-4B3D-AA66-B0727ACA04B7}"/>
    <cellStyle name="Comma 4 2 4 5 5" xfId="19402" xr:uid="{AE74AA6C-FBFC-414C-8A2E-DB86246C3770}"/>
    <cellStyle name="Comma 4 2 4 5 6" xfId="27842" xr:uid="{B77E201A-C306-4B0F-A7B7-F59718EE6CD9}"/>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0FAD1CB7-3F24-443A-8278-96FB52DDDDD7}"/>
    <cellStyle name="Comma 4 2 4 6 2 2 3" xfId="26177" xr:uid="{1E06333A-24C2-4B86-838E-0612316EB679}"/>
    <cellStyle name="Comma 4 2 4 6 2 2 4" xfId="34617" xr:uid="{919D0495-2670-4A72-B9C8-DC084489C4A5}"/>
    <cellStyle name="Comma 4 2 4 6 2 3" xfId="13519" xr:uid="{7CF70709-B506-46A4-9BFB-0D71F282D957}"/>
    <cellStyle name="Comma 4 2 4 6 2 4" xfId="21960" xr:uid="{7D428D76-A4D1-4DBB-A934-4A7064B113AE}"/>
    <cellStyle name="Comma 4 2 4 6 2 5" xfId="30400" xr:uid="{BD4343F5-0DF8-429C-A317-D98AEB464783}"/>
    <cellStyle name="Comma 4 2 4 6 3" xfId="6265" xr:uid="{00000000-0005-0000-0000-0000DC080000}"/>
    <cellStyle name="Comma 4 2 4 6 3 2" xfId="15591" xr:uid="{9F4E2F01-77DC-44BC-9C9D-7C13EEAF726C}"/>
    <cellStyle name="Comma 4 2 4 6 3 3" xfId="24032" xr:uid="{0BEB6FAE-3818-40D8-8452-82A63C3F1461}"/>
    <cellStyle name="Comma 4 2 4 6 3 4" xfId="32472" xr:uid="{C8424DDF-3EC0-4E80-A3B9-46347FCDFB46}"/>
    <cellStyle name="Comma 4 2 4 6 4" xfId="11374" xr:uid="{025ED16C-FC01-482C-8DDD-8AD80F545850}"/>
    <cellStyle name="Comma 4 2 4 6 5" xfId="19815" xr:uid="{687D7058-64E7-4B8B-A94C-F9C0FB56B7A9}"/>
    <cellStyle name="Comma 4 2 4 6 6" xfId="28255" xr:uid="{8D0C132D-4E61-4C30-8039-4DEF023B535B}"/>
    <cellStyle name="Comma 4 2 4 7" xfId="2394" xr:uid="{00000000-0005-0000-0000-0000DD080000}"/>
    <cellStyle name="Comma 4 2 4 7 2" xfId="6678" xr:uid="{00000000-0005-0000-0000-0000DE080000}"/>
    <cellStyle name="Comma 4 2 4 7 2 2" xfId="16004" xr:uid="{579260C5-4C02-4C43-AE8E-F510FD36F0B5}"/>
    <cellStyle name="Comma 4 2 4 7 2 3" xfId="24445" xr:uid="{39DA3051-DC92-4D25-8920-4AEBA4397389}"/>
    <cellStyle name="Comma 4 2 4 7 2 4" xfId="32885" xr:uid="{AF38368A-758F-4CBA-901B-DB0D4067A087}"/>
    <cellStyle name="Comma 4 2 4 7 3" xfId="11787" xr:uid="{CC18FABE-83CC-423B-926A-34A8BC44FE92}"/>
    <cellStyle name="Comma 4 2 4 7 4" xfId="20228" xr:uid="{DE03FCE0-9D32-4559-A913-4496F4610CAA}"/>
    <cellStyle name="Comma 4 2 4 7 5" xfId="28668" xr:uid="{E643CFD4-B55F-4855-8942-AE440C8E1744}"/>
    <cellStyle name="Comma 4 2 4 8" xfId="2369" xr:uid="{00000000-0005-0000-0000-0000DF080000}"/>
    <cellStyle name="Comma 4 2 4 9" xfId="2772" xr:uid="{00000000-0005-0000-0000-0000E0080000}"/>
    <cellStyle name="Comma 4 2 4 9 2" xfId="6995" xr:uid="{00000000-0005-0000-0000-0000E1080000}"/>
    <cellStyle name="Comma 4 2 4 9 2 2" xfId="16321" xr:uid="{BD669B39-B104-45D9-B886-909DA17A3974}"/>
    <cellStyle name="Comma 4 2 4 9 2 3" xfId="24762" xr:uid="{954DE348-1C02-4F25-93BC-2A961CF43068}"/>
    <cellStyle name="Comma 4 2 4 9 2 4" xfId="33202" xr:uid="{B2638CF6-8714-4C4E-95C1-4697567DA5F7}"/>
    <cellStyle name="Comma 4 2 4 9 3" xfId="12104" xr:uid="{EC81DF5F-962F-4E5C-BC08-1392F9EC23DC}"/>
    <cellStyle name="Comma 4 2 4 9 4" xfId="20545" xr:uid="{093DC0AC-0093-4BB5-9FA4-E0364E1A6A2D}"/>
    <cellStyle name="Comma 4 2 4 9 5" xfId="28985" xr:uid="{9D5C477E-4F2D-413A-87C5-E3B01FB51A2C}"/>
    <cellStyle name="Comma 4 2 5" xfId="142" xr:uid="{00000000-0005-0000-0000-0000E2080000}"/>
    <cellStyle name="Comma 4 2 5 10" xfId="8974" xr:uid="{86B0C89A-8A2D-4755-B15D-84E412E1D380}"/>
    <cellStyle name="Comma 4 2 5 11" xfId="9723" xr:uid="{CB8E065B-6F60-41F4-A513-D7BAEEE108A9}"/>
    <cellStyle name="Comma 4 2 5 12" xfId="18164" xr:uid="{E8413BF4-E805-4A92-A302-85E3929D877B}"/>
    <cellStyle name="Comma 4 2 5 13" xfId="26604" xr:uid="{2119257D-96B0-4BFB-9B9D-0FCCF0564E20}"/>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6D311A6D-8179-4EC7-9DC1-BD44888A7457}"/>
    <cellStyle name="Comma 4 2 5 2 2 2 3" xfId="24940" xr:uid="{400357FE-61A0-4BE7-B87F-459684D6F472}"/>
    <cellStyle name="Comma 4 2 5 2 2 2 4" xfId="33380" xr:uid="{8AD5C42B-9BD5-4DE8-8B32-31FDF0F22B41}"/>
    <cellStyle name="Comma 4 2 5 2 2 3" xfId="12282" xr:uid="{EE6DBB60-68BD-403F-9B97-09FF950623E2}"/>
    <cellStyle name="Comma 4 2 5 2 2 4" xfId="20723" xr:uid="{F6CE1D44-E86D-4630-B839-D991381EF695}"/>
    <cellStyle name="Comma 4 2 5 2 2 5" xfId="29163" xr:uid="{E0751EF9-E550-4C63-934C-19CC5A1F845B}"/>
    <cellStyle name="Comma 4 2 5 2 3" xfId="5028" xr:uid="{00000000-0005-0000-0000-0000E6080000}"/>
    <cellStyle name="Comma 4 2 5 2 3 2" xfId="14354" xr:uid="{D58564FF-1E2E-49FB-B638-011A6BC8C631}"/>
    <cellStyle name="Comma 4 2 5 2 3 3" xfId="22795" xr:uid="{995D56E4-09CA-4EC4-B791-3618B973BF56}"/>
    <cellStyle name="Comma 4 2 5 2 3 4" xfId="31235" xr:uid="{70C44764-5C98-43A1-B547-542F5E23C6F1}"/>
    <cellStyle name="Comma 4 2 5 2 4" xfId="9399" xr:uid="{1B388BC7-1FC6-4DC3-B345-755F61B57864}"/>
    <cellStyle name="Comma 4 2 5 2 5" xfId="10137" xr:uid="{8D85B12C-B756-4465-B17E-96B3697A8468}"/>
    <cellStyle name="Comma 4 2 5 2 6" xfId="18578" xr:uid="{1C6DA90D-39BB-4D86-9AA1-C15D8E246261}"/>
    <cellStyle name="Comma 4 2 5 2 7" xfId="27018" xr:uid="{514D59F2-B325-43B0-A9BE-B89271BA6914}"/>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8FBBC923-7E02-4590-B3D1-CBE2D1140595}"/>
    <cellStyle name="Comma 4 2 5 3 2 2 3" xfId="25353" xr:uid="{770CDF68-303A-4C88-8984-CCD655DBB458}"/>
    <cellStyle name="Comma 4 2 5 3 2 2 4" xfId="33793" xr:uid="{541BFE30-4C9F-4BE7-A22F-6CE8ED8E3C42}"/>
    <cellStyle name="Comma 4 2 5 3 2 3" xfId="12695" xr:uid="{7670C943-FD86-4C7A-B1D2-C1448FAE2769}"/>
    <cellStyle name="Comma 4 2 5 3 2 4" xfId="21136" xr:uid="{83535B47-476B-4EC5-ADBE-25ACC74A2C46}"/>
    <cellStyle name="Comma 4 2 5 3 2 5" xfId="29576" xr:uid="{FB77B768-A4A9-4D7B-91CD-9557BC30A37B}"/>
    <cellStyle name="Comma 4 2 5 3 3" xfId="5441" xr:uid="{00000000-0005-0000-0000-0000EA080000}"/>
    <cellStyle name="Comma 4 2 5 3 3 2" xfId="14767" xr:uid="{C9B5916D-2CB6-40DB-A5F5-F0B180FCC660}"/>
    <cellStyle name="Comma 4 2 5 3 3 3" xfId="23208" xr:uid="{D4276D27-5B87-46ED-9083-E296C7FAD904}"/>
    <cellStyle name="Comma 4 2 5 3 3 4" xfId="31648" xr:uid="{73577CA3-6F4F-42EA-B1DA-93C8110EBCC9}"/>
    <cellStyle name="Comma 4 2 5 3 4" xfId="10550" xr:uid="{8FB3A412-41B5-4030-89B6-CC5A10C079E7}"/>
    <cellStyle name="Comma 4 2 5 3 5" xfId="18991" xr:uid="{2819B7B8-B505-4998-AB92-8D3B122F64BA}"/>
    <cellStyle name="Comma 4 2 5 3 6" xfId="27431" xr:uid="{36635E74-3540-4EA6-97B1-54781C3F6381}"/>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197CF7D5-BD44-40F8-A582-02DD96372273}"/>
    <cellStyle name="Comma 4 2 5 4 2 2 3" xfId="25766" xr:uid="{FA7F12FA-AB59-4B6A-A5EF-CB9BF3F515D3}"/>
    <cellStyle name="Comma 4 2 5 4 2 2 4" xfId="34206" xr:uid="{3DA536EB-BE32-46F9-BB61-CEAB70FFF6D8}"/>
    <cellStyle name="Comma 4 2 5 4 2 3" xfId="13108" xr:uid="{E4BC1B64-D040-447A-84D6-2211FAA55C19}"/>
    <cellStyle name="Comma 4 2 5 4 2 4" xfId="21549" xr:uid="{385976C1-B679-4B8D-B2EB-C320AB3D9F22}"/>
    <cellStyle name="Comma 4 2 5 4 2 5" xfId="29989" xr:uid="{15BEE3E4-8F9E-49D6-8864-698F8E1D796F}"/>
    <cellStyle name="Comma 4 2 5 4 3" xfId="5854" xr:uid="{00000000-0005-0000-0000-0000EE080000}"/>
    <cellStyle name="Comma 4 2 5 4 3 2" xfId="15180" xr:uid="{39734FD0-1E19-48B6-AD36-6268338C868B}"/>
    <cellStyle name="Comma 4 2 5 4 3 3" xfId="23621" xr:uid="{C49CEB51-51FB-4E20-8F4C-BD1F1F744D4B}"/>
    <cellStyle name="Comma 4 2 5 4 3 4" xfId="32061" xr:uid="{CD0AA95D-4EBA-4888-A69F-0D2DB66B2A12}"/>
    <cellStyle name="Comma 4 2 5 4 4" xfId="10963" xr:uid="{1FE5B68B-755D-4D30-9AFD-0BBAB0601BFF}"/>
    <cellStyle name="Comma 4 2 5 4 5" xfId="19404" xr:uid="{123A9F1F-084F-47C3-BDD1-2E9603925220}"/>
    <cellStyle name="Comma 4 2 5 4 6" xfId="27844" xr:uid="{FAECF1B7-EEF2-4CBB-993F-336DE91FBA8B}"/>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94997812-C546-4D24-82B8-DD4E01BBD876}"/>
    <cellStyle name="Comma 4 2 5 5 2 2 3" xfId="26179" xr:uid="{BC472D4C-0FF4-4541-B457-57EE98AE43CB}"/>
    <cellStyle name="Comma 4 2 5 5 2 2 4" xfId="34619" xr:uid="{5DA1BB4B-027B-4677-BFEE-DBE30DA09473}"/>
    <cellStyle name="Comma 4 2 5 5 2 3" xfId="13521" xr:uid="{2AF1EAB5-20D7-4434-871F-23BED8A22A52}"/>
    <cellStyle name="Comma 4 2 5 5 2 4" xfId="21962" xr:uid="{53F2888F-4B44-42D8-A45C-38D92A25846B}"/>
    <cellStyle name="Comma 4 2 5 5 2 5" xfId="30402" xr:uid="{A2C0786B-BAD4-41B6-ADDB-345FDBBA2384}"/>
    <cellStyle name="Comma 4 2 5 5 3" xfId="6267" xr:uid="{00000000-0005-0000-0000-0000F2080000}"/>
    <cellStyle name="Comma 4 2 5 5 3 2" xfId="15593" xr:uid="{04E07DD8-1951-4D71-88C3-C0388234F1AE}"/>
    <cellStyle name="Comma 4 2 5 5 3 3" xfId="24034" xr:uid="{5B9A5D0C-4BDB-4FF7-A7C6-65A08DDFE641}"/>
    <cellStyle name="Comma 4 2 5 5 3 4" xfId="32474" xr:uid="{4086222B-863D-4BFF-9200-99834199A258}"/>
    <cellStyle name="Comma 4 2 5 5 4" xfId="11376" xr:uid="{B9ECC03A-4A90-4B68-821B-5FDE4467324A}"/>
    <cellStyle name="Comma 4 2 5 5 5" xfId="19817" xr:uid="{7DEEF9BD-58BB-485B-9073-43FDF20808B5}"/>
    <cellStyle name="Comma 4 2 5 5 6" xfId="28257" xr:uid="{74CB6498-22EC-4A85-96E9-AAAEC87F4490}"/>
    <cellStyle name="Comma 4 2 5 6" xfId="2396" xr:uid="{00000000-0005-0000-0000-0000F3080000}"/>
    <cellStyle name="Comma 4 2 5 6 2" xfId="6680" xr:uid="{00000000-0005-0000-0000-0000F4080000}"/>
    <cellStyle name="Comma 4 2 5 6 2 2" xfId="16006" xr:uid="{A72DB362-A867-4765-A405-3336C1480755}"/>
    <cellStyle name="Comma 4 2 5 6 2 3" xfId="24447" xr:uid="{75CF95B4-C0F3-489B-BB61-375E542D5D8D}"/>
    <cellStyle name="Comma 4 2 5 6 2 4" xfId="32887" xr:uid="{9C2B2C16-57C0-4ECF-B19F-8C81750BBC54}"/>
    <cellStyle name="Comma 4 2 5 6 3" xfId="11789" xr:uid="{D6F217D9-CBC7-48EA-A4BF-C1FBE2057CE8}"/>
    <cellStyle name="Comma 4 2 5 6 4" xfId="20230" xr:uid="{66C01A07-CE55-4E27-9294-FDD04A8F239E}"/>
    <cellStyle name="Comma 4 2 5 6 5" xfId="28670" xr:uid="{3C22882A-3B8A-46EC-A075-904C3EFC64B9}"/>
    <cellStyle name="Comma 4 2 5 7" xfId="2367" xr:uid="{00000000-0005-0000-0000-0000F5080000}"/>
    <cellStyle name="Comma 4 2 5 8" xfId="2774" xr:uid="{00000000-0005-0000-0000-0000F6080000}"/>
    <cellStyle name="Comma 4 2 5 8 2" xfId="6997" xr:uid="{00000000-0005-0000-0000-0000F7080000}"/>
    <cellStyle name="Comma 4 2 5 8 2 2" xfId="16323" xr:uid="{63F3C89C-08E6-470D-B1F2-1B09FD3E3013}"/>
    <cellStyle name="Comma 4 2 5 8 2 3" xfId="24764" xr:uid="{498D2075-C32E-4595-BC91-F0EA06970295}"/>
    <cellStyle name="Comma 4 2 5 8 2 4" xfId="33204" xr:uid="{E83FA9A0-0214-4631-AD53-6CBE56FA6C2B}"/>
    <cellStyle name="Comma 4 2 5 8 3" xfId="12106" xr:uid="{EC660901-13D9-470F-B40D-AC4781241551}"/>
    <cellStyle name="Comma 4 2 5 8 4" xfId="20547" xr:uid="{E778371E-28C9-45D0-AF7E-02502498F23B}"/>
    <cellStyle name="Comma 4 2 5 8 5" xfId="28987" xr:uid="{F68AD352-F85B-4A28-89AC-29808618561A}"/>
    <cellStyle name="Comma 4 2 5 9" xfId="4614" xr:uid="{00000000-0005-0000-0000-0000F8080000}"/>
    <cellStyle name="Comma 4 2 5 9 2" xfId="13940" xr:uid="{08605AB8-834C-466D-AB97-9D8FC6E13FD8}"/>
    <cellStyle name="Comma 4 2 5 9 3" xfId="22381" xr:uid="{9E08E9A6-95A3-4D85-BFCF-9C20440F0551}"/>
    <cellStyle name="Comma 4 2 5 9 4" xfId="30821" xr:uid="{25A59FE4-1FA1-4211-8B20-3DCE1311329B}"/>
    <cellStyle name="Comma 4 2 6" xfId="143" xr:uid="{00000000-0005-0000-0000-0000F9080000}"/>
    <cellStyle name="Comma 4 2 6 10" xfId="9177" xr:uid="{A20A3B72-7630-464F-8E57-DA2B9D6E44FB}"/>
    <cellStyle name="Comma 4 2 6 11" xfId="9724" xr:uid="{92F5911C-A4D4-4D91-9747-316391F6A821}"/>
    <cellStyle name="Comma 4 2 6 12" xfId="18165" xr:uid="{B0E7B6D2-9E72-40A7-B9E1-46F023B54AAA}"/>
    <cellStyle name="Comma 4 2 6 13" xfId="26605" xr:uid="{9725B8E8-29B7-42EB-BDCA-C598ECC43BC8}"/>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8E2751FB-6B7E-4359-B525-FA1A140E3168}"/>
    <cellStyle name="Comma 4 2 6 2 2 2 3" xfId="24941" xr:uid="{0017A0E4-7ECF-46CD-A1EF-32C2353040E8}"/>
    <cellStyle name="Comma 4 2 6 2 2 2 4" xfId="33381" xr:uid="{5FA2B83B-35F7-49E0-B292-0CAC6286B6C9}"/>
    <cellStyle name="Comma 4 2 6 2 2 3" xfId="12283" xr:uid="{124E5BB2-B134-4A39-8BF3-2042492A7874}"/>
    <cellStyle name="Comma 4 2 6 2 2 4" xfId="20724" xr:uid="{A1E58ADF-0FD2-41D6-B573-9455B52CEDA7}"/>
    <cellStyle name="Comma 4 2 6 2 2 5" xfId="29164" xr:uid="{154CD04F-3DE4-4FC2-A2C6-D5FD49E01A0D}"/>
    <cellStyle name="Comma 4 2 6 2 3" xfId="5029" xr:uid="{00000000-0005-0000-0000-0000FD080000}"/>
    <cellStyle name="Comma 4 2 6 2 3 2" xfId="14355" xr:uid="{5E9D7F22-7944-400B-9216-E1DA67710D70}"/>
    <cellStyle name="Comma 4 2 6 2 3 3" xfId="22796" xr:uid="{DAE3D7CD-C38C-44D8-B29C-4653F1EBEB94}"/>
    <cellStyle name="Comma 4 2 6 2 3 4" xfId="31236" xr:uid="{9F99A79E-7B8E-4606-8225-A007A319C960}"/>
    <cellStyle name="Comma 4 2 6 2 4" xfId="9594" xr:uid="{CCB8D3FE-19FC-4F7F-9966-44FD23A1A32A}"/>
    <cellStyle name="Comma 4 2 6 2 5" xfId="10138" xr:uid="{862CAE2D-8893-498F-B33B-AA0505F41620}"/>
    <cellStyle name="Comma 4 2 6 2 6" xfId="18579" xr:uid="{DEC2B125-7AB7-418F-8608-313991C72E97}"/>
    <cellStyle name="Comma 4 2 6 2 7" xfId="27019" xr:uid="{9FE6E5F5-2B32-43C2-ACD2-47C38369CA05}"/>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DF380FC3-D3A2-4657-AD26-E3D704D1C581}"/>
    <cellStyle name="Comma 4 2 6 3 2 2 3" xfId="25354" xr:uid="{067170FF-F2E4-4BF3-89C9-DBCC72D4B6ED}"/>
    <cellStyle name="Comma 4 2 6 3 2 2 4" xfId="33794" xr:uid="{89B3AEE3-AB1D-4CFE-ADE2-8C9746C95AA3}"/>
    <cellStyle name="Comma 4 2 6 3 2 3" xfId="12696" xr:uid="{D007A83D-824D-466C-9B08-27295CDAA449}"/>
    <cellStyle name="Comma 4 2 6 3 2 4" xfId="21137" xr:uid="{DE863EF3-D15A-460D-A2C7-4A8C4E19960E}"/>
    <cellStyle name="Comma 4 2 6 3 2 5" xfId="29577" xr:uid="{32A8A1F8-EFAA-419D-9D65-20CECBB52386}"/>
    <cellStyle name="Comma 4 2 6 3 3" xfId="5442" xr:uid="{00000000-0005-0000-0000-000001090000}"/>
    <cellStyle name="Comma 4 2 6 3 3 2" xfId="14768" xr:uid="{9A1A073D-7DE5-4DA1-820C-168064EACA4B}"/>
    <cellStyle name="Comma 4 2 6 3 3 3" xfId="23209" xr:uid="{7148ABF8-E357-4637-A29D-243D63166A4A}"/>
    <cellStyle name="Comma 4 2 6 3 3 4" xfId="31649" xr:uid="{8FD1F8EF-03A4-47EE-9833-38066ABD8EBF}"/>
    <cellStyle name="Comma 4 2 6 3 4" xfId="10551" xr:uid="{2DA77754-0C1E-43DA-A3BC-DB87A0A2CA32}"/>
    <cellStyle name="Comma 4 2 6 3 5" xfId="18992" xr:uid="{67FCB543-0DAB-4C7E-BA56-8BB90093B418}"/>
    <cellStyle name="Comma 4 2 6 3 6" xfId="27432" xr:uid="{E24DF5FB-4C2E-4036-8391-4E1C5CFDA5AE}"/>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6DE9C867-75D2-47A1-BB30-A7F9649945CA}"/>
    <cellStyle name="Comma 4 2 6 4 2 2 3" xfId="25767" xr:uid="{7E2490E7-3EF3-4227-A791-6D0E2B98ED53}"/>
    <cellStyle name="Comma 4 2 6 4 2 2 4" xfId="34207" xr:uid="{FE914ADA-D5A2-4274-82AE-9210A7AA08FF}"/>
    <cellStyle name="Comma 4 2 6 4 2 3" xfId="13109" xr:uid="{6DE5ED4D-B129-4E0D-9AF1-CD70FDAA5511}"/>
    <cellStyle name="Comma 4 2 6 4 2 4" xfId="21550" xr:uid="{8E8A38E9-785F-4D52-924B-01F3D9E3255C}"/>
    <cellStyle name="Comma 4 2 6 4 2 5" xfId="29990" xr:uid="{23E45921-62DF-444F-94DF-8364768F5057}"/>
    <cellStyle name="Comma 4 2 6 4 3" xfId="5855" xr:uid="{00000000-0005-0000-0000-000005090000}"/>
    <cellStyle name="Comma 4 2 6 4 3 2" xfId="15181" xr:uid="{F7080545-7CB6-4BDD-8D34-D1A8EBA769B2}"/>
    <cellStyle name="Comma 4 2 6 4 3 3" xfId="23622" xr:uid="{15C667C2-6D62-4240-A22D-44BF35D700A9}"/>
    <cellStyle name="Comma 4 2 6 4 3 4" xfId="32062" xr:uid="{479D99ED-4621-45CC-A414-9B0E0989490A}"/>
    <cellStyle name="Comma 4 2 6 4 4" xfId="10964" xr:uid="{C6762B58-4E2A-44EB-83AD-B996181232D0}"/>
    <cellStyle name="Comma 4 2 6 4 5" xfId="19405" xr:uid="{4835FE07-DA09-4A3B-9C06-95C5576E89EE}"/>
    <cellStyle name="Comma 4 2 6 4 6" xfId="27845" xr:uid="{FA723F6A-A50E-49F7-8476-2E19A9F9EFB1}"/>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E7F247F1-688C-45DE-AAE6-1DD1DB6F47B5}"/>
    <cellStyle name="Comma 4 2 6 5 2 2 3" xfId="26180" xr:uid="{C22294F7-2398-4B28-BA07-4176CAA394C3}"/>
    <cellStyle name="Comma 4 2 6 5 2 2 4" xfId="34620" xr:uid="{DFF0C9FF-33B0-4557-8E5D-54B0D08BCAA5}"/>
    <cellStyle name="Comma 4 2 6 5 2 3" xfId="13522" xr:uid="{E3521C94-1B9B-49B9-9B9B-7B04D9C261EF}"/>
    <cellStyle name="Comma 4 2 6 5 2 4" xfId="21963" xr:uid="{F8D84CCA-EE60-44A3-8716-2B8767D87B2D}"/>
    <cellStyle name="Comma 4 2 6 5 2 5" xfId="30403" xr:uid="{E60B3D31-7C97-402F-A181-493170AB49B4}"/>
    <cellStyle name="Comma 4 2 6 5 3" xfId="6268" xr:uid="{00000000-0005-0000-0000-000009090000}"/>
    <cellStyle name="Comma 4 2 6 5 3 2" xfId="15594" xr:uid="{680E853F-DD38-4F1B-A39E-37F37AAFCC09}"/>
    <cellStyle name="Comma 4 2 6 5 3 3" xfId="24035" xr:uid="{86281B86-846B-418E-883D-D5FD504EF4ED}"/>
    <cellStyle name="Comma 4 2 6 5 3 4" xfId="32475" xr:uid="{39B07B53-DFF7-4ED6-A09F-F2260D7531B8}"/>
    <cellStyle name="Comma 4 2 6 5 4" xfId="11377" xr:uid="{8A1CC3BC-7EE9-4284-BF79-461F85C9380E}"/>
    <cellStyle name="Comma 4 2 6 5 5" xfId="19818" xr:uid="{992D8747-0797-4E17-8F08-6159BCCBEF1B}"/>
    <cellStyle name="Comma 4 2 6 5 6" xfId="28258" xr:uid="{FD32C0A3-9AB1-48BF-A302-0CBCC277C126}"/>
    <cellStyle name="Comma 4 2 6 6" xfId="2397" xr:uid="{00000000-0005-0000-0000-00000A090000}"/>
    <cellStyle name="Comma 4 2 6 6 2" xfId="6681" xr:uid="{00000000-0005-0000-0000-00000B090000}"/>
    <cellStyle name="Comma 4 2 6 6 2 2" xfId="16007" xr:uid="{443BC557-1303-4E6B-9DCB-ED9BAC5E11A4}"/>
    <cellStyle name="Comma 4 2 6 6 2 3" xfId="24448" xr:uid="{8197EBB4-30E7-4895-94CB-6B35F619C3A8}"/>
    <cellStyle name="Comma 4 2 6 6 2 4" xfId="32888" xr:uid="{163DC391-FDD4-43E5-B40E-4D9168A42A28}"/>
    <cellStyle name="Comma 4 2 6 6 3" xfId="11790" xr:uid="{CF1EC681-9C55-4A89-84CA-100CF3BB521A}"/>
    <cellStyle name="Comma 4 2 6 6 4" xfId="20231" xr:uid="{A8E031A5-5D99-454C-A12F-4A5D0192D5DB}"/>
    <cellStyle name="Comma 4 2 6 6 5" xfId="28671" xr:uid="{D22AD2BE-C2BE-4F20-99E5-118857626E18}"/>
    <cellStyle name="Comma 4 2 6 7" xfId="2366" xr:uid="{00000000-0005-0000-0000-00000C090000}"/>
    <cellStyle name="Comma 4 2 6 8" xfId="2775" xr:uid="{00000000-0005-0000-0000-00000D090000}"/>
    <cellStyle name="Comma 4 2 6 8 2" xfId="6998" xr:uid="{00000000-0005-0000-0000-00000E090000}"/>
    <cellStyle name="Comma 4 2 6 8 2 2" xfId="16324" xr:uid="{483E1940-AC7A-47B6-B250-CB168955BF64}"/>
    <cellStyle name="Comma 4 2 6 8 2 3" xfId="24765" xr:uid="{1D1EAAA8-2E78-4793-9394-740B993B0063}"/>
    <cellStyle name="Comma 4 2 6 8 2 4" xfId="33205" xr:uid="{93A1F08E-BE56-4CFA-A3A9-4E0A20320C90}"/>
    <cellStyle name="Comma 4 2 6 8 3" xfId="12107" xr:uid="{7758BDCE-CEB5-458F-BBF8-21090D9B20E9}"/>
    <cellStyle name="Comma 4 2 6 8 4" xfId="20548" xr:uid="{EDD0E1B3-E1AA-4004-8043-838E08B4D36C}"/>
    <cellStyle name="Comma 4 2 6 8 5" xfId="28988" xr:uid="{0AF187BA-819E-4940-A825-3E3FD2C5B85E}"/>
    <cellStyle name="Comma 4 2 6 9" xfId="4615" xr:uid="{00000000-0005-0000-0000-00000F090000}"/>
    <cellStyle name="Comma 4 2 6 9 2" xfId="13941" xr:uid="{2960D02F-B1B4-4FD6-B3BD-C79C01AF55C2}"/>
    <cellStyle name="Comma 4 2 6 9 3" xfId="22382" xr:uid="{567A115D-917C-46A2-A652-40673197863E}"/>
    <cellStyle name="Comma 4 2 6 9 4" xfId="30822" xr:uid="{644F46E0-E3CD-4003-BD8A-28ABA066689B}"/>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4FF5CDE1-50B2-4F42-AA78-0D332C885E55}"/>
    <cellStyle name="Comma 4 3 2 10 2 3" xfId="24766" xr:uid="{D71AFDA0-B406-4E63-82E3-8E08AC075342}"/>
    <cellStyle name="Comma 4 3 2 10 2 4" xfId="33206" xr:uid="{24DDC180-0032-4725-9815-54CE3E3B7BD0}"/>
    <cellStyle name="Comma 4 3 2 10 3" xfId="12108" xr:uid="{E8280C54-EA0A-42DB-8A48-F088679A0945}"/>
    <cellStyle name="Comma 4 3 2 10 4" xfId="20549" xr:uid="{F8CDFFC5-508B-479E-8ADE-6EB33D6975E8}"/>
    <cellStyle name="Comma 4 3 2 10 5" xfId="28989" xr:uid="{103B689C-6C38-4877-ABF3-329B93A6E9CA}"/>
    <cellStyle name="Comma 4 3 2 11" xfId="4616" xr:uid="{00000000-0005-0000-0000-000014090000}"/>
    <cellStyle name="Comma 4 3 2 11 2" xfId="13942" xr:uid="{50FACC75-7B3F-4F4D-A7F8-4EB2DA632C40}"/>
    <cellStyle name="Comma 4 3 2 11 3" xfId="22383" xr:uid="{5D577E90-161B-4CCB-9033-4B4FE99FE4FB}"/>
    <cellStyle name="Comma 4 3 2 11 4" xfId="30823" xr:uid="{63AE677A-DD53-48E9-9B8B-C50AF273190E}"/>
    <cellStyle name="Comma 4 3 2 12" xfId="8807" xr:uid="{5C5EF314-D0DB-425B-AE7D-D52FEEE90EC1}"/>
    <cellStyle name="Comma 4 3 2 13" xfId="9725" xr:uid="{D8F4757E-852D-43CA-A16F-08E1D35157A2}"/>
    <cellStyle name="Comma 4 3 2 14" xfId="18166" xr:uid="{CCA0AC9C-63AF-4205-A9F3-868CDE622B0E}"/>
    <cellStyle name="Comma 4 3 2 15" xfId="26606" xr:uid="{62DDB811-0D60-426E-9034-D9FC9990541B}"/>
    <cellStyle name="Comma 4 3 2 2" xfId="146" xr:uid="{00000000-0005-0000-0000-000015090000}"/>
    <cellStyle name="Comma 4 3 2 2 10" xfId="4617" xr:uid="{00000000-0005-0000-0000-000016090000}"/>
    <cellStyle name="Comma 4 3 2 2 10 2" xfId="13943" xr:uid="{7585D415-3CD2-45D9-A88E-202F8C7550B6}"/>
    <cellStyle name="Comma 4 3 2 2 10 3" xfId="22384" xr:uid="{2FA1DF4E-5D6E-4B5D-95E4-43D943805EF7}"/>
    <cellStyle name="Comma 4 3 2 2 10 4" xfId="30824" xr:uid="{B87A8C31-20B3-4CB3-9873-B558745D119F}"/>
    <cellStyle name="Comma 4 3 2 2 11" xfId="8910" xr:uid="{15019DD0-71A0-438D-B796-68DE42B22692}"/>
    <cellStyle name="Comma 4 3 2 2 12" xfId="9726" xr:uid="{1D9CAA42-46BF-4CC7-9E6F-F869FE83C6BC}"/>
    <cellStyle name="Comma 4 3 2 2 13" xfId="18167" xr:uid="{4E7AD6F8-CEC6-401B-9953-3B898D7432E1}"/>
    <cellStyle name="Comma 4 3 2 2 14" xfId="26607" xr:uid="{63036BFC-57BD-4478-97D0-9AB0436D83AA}"/>
    <cellStyle name="Comma 4 3 2 2 2" xfId="147" xr:uid="{00000000-0005-0000-0000-000017090000}"/>
    <cellStyle name="Comma 4 3 2 2 2 10" xfId="9117" xr:uid="{1409F531-DBF2-41E0-9C74-F9317358BA15}"/>
    <cellStyle name="Comma 4 3 2 2 2 11" xfId="9727" xr:uid="{5794DB14-3E2C-4F3B-B959-5F564F6BB61E}"/>
    <cellStyle name="Comma 4 3 2 2 2 12" xfId="18168" xr:uid="{246F599B-1225-4AC4-B6B1-4DF2D499E6A9}"/>
    <cellStyle name="Comma 4 3 2 2 2 13" xfId="26608" xr:uid="{0172845B-EFF1-4BCE-88BB-0F4F58A659DC}"/>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E066098A-8DF5-4ED2-9432-614DA6BE4487}"/>
    <cellStyle name="Comma 4 3 2 2 2 2 2 2 3" xfId="24944" xr:uid="{98A744BB-96B2-4B62-891E-5E137251843C}"/>
    <cellStyle name="Comma 4 3 2 2 2 2 2 2 4" xfId="33384" xr:uid="{7575C07A-E9DD-4379-8FF4-C4894607A4ED}"/>
    <cellStyle name="Comma 4 3 2 2 2 2 2 3" xfId="12286" xr:uid="{9F031322-B140-4445-990E-4E9BDBEAC488}"/>
    <cellStyle name="Comma 4 3 2 2 2 2 2 4" xfId="20727" xr:uid="{7A9C3D76-10C6-4B9E-92C4-E2C79482E6E3}"/>
    <cellStyle name="Comma 4 3 2 2 2 2 2 5" xfId="29167" xr:uid="{73B20D36-4946-4B39-84AC-A1D85EEE9CA2}"/>
    <cellStyle name="Comma 4 3 2 2 2 2 3" xfId="5032" xr:uid="{00000000-0005-0000-0000-00001B090000}"/>
    <cellStyle name="Comma 4 3 2 2 2 2 3 2" xfId="14358" xr:uid="{553C4C45-87E7-443A-B5C7-2EC925446D4D}"/>
    <cellStyle name="Comma 4 3 2 2 2 2 3 3" xfId="22799" xr:uid="{A00B5792-5A40-480A-9F9F-FDDB46406809}"/>
    <cellStyle name="Comma 4 3 2 2 2 2 3 4" xfId="31239" xr:uid="{291FDED6-52B7-46EA-832B-7C92891FBDDB}"/>
    <cellStyle name="Comma 4 3 2 2 2 2 4" xfId="9542" xr:uid="{26CD77CC-F017-4839-8245-BBF245D45E53}"/>
    <cellStyle name="Comma 4 3 2 2 2 2 5" xfId="10141" xr:uid="{C9C5CBBB-8557-4EF1-B0FC-942FC9D431F0}"/>
    <cellStyle name="Comma 4 3 2 2 2 2 6" xfId="18582" xr:uid="{5344089C-01FD-4E01-A854-AB4957ABB07C}"/>
    <cellStyle name="Comma 4 3 2 2 2 2 7" xfId="27022" xr:uid="{33DF0912-438C-46FF-9820-296707E20C5C}"/>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144DE6E4-6F1E-4043-8B1D-EFE450DF54B8}"/>
    <cellStyle name="Comma 4 3 2 2 2 3 2 2 3" xfId="25357" xr:uid="{83668C63-1BD0-4DDE-80BE-2517525E01C8}"/>
    <cellStyle name="Comma 4 3 2 2 2 3 2 2 4" xfId="33797" xr:uid="{360894FA-964D-4DC6-BAA7-80339BC1A2A1}"/>
    <cellStyle name="Comma 4 3 2 2 2 3 2 3" xfId="12699" xr:uid="{18905A88-2A75-4412-AAFE-007AF2F9DD71}"/>
    <cellStyle name="Comma 4 3 2 2 2 3 2 4" xfId="21140" xr:uid="{67180159-1D83-4541-BAE4-F18461E4CFBC}"/>
    <cellStyle name="Comma 4 3 2 2 2 3 2 5" xfId="29580" xr:uid="{BB1301AE-2DBF-4961-BDE1-64FB743519F1}"/>
    <cellStyle name="Comma 4 3 2 2 2 3 3" xfId="5445" xr:uid="{00000000-0005-0000-0000-00001F090000}"/>
    <cellStyle name="Comma 4 3 2 2 2 3 3 2" xfId="14771" xr:uid="{A6362A3A-E110-481F-83C2-414748C97E42}"/>
    <cellStyle name="Comma 4 3 2 2 2 3 3 3" xfId="23212" xr:uid="{6B8BB5DB-DE0A-4C68-917A-588404EC9E2B}"/>
    <cellStyle name="Comma 4 3 2 2 2 3 3 4" xfId="31652" xr:uid="{F3C5A3DE-30BC-4F98-8FC3-90548FAECD76}"/>
    <cellStyle name="Comma 4 3 2 2 2 3 4" xfId="10554" xr:uid="{B1522A94-DF52-4F27-A454-AEAB92EC3113}"/>
    <cellStyle name="Comma 4 3 2 2 2 3 5" xfId="18995" xr:uid="{861A7D96-CCD5-4DBD-9346-4EB3C402BFDC}"/>
    <cellStyle name="Comma 4 3 2 2 2 3 6" xfId="27435" xr:uid="{09480C63-0F28-4B7E-91EA-0694F5BC33FA}"/>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76584A72-0F80-4FDD-BE13-A0AF1896D37F}"/>
    <cellStyle name="Comma 4 3 2 2 2 4 2 2 3" xfId="25770" xr:uid="{3D21ABF2-3AA4-4356-9D8E-1CF7D1BFF2F6}"/>
    <cellStyle name="Comma 4 3 2 2 2 4 2 2 4" xfId="34210" xr:uid="{412595E8-89C1-4FC0-BE4D-080F456663C1}"/>
    <cellStyle name="Comma 4 3 2 2 2 4 2 3" xfId="13112" xr:uid="{498FD274-4819-411C-BC02-50A135D13251}"/>
    <cellStyle name="Comma 4 3 2 2 2 4 2 4" xfId="21553" xr:uid="{511EC979-CC0E-4CA8-8495-FFA53A6DF3E4}"/>
    <cellStyle name="Comma 4 3 2 2 2 4 2 5" xfId="29993" xr:uid="{44D0CBAA-7244-4F40-807D-BB4E5BF1317A}"/>
    <cellStyle name="Comma 4 3 2 2 2 4 3" xfId="5858" xr:uid="{00000000-0005-0000-0000-000023090000}"/>
    <cellStyle name="Comma 4 3 2 2 2 4 3 2" xfId="15184" xr:uid="{903AEAA0-950F-4003-B28B-D86536A8372F}"/>
    <cellStyle name="Comma 4 3 2 2 2 4 3 3" xfId="23625" xr:uid="{B6424086-4107-4D18-B225-BE04AE05B12C}"/>
    <cellStyle name="Comma 4 3 2 2 2 4 3 4" xfId="32065" xr:uid="{8C0F5F2E-7665-40DE-AF1D-13CD7CE91C0B}"/>
    <cellStyle name="Comma 4 3 2 2 2 4 4" xfId="10967" xr:uid="{65BE4933-5C51-4C6A-87C5-2494857F8323}"/>
    <cellStyle name="Comma 4 3 2 2 2 4 5" xfId="19408" xr:uid="{C65846DA-16CB-4EE2-9984-7784CAE99D12}"/>
    <cellStyle name="Comma 4 3 2 2 2 4 6" xfId="27848" xr:uid="{9E2BA5E6-7E88-44D0-987B-D49407C37AD3}"/>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5DF5C4A5-75C5-4848-9534-4EB0FCE4CFC3}"/>
    <cellStyle name="Comma 4 3 2 2 2 5 2 2 3" xfId="26183" xr:uid="{6033EECA-23D0-48D1-A9C9-F35D845659AB}"/>
    <cellStyle name="Comma 4 3 2 2 2 5 2 2 4" xfId="34623" xr:uid="{72D50530-63AF-428D-AFF3-2B6FEE56157F}"/>
    <cellStyle name="Comma 4 3 2 2 2 5 2 3" xfId="13525" xr:uid="{1D2B01EB-5CD3-416D-8201-8E0D399A38A0}"/>
    <cellStyle name="Comma 4 3 2 2 2 5 2 4" xfId="21966" xr:uid="{287A5D18-4DE1-48E7-AA33-8F9AF460BF44}"/>
    <cellStyle name="Comma 4 3 2 2 2 5 2 5" xfId="30406" xr:uid="{EED20885-69A1-4F38-97DD-2D982AEBE053}"/>
    <cellStyle name="Comma 4 3 2 2 2 5 3" xfId="6271" xr:uid="{00000000-0005-0000-0000-000027090000}"/>
    <cellStyle name="Comma 4 3 2 2 2 5 3 2" xfId="15597" xr:uid="{447D2BFB-136C-4BFA-8694-EE7B6148B48D}"/>
    <cellStyle name="Comma 4 3 2 2 2 5 3 3" xfId="24038" xr:uid="{0AB827F0-1AEB-40AF-BAE0-6DE043322079}"/>
    <cellStyle name="Comma 4 3 2 2 2 5 3 4" xfId="32478" xr:uid="{1F7B3D2E-6B3B-43F0-B47E-98D9730C00A6}"/>
    <cellStyle name="Comma 4 3 2 2 2 5 4" xfId="11380" xr:uid="{5FEB8ABE-E8E4-4D70-B4E0-DA486575A539}"/>
    <cellStyle name="Comma 4 3 2 2 2 5 5" xfId="19821" xr:uid="{4AAE392D-DE86-4AD0-A18F-DA5A8AED7BCD}"/>
    <cellStyle name="Comma 4 3 2 2 2 5 6" xfId="28261" xr:uid="{AC66CD14-F28D-49B8-BE54-C6A9F3239C02}"/>
    <cellStyle name="Comma 4 3 2 2 2 6" xfId="2400" xr:uid="{00000000-0005-0000-0000-000028090000}"/>
    <cellStyle name="Comma 4 3 2 2 2 6 2" xfId="6684" xr:uid="{00000000-0005-0000-0000-000029090000}"/>
    <cellStyle name="Comma 4 3 2 2 2 6 2 2" xfId="16010" xr:uid="{983E0A4A-A24F-40B9-9CDB-8B7A9F90087F}"/>
    <cellStyle name="Comma 4 3 2 2 2 6 2 3" xfId="24451" xr:uid="{7C848764-EA9C-4DC7-A097-3BC535246FF7}"/>
    <cellStyle name="Comma 4 3 2 2 2 6 2 4" xfId="32891" xr:uid="{21AAADFD-4E78-465F-BF39-4CE4A40E3B58}"/>
    <cellStyle name="Comma 4 3 2 2 2 6 3" xfId="11793" xr:uid="{FDDDEB2A-592B-4C67-9453-3470F8FA3033}"/>
    <cellStyle name="Comma 4 3 2 2 2 6 4" xfId="20234" xr:uid="{F5892711-8784-4BE9-88C8-B72A52CCB493}"/>
    <cellStyle name="Comma 4 3 2 2 2 6 5" xfId="28674" xr:uid="{7EC2617D-D2E0-4802-967B-AA2CCD336C4E}"/>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53674929-CFD3-423F-B107-A1752328F20E}"/>
    <cellStyle name="Comma 4 3 2 2 2 8 2 3" xfId="24768" xr:uid="{06C2A3B1-6450-430C-A6BF-46D3D38B5DEE}"/>
    <cellStyle name="Comma 4 3 2 2 2 8 2 4" xfId="33208" xr:uid="{3BF01EA3-B8F2-4977-9BDC-0694172FB3E1}"/>
    <cellStyle name="Comma 4 3 2 2 2 8 3" xfId="12110" xr:uid="{D556E7FF-B911-4934-821B-6B2D65021795}"/>
    <cellStyle name="Comma 4 3 2 2 2 8 4" xfId="20551" xr:uid="{152327DA-4038-452B-9FD6-70E820FD151A}"/>
    <cellStyle name="Comma 4 3 2 2 2 8 5" xfId="28991" xr:uid="{03100652-42E2-45CC-A3B3-C3EB88FA4B62}"/>
    <cellStyle name="Comma 4 3 2 2 2 9" xfId="4618" xr:uid="{00000000-0005-0000-0000-00002D090000}"/>
    <cellStyle name="Comma 4 3 2 2 2 9 2" xfId="13944" xr:uid="{372AF37F-51B6-4479-852C-4919C2793D18}"/>
    <cellStyle name="Comma 4 3 2 2 2 9 3" xfId="22385" xr:uid="{2EAB7D77-9BF8-460C-A03F-7F358929ECA3}"/>
    <cellStyle name="Comma 4 3 2 2 2 9 4" xfId="30825" xr:uid="{79A20153-C4C3-4653-B016-3DB208C5D5CA}"/>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4816026A-98A9-40AA-BDB5-B804EB015184}"/>
    <cellStyle name="Comma 4 3 2 2 3 2 2 3" xfId="24943" xr:uid="{61F58253-6D90-4DCB-9F71-DD7E8A834395}"/>
    <cellStyle name="Comma 4 3 2 2 3 2 2 4" xfId="33383" xr:uid="{294F33D6-E87F-419B-9631-DAD36E10E826}"/>
    <cellStyle name="Comma 4 3 2 2 3 2 3" xfId="12285" xr:uid="{B6763C15-3891-4B11-BD9F-7806D0ABA0A0}"/>
    <cellStyle name="Comma 4 3 2 2 3 2 4" xfId="20726" xr:uid="{09B0D11B-4D4D-4C83-BCF0-0C29E65AB9EF}"/>
    <cellStyle name="Comma 4 3 2 2 3 2 5" xfId="29166" xr:uid="{397AC452-41FC-4704-B802-BF1B78C20FB9}"/>
    <cellStyle name="Comma 4 3 2 2 3 3" xfId="5031" xr:uid="{00000000-0005-0000-0000-000031090000}"/>
    <cellStyle name="Comma 4 3 2 2 3 3 2" xfId="14357" xr:uid="{0AEFF94B-C18D-4A70-88A7-C8628E8D7527}"/>
    <cellStyle name="Comma 4 3 2 2 3 3 3" xfId="22798" xr:uid="{5D01AE57-4AF1-4409-85C8-23466E9939A4}"/>
    <cellStyle name="Comma 4 3 2 2 3 3 4" xfId="31238" xr:uid="{F6EBCC23-BEC1-4FD6-A523-D094AF271F34}"/>
    <cellStyle name="Comma 4 3 2 2 3 4" xfId="9335" xr:uid="{BACD532B-C811-4076-B107-03E74D1B7113}"/>
    <cellStyle name="Comma 4 3 2 2 3 5" xfId="10140" xr:uid="{733D7761-ECBD-451F-8554-849C3A93B24F}"/>
    <cellStyle name="Comma 4 3 2 2 3 6" xfId="18581" xr:uid="{1D2F6972-2ADD-4C5E-B824-10EDE0726105}"/>
    <cellStyle name="Comma 4 3 2 2 3 7" xfId="27021" xr:uid="{6A019CED-C76D-490D-804F-25A6618F3EB7}"/>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0E54C59F-1EEE-462F-B05E-29FB43779878}"/>
    <cellStyle name="Comma 4 3 2 2 4 2 2 3" xfId="25356" xr:uid="{883E1EBC-5379-4942-9518-23C4A0FC556E}"/>
    <cellStyle name="Comma 4 3 2 2 4 2 2 4" xfId="33796" xr:uid="{A5EC3E78-6A6A-4362-95B6-67C180734909}"/>
    <cellStyle name="Comma 4 3 2 2 4 2 3" xfId="12698" xr:uid="{2B888392-96E3-4912-86C5-D1FD4C88C779}"/>
    <cellStyle name="Comma 4 3 2 2 4 2 4" xfId="21139" xr:uid="{08D8BD8E-D6E6-4DF5-951B-924124E0B537}"/>
    <cellStyle name="Comma 4 3 2 2 4 2 5" xfId="29579" xr:uid="{2470EFAB-901A-422A-8096-33BABEE32E4E}"/>
    <cellStyle name="Comma 4 3 2 2 4 3" xfId="5444" xr:uid="{00000000-0005-0000-0000-000035090000}"/>
    <cellStyle name="Comma 4 3 2 2 4 3 2" xfId="14770" xr:uid="{903BCA7A-4853-4875-B067-02444DED104D}"/>
    <cellStyle name="Comma 4 3 2 2 4 3 3" xfId="23211" xr:uid="{A6DD002D-E4A2-4049-A253-9A8ED5338480}"/>
    <cellStyle name="Comma 4 3 2 2 4 3 4" xfId="31651" xr:uid="{AFF52697-94F3-4737-B660-A708D7ECA015}"/>
    <cellStyle name="Comma 4 3 2 2 4 4" xfId="10553" xr:uid="{103104C6-C4AA-49CE-910B-D34E3F0CD633}"/>
    <cellStyle name="Comma 4 3 2 2 4 5" xfId="18994" xr:uid="{CD71A5A8-7678-4080-8C36-042AD9A6E615}"/>
    <cellStyle name="Comma 4 3 2 2 4 6" xfId="27434" xr:uid="{4020C4DA-810E-4EB7-A290-7CDEDACCC827}"/>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0C9E5F04-2721-4556-9F15-29511F943D40}"/>
    <cellStyle name="Comma 4 3 2 2 5 2 2 3" xfId="25769" xr:uid="{1022A52C-14EF-4085-9775-D62A111F9386}"/>
    <cellStyle name="Comma 4 3 2 2 5 2 2 4" xfId="34209" xr:uid="{80C7681C-52AA-4A6F-8613-0E5FC8FFF9D1}"/>
    <cellStyle name="Comma 4 3 2 2 5 2 3" xfId="13111" xr:uid="{E607239B-CFBD-4660-A874-1FF7FE99809A}"/>
    <cellStyle name="Comma 4 3 2 2 5 2 4" xfId="21552" xr:uid="{453E34B9-4DA8-4547-933E-6CD8E86A77F6}"/>
    <cellStyle name="Comma 4 3 2 2 5 2 5" xfId="29992" xr:uid="{BBB7DA0F-4FEB-4E64-958F-245054A0D532}"/>
    <cellStyle name="Comma 4 3 2 2 5 3" xfId="5857" xr:uid="{00000000-0005-0000-0000-000039090000}"/>
    <cellStyle name="Comma 4 3 2 2 5 3 2" xfId="15183" xr:uid="{DCF670B0-C781-408B-9654-49B004E0258F}"/>
    <cellStyle name="Comma 4 3 2 2 5 3 3" xfId="23624" xr:uid="{4BE6608F-5A72-4B97-A982-F57E45933B84}"/>
    <cellStyle name="Comma 4 3 2 2 5 3 4" xfId="32064" xr:uid="{C7883803-C7D6-41AD-B49B-83398A1B6055}"/>
    <cellStyle name="Comma 4 3 2 2 5 4" xfId="10966" xr:uid="{76353BC6-9EEB-491A-ACCD-3FDE9C2F7C80}"/>
    <cellStyle name="Comma 4 3 2 2 5 5" xfId="19407" xr:uid="{21DE22F9-8AD7-4996-B15A-E6F32944619A}"/>
    <cellStyle name="Comma 4 3 2 2 5 6" xfId="27847" xr:uid="{3EDA09CE-EC9C-4050-8BAF-226828ED29CE}"/>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1CCCB08B-60D1-4C50-BB6A-408794058D3E}"/>
    <cellStyle name="Comma 4 3 2 2 6 2 2 3" xfId="26182" xr:uid="{05C7ED23-FCC3-4D7E-85AE-599425394699}"/>
    <cellStyle name="Comma 4 3 2 2 6 2 2 4" xfId="34622" xr:uid="{24C0BE73-01C0-412D-AABF-F4D44E8D27BD}"/>
    <cellStyle name="Comma 4 3 2 2 6 2 3" xfId="13524" xr:uid="{A2FABC65-7E46-4615-BBB6-86B7C67FD28D}"/>
    <cellStyle name="Comma 4 3 2 2 6 2 4" xfId="21965" xr:uid="{09B93BD7-C3F4-4AC8-8402-E0FECD189449}"/>
    <cellStyle name="Comma 4 3 2 2 6 2 5" xfId="30405" xr:uid="{950D170C-D970-4C70-96C6-36A7EA6164DE}"/>
    <cellStyle name="Comma 4 3 2 2 6 3" xfId="6270" xr:uid="{00000000-0005-0000-0000-00003D090000}"/>
    <cellStyle name="Comma 4 3 2 2 6 3 2" xfId="15596" xr:uid="{1F5743BA-178A-4F2E-9F1C-C9119FE541C9}"/>
    <cellStyle name="Comma 4 3 2 2 6 3 3" xfId="24037" xr:uid="{5682A668-7218-404C-83A1-926C3939BEEB}"/>
    <cellStyle name="Comma 4 3 2 2 6 3 4" xfId="32477" xr:uid="{435A3170-282F-4464-9060-C43A038B9C28}"/>
    <cellStyle name="Comma 4 3 2 2 6 4" xfId="11379" xr:uid="{6325CB61-735E-4456-85B0-97B4B5F4B265}"/>
    <cellStyle name="Comma 4 3 2 2 6 5" xfId="19820" xr:uid="{68F5549D-D1BB-4BB1-BA28-8C59143ACDDC}"/>
    <cellStyle name="Comma 4 3 2 2 6 6" xfId="28260" xr:uid="{6B14AEE9-8D40-44AA-8B7C-75137E2E78A3}"/>
    <cellStyle name="Comma 4 3 2 2 7" xfId="2399" xr:uid="{00000000-0005-0000-0000-00003E090000}"/>
    <cellStyle name="Comma 4 3 2 2 7 2" xfId="6683" xr:uid="{00000000-0005-0000-0000-00003F090000}"/>
    <cellStyle name="Comma 4 3 2 2 7 2 2" xfId="16009" xr:uid="{B5D3381A-6136-469A-939A-4A7220A5DFB8}"/>
    <cellStyle name="Comma 4 3 2 2 7 2 3" xfId="24450" xr:uid="{4E999700-6D3C-42B9-8187-4A8336AB1A55}"/>
    <cellStyle name="Comma 4 3 2 2 7 2 4" xfId="32890" xr:uid="{B73662E7-D3CE-401D-A3D4-18692D9592AC}"/>
    <cellStyle name="Comma 4 3 2 2 7 3" xfId="11792" xr:uid="{AA9CF8F1-5CE8-4006-AB24-A5FD25BA9B52}"/>
    <cellStyle name="Comma 4 3 2 2 7 4" xfId="20233" xr:uid="{BBF5DD48-5059-4107-83BB-EA35EEFFDD82}"/>
    <cellStyle name="Comma 4 3 2 2 7 5" xfId="28673" xr:uid="{4FBCFC4F-77C9-461D-A948-D8912D041BEB}"/>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348BD49B-3AC1-46C6-9423-3C02C93BF52A}"/>
    <cellStyle name="Comma 4 3 2 2 9 2 3" xfId="24767" xr:uid="{C9638171-9E21-4902-A1A6-768453148A1B}"/>
    <cellStyle name="Comma 4 3 2 2 9 2 4" xfId="33207" xr:uid="{53D48634-E09F-4643-A081-62F7FBC28BD3}"/>
    <cellStyle name="Comma 4 3 2 2 9 3" xfId="12109" xr:uid="{F3C2D751-0FE3-4AFE-A6DA-893068C26C49}"/>
    <cellStyle name="Comma 4 3 2 2 9 4" xfId="20550" xr:uid="{F79E4824-90CE-45C0-A8E3-9C2048596A6D}"/>
    <cellStyle name="Comma 4 3 2 2 9 5" xfId="28990" xr:uid="{293312BA-5282-4479-95C0-ED3AA244D1AD}"/>
    <cellStyle name="Comma 4 3 2 3" xfId="148" xr:uid="{00000000-0005-0000-0000-000043090000}"/>
    <cellStyle name="Comma 4 3 2 3 10" xfId="9014" xr:uid="{46568903-2C47-4BC3-8E78-5A47F62B319C}"/>
    <cellStyle name="Comma 4 3 2 3 11" xfId="9728" xr:uid="{DA820C2B-4DC1-4120-9DEA-34283F14817E}"/>
    <cellStyle name="Comma 4 3 2 3 12" xfId="18169" xr:uid="{F49F273C-C03C-4890-BC2C-0510574E4F72}"/>
    <cellStyle name="Comma 4 3 2 3 13" xfId="26609" xr:uid="{A0B900DF-852B-4527-9879-DCCFA3B83403}"/>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B78BB3E4-1DBB-47B8-A6CA-409DB9778AFF}"/>
    <cellStyle name="Comma 4 3 2 3 2 2 2 3" xfId="24945" xr:uid="{6648D311-A12F-4404-A4F2-309FA793EB25}"/>
    <cellStyle name="Comma 4 3 2 3 2 2 2 4" xfId="33385" xr:uid="{E5932F51-EF8F-4FCE-A277-B195395F323B}"/>
    <cellStyle name="Comma 4 3 2 3 2 2 3" xfId="12287" xr:uid="{5BDCBE37-D989-4EC2-9C38-5D61338F1C52}"/>
    <cellStyle name="Comma 4 3 2 3 2 2 4" xfId="20728" xr:uid="{317B193E-C7E1-4069-9437-F35F727CB543}"/>
    <cellStyle name="Comma 4 3 2 3 2 2 5" xfId="29168" xr:uid="{BBD27F78-764E-4376-AA47-B02272A51788}"/>
    <cellStyle name="Comma 4 3 2 3 2 3" xfId="5033" xr:uid="{00000000-0005-0000-0000-000047090000}"/>
    <cellStyle name="Comma 4 3 2 3 2 3 2" xfId="14359" xr:uid="{D3FFAE98-C63F-4140-BF41-7AE23624FBB0}"/>
    <cellStyle name="Comma 4 3 2 3 2 3 3" xfId="22800" xr:uid="{B532EA82-8A92-4263-9599-07AAFD11221D}"/>
    <cellStyle name="Comma 4 3 2 3 2 3 4" xfId="31240" xr:uid="{007FB277-BB07-4148-9A8B-C64C00A32B67}"/>
    <cellStyle name="Comma 4 3 2 3 2 4" xfId="9439" xr:uid="{2FD116B5-6902-4630-AFC5-CC8B06C5F457}"/>
    <cellStyle name="Comma 4 3 2 3 2 5" xfId="10142" xr:uid="{5AB1DFA4-7B58-4A02-A8A3-EE4118F965BF}"/>
    <cellStyle name="Comma 4 3 2 3 2 6" xfId="18583" xr:uid="{86151399-CA2C-4E00-B578-9C574A601B84}"/>
    <cellStyle name="Comma 4 3 2 3 2 7" xfId="27023" xr:uid="{A946DD67-6A5B-4170-8146-1A2A98880D9C}"/>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EC727B6B-11E5-4980-ACF2-07060F03085D}"/>
    <cellStyle name="Comma 4 3 2 3 3 2 2 3" xfId="25358" xr:uid="{BB4A2C77-C9F8-44B2-8654-BB022FBEA15B}"/>
    <cellStyle name="Comma 4 3 2 3 3 2 2 4" xfId="33798" xr:uid="{BD500E23-3B11-4549-9364-E1E44A060DD1}"/>
    <cellStyle name="Comma 4 3 2 3 3 2 3" xfId="12700" xr:uid="{EDC7D326-7CFE-4B31-A919-1B18F0036514}"/>
    <cellStyle name="Comma 4 3 2 3 3 2 4" xfId="21141" xr:uid="{8E2737EE-3AE5-491E-A2A3-6EBC0B4997FB}"/>
    <cellStyle name="Comma 4 3 2 3 3 2 5" xfId="29581" xr:uid="{5C75F252-346F-4392-ACA6-08CB0D8EA2E4}"/>
    <cellStyle name="Comma 4 3 2 3 3 3" xfId="5446" xr:uid="{00000000-0005-0000-0000-00004B090000}"/>
    <cellStyle name="Comma 4 3 2 3 3 3 2" xfId="14772" xr:uid="{E1610533-A2C9-4F7E-845A-4137DD174036}"/>
    <cellStyle name="Comma 4 3 2 3 3 3 3" xfId="23213" xr:uid="{3A59B9F5-C7B6-47FA-B2EF-DCE9B80B697D}"/>
    <cellStyle name="Comma 4 3 2 3 3 3 4" xfId="31653" xr:uid="{101A7E17-AB14-499B-8434-F9F4064DD5CD}"/>
    <cellStyle name="Comma 4 3 2 3 3 4" xfId="10555" xr:uid="{D9C3BE3B-19A5-4F4B-8663-950D0000BFDA}"/>
    <cellStyle name="Comma 4 3 2 3 3 5" xfId="18996" xr:uid="{95327568-6369-4E60-AC1C-1E7281CC7EC3}"/>
    <cellStyle name="Comma 4 3 2 3 3 6" xfId="27436" xr:uid="{DED2DB38-0D33-4B6A-8EA7-CF11F5707017}"/>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47C45F73-BC0A-415C-BBB7-1326E037904B}"/>
    <cellStyle name="Comma 4 3 2 3 4 2 2 3" xfId="25771" xr:uid="{B6CCD946-9DE5-4A5E-85A6-068839550909}"/>
    <cellStyle name="Comma 4 3 2 3 4 2 2 4" xfId="34211" xr:uid="{285717EB-C2E5-4017-8035-2010EC4BE271}"/>
    <cellStyle name="Comma 4 3 2 3 4 2 3" xfId="13113" xr:uid="{02F5325F-B3DD-4738-92F8-62EE13BE7F11}"/>
    <cellStyle name="Comma 4 3 2 3 4 2 4" xfId="21554" xr:uid="{6DA70079-8F2F-4844-8629-A94DCF60AA61}"/>
    <cellStyle name="Comma 4 3 2 3 4 2 5" xfId="29994" xr:uid="{F082BB42-9706-4118-B7DD-D53807CB4E50}"/>
    <cellStyle name="Comma 4 3 2 3 4 3" xfId="5859" xr:uid="{00000000-0005-0000-0000-00004F090000}"/>
    <cellStyle name="Comma 4 3 2 3 4 3 2" xfId="15185" xr:uid="{DC957766-7244-4C39-81F6-051E412E4DE8}"/>
    <cellStyle name="Comma 4 3 2 3 4 3 3" xfId="23626" xr:uid="{74A5F8F5-0635-4303-AC78-D040227038A4}"/>
    <cellStyle name="Comma 4 3 2 3 4 3 4" xfId="32066" xr:uid="{AEADB9B0-13F7-474D-886F-8562B29C630B}"/>
    <cellStyle name="Comma 4 3 2 3 4 4" xfId="10968" xr:uid="{26C42771-8152-46DB-B362-552C0006C574}"/>
    <cellStyle name="Comma 4 3 2 3 4 5" xfId="19409" xr:uid="{B329673C-944A-4282-ABD9-EAE637208563}"/>
    <cellStyle name="Comma 4 3 2 3 4 6" xfId="27849" xr:uid="{8C1A0FD8-D349-48A9-B032-BAB082354F14}"/>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8D2BBF3D-96C1-4CBC-8380-78929539AF57}"/>
    <cellStyle name="Comma 4 3 2 3 5 2 2 3" xfId="26184" xr:uid="{1454D905-D397-46B4-936A-E165F803E1B8}"/>
    <cellStyle name="Comma 4 3 2 3 5 2 2 4" xfId="34624" xr:uid="{21AB2A3C-EA0F-426F-BDE1-821A0C484B07}"/>
    <cellStyle name="Comma 4 3 2 3 5 2 3" xfId="13526" xr:uid="{62011560-1568-418E-9FC8-726E393DA70A}"/>
    <cellStyle name="Comma 4 3 2 3 5 2 4" xfId="21967" xr:uid="{E5BAB781-1E3E-49D4-81AD-0E4E51222740}"/>
    <cellStyle name="Comma 4 3 2 3 5 2 5" xfId="30407" xr:uid="{5E0838F8-182E-4478-9281-B553BFC81E95}"/>
    <cellStyle name="Comma 4 3 2 3 5 3" xfId="6272" xr:uid="{00000000-0005-0000-0000-000053090000}"/>
    <cellStyle name="Comma 4 3 2 3 5 3 2" xfId="15598" xr:uid="{AA1817C7-D040-4659-A6E7-3BFA369E0394}"/>
    <cellStyle name="Comma 4 3 2 3 5 3 3" xfId="24039" xr:uid="{28B0319A-4037-4DBF-AA72-20F132557265}"/>
    <cellStyle name="Comma 4 3 2 3 5 3 4" xfId="32479" xr:uid="{60D0E489-3387-4B2C-A039-8D41C52DAAD9}"/>
    <cellStyle name="Comma 4 3 2 3 5 4" xfId="11381" xr:uid="{35ADE404-1FB6-4AC2-98D0-D4F56504EE50}"/>
    <cellStyle name="Comma 4 3 2 3 5 5" xfId="19822" xr:uid="{A2A7FCE5-E8F2-421E-896C-BB63788EF178}"/>
    <cellStyle name="Comma 4 3 2 3 5 6" xfId="28262" xr:uid="{7717F4EA-1A51-4538-8002-C668F7E7ADD9}"/>
    <cellStyle name="Comma 4 3 2 3 6" xfId="2401" xr:uid="{00000000-0005-0000-0000-000054090000}"/>
    <cellStyle name="Comma 4 3 2 3 6 2" xfId="6685" xr:uid="{00000000-0005-0000-0000-000055090000}"/>
    <cellStyle name="Comma 4 3 2 3 6 2 2" xfId="16011" xr:uid="{482C10D9-9E89-4AE8-A1CA-0BEF15371613}"/>
    <cellStyle name="Comma 4 3 2 3 6 2 3" xfId="24452" xr:uid="{0F1C8C03-9A7B-4432-A485-EC75B3EF01AF}"/>
    <cellStyle name="Comma 4 3 2 3 6 2 4" xfId="32892" xr:uid="{8B4AAEC2-5BB5-4692-B835-C9BC5A644B2C}"/>
    <cellStyle name="Comma 4 3 2 3 6 3" xfId="11794" xr:uid="{870AEC5D-59E0-4442-9F58-62726FE3E65A}"/>
    <cellStyle name="Comma 4 3 2 3 6 4" xfId="20235" xr:uid="{3D9F99C7-1460-4319-B89C-800E7E5BD137}"/>
    <cellStyle name="Comma 4 3 2 3 6 5" xfId="28675" xr:uid="{5D80A79D-7961-40B0-B6C4-8AC40ADB9DF6}"/>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107FB63A-0AF0-436E-9A40-821799528DA8}"/>
    <cellStyle name="Comma 4 3 2 3 8 2 3" xfId="24769" xr:uid="{D8FC948F-16AB-46FF-8B47-777FB24444EF}"/>
    <cellStyle name="Comma 4 3 2 3 8 2 4" xfId="33209" xr:uid="{C5617042-16DE-4763-BFF5-55FAC8EDBFE4}"/>
    <cellStyle name="Comma 4 3 2 3 8 3" xfId="12111" xr:uid="{BB7C5EF9-A05E-4744-81DD-F601F2A45B20}"/>
    <cellStyle name="Comma 4 3 2 3 8 4" xfId="20552" xr:uid="{F9DD79AE-81FD-4F96-8C7E-E3977A55252D}"/>
    <cellStyle name="Comma 4 3 2 3 8 5" xfId="28992" xr:uid="{D4D1C512-374E-411B-B837-DB1865F77EA2}"/>
    <cellStyle name="Comma 4 3 2 3 9" xfId="4619" xr:uid="{00000000-0005-0000-0000-000059090000}"/>
    <cellStyle name="Comma 4 3 2 3 9 2" xfId="13945" xr:uid="{9EC67709-50F5-4276-A5EC-AA26A47325D1}"/>
    <cellStyle name="Comma 4 3 2 3 9 3" xfId="22386" xr:uid="{AE36648B-10D3-414F-A6ED-DFC84B6401E3}"/>
    <cellStyle name="Comma 4 3 2 3 9 4" xfId="30826" xr:uid="{75075095-4D67-449D-BA57-9630C0762664}"/>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1BBB3B8B-1AD2-486D-9BCD-B3F807E0F371}"/>
    <cellStyle name="Comma 4 3 2 4 2 2 3" xfId="24942" xr:uid="{0169E602-5C88-4AE7-BBB0-5EF4A352B923}"/>
    <cellStyle name="Comma 4 3 2 4 2 2 4" xfId="33382" xr:uid="{00A70528-2FB5-4796-8EFB-4EC55EA0D3E7}"/>
    <cellStyle name="Comma 4 3 2 4 2 3" xfId="12284" xr:uid="{6188728A-04D6-431F-BF80-7272FA6DC035}"/>
    <cellStyle name="Comma 4 3 2 4 2 4" xfId="20725" xr:uid="{5FE5C386-C675-4688-BB51-D023E32F3CF2}"/>
    <cellStyle name="Comma 4 3 2 4 2 5" xfId="29165" xr:uid="{ABBD8882-A693-4D1B-BFA0-5D25980C671A}"/>
    <cellStyle name="Comma 4 3 2 4 3" xfId="5030" xr:uid="{00000000-0005-0000-0000-00005D090000}"/>
    <cellStyle name="Comma 4 3 2 4 3 2" xfId="14356" xr:uid="{63A06130-EF1F-4252-97EC-7551765CB29A}"/>
    <cellStyle name="Comma 4 3 2 4 3 3" xfId="22797" xr:uid="{4C561F0A-0440-4009-927D-C00E7DE83309}"/>
    <cellStyle name="Comma 4 3 2 4 3 4" xfId="31237" xr:uid="{628FC079-D17E-453B-BFD6-4D3E65890CDF}"/>
    <cellStyle name="Comma 4 3 2 4 4" xfId="9232" xr:uid="{8193451B-D8F0-40BD-91ED-34E7041117F6}"/>
    <cellStyle name="Comma 4 3 2 4 5" xfId="10139" xr:uid="{1A1EA12A-6226-4267-B9A2-C4EEAB7C7C78}"/>
    <cellStyle name="Comma 4 3 2 4 6" xfId="18580" xr:uid="{5EF5A14E-8152-4A38-B8CF-2B88643DBC97}"/>
    <cellStyle name="Comma 4 3 2 4 7" xfId="27020" xr:uid="{A5F9E143-0E59-4363-BB56-C64F658521FD}"/>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7E9EE608-855F-4654-BBC9-04419B4F2B1E}"/>
    <cellStyle name="Comma 4 3 2 5 2 2 3" xfId="25355" xr:uid="{397E706A-2A03-453C-9B75-12DDA0DEE68B}"/>
    <cellStyle name="Comma 4 3 2 5 2 2 4" xfId="33795" xr:uid="{FDAC18D9-FCAA-4713-904B-CFB629DF3D46}"/>
    <cellStyle name="Comma 4 3 2 5 2 3" xfId="12697" xr:uid="{D927DFEE-1D10-49E6-BB93-55A22255EF7B}"/>
    <cellStyle name="Comma 4 3 2 5 2 4" xfId="21138" xr:uid="{7115D164-0CDE-41DE-8BA9-9682B0A007AA}"/>
    <cellStyle name="Comma 4 3 2 5 2 5" xfId="29578" xr:uid="{3BEBE8A8-106D-4111-B176-386E45D71A0B}"/>
    <cellStyle name="Comma 4 3 2 5 3" xfId="5443" xr:uid="{00000000-0005-0000-0000-000061090000}"/>
    <cellStyle name="Comma 4 3 2 5 3 2" xfId="14769" xr:uid="{945AFFC6-9433-409E-8658-8614A79B8FA8}"/>
    <cellStyle name="Comma 4 3 2 5 3 3" xfId="23210" xr:uid="{21B100D4-062C-4814-9850-355C925C0A70}"/>
    <cellStyle name="Comma 4 3 2 5 3 4" xfId="31650" xr:uid="{FDA7FE28-4419-4D2E-BD3F-633A8E346FCA}"/>
    <cellStyle name="Comma 4 3 2 5 4" xfId="10552" xr:uid="{E2837E8A-7AFD-4424-B81D-C79275AAC6C2}"/>
    <cellStyle name="Comma 4 3 2 5 5" xfId="18993" xr:uid="{CDD93F19-CA83-44DD-8D1E-6F0AF5982F64}"/>
    <cellStyle name="Comma 4 3 2 5 6" xfId="27433" xr:uid="{AC4BAEE2-6B9A-4DB0-A67C-E8A35275F538}"/>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87F9B51E-5B76-4660-B6F2-5E0C4202734F}"/>
    <cellStyle name="Comma 4 3 2 6 2 2 3" xfId="25768" xr:uid="{024B8A54-6367-4496-A06C-78801B8B3DF6}"/>
    <cellStyle name="Comma 4 3 2 6 2 2 4" xfId="34208" xr:uid="{7462BA07-5C27-4178-BD4D-22193600EE3E}"/>
    <cellStyle name="Comma 4 3 2 6 2 3" xfId="13110" xr:uid="{8261E921-C10A-4ECB-8EB0-833EE295F0A4}"/>
    <cellStyle name="Comma 4 3 2 6 2 4" xfId="21551" xr:uid="{CA42C56A-BC58-4CF6-9673-A15B35C7DC83}"/>
    <cellStyle name="Comma 4 3 2 6 2 5" xfId="29991" xr:uid="{043CD3F6-AC3A-4422-B868-D3FDAB919E23}"/>
    <cellStyle name="Comma 4 3 2 6 3" xfId="5856" xr:uid="{00000000-0005-0000-0000-000065090000}"/>
    <cellStyle name="Comma 4 3 2 6 3 2" xfId="15182" xr:uid="{D374C540-84CB-4BAB-8417-2F3F9479B526}"/>
    <cellStyle name="Comma 4 3 2 6 3 3" xfId="23623" xr:uid="{99A4751F-D5CE-479A-ABD2-7A8E173E7B0C}"/>
    <cellStyle name="Comma 4 3 2 6 3 4" xfId="32063" xr:uid="{93EB3EB5-B373-4DAD-90E2-509CEF58B4C5}"/>
    <cellStyle name="Comma 4 3 2 6 4" xfId="10965" xr:uid="{7B68466D-3893-4225-B700-52EE5F400351}"/>
    <cellStyle name="Comma 4 3 2 6 5" xfId="19406" xr:uid="{FF3A6437-700B-40E9-9B6A-E23369FC7597}"/>
    <cellStyle name="Comma 4 3 2 6 6" xfId="27846" xr:uid="{541C92A5-606D-4C84-8C61-71ADF09F2114}"/>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7B6AC0F4-22FA-4395-A4BA-61D4C587A592}"/>
    <cellStyle name="Comma 4 3 2 7 2 2 3" xfId="26181" xr:uid="{A9C98C5A-DC27-40CB-BDD2-04B01776E38B}"/>
    <cellStyle name="Comma 4 3 2 7 2 2 4" xfId="34621" xr:uid="{6E8E5635-491C-4288-85C5-892C03A54BAE}"/>
    <cellStyle name="Comma 4 3 2 7 2 3" xfId="13523" xr:uid="{E37B3413-E09D-40BA-9F9F-E10E1D2E4D0C}"/>
    <cellStyle name="Comma 4 3 2 7 2 4" xfId="21964" xr:uid="{0D872C22-2745-4581-A918-60EFC3D0C8AE}"/>
    <cellStyle name="Comma 4 3 2 7 2 5" xfId="30404" xr:uid="{D4E25DD4-64AE-4B78-B037-D232DC9D3405}"/>
    <cellStyle name="Comma 4 3 2 7 3" xfId="6269" xr:uid="{00000000-0005-0000-0000-000069090000}"/>
    <cellStyle name="Comma 4 3 2 7 3 2" xfId="15595" xr:uid="{56A876B9-A159-4B62-B31F-77C5FD2A2549}"/>
    <cellStyle name="Comma 4 3 2 7 3 3" xfId="24036" xr:uid="{623CE65F-2BF7-4962-BE20-0DC5CE32001C}"/>
    <cellStyle name="Comma 4 3 2 7 3 4" xfId="32476" xr:uid="{5E2E9E00-E674-4ACC-BDB7-24C0D1FD4B1A}"/>
    <cellStyle name="Comma 4 3 2 7 4" xfId="11378" xr:uid="{C8344051-4773-4003-A73A-412C2A265469}"/>
    <cellStyle name="Comma 4 3 2 7 5" xfId="19819" xr:uid="{7F21A158-B6E8-44E5-A97B-99D70EE8CA6C}"/>
    <cellStyle name="Comma 4 3 2 7 6" xfId="28259" xr:uid="{14807FD0-ADEE-4087-A4F7-EECF1E3CBF04}"/>
    <cellStyle name="Comma 4 3 2 8" xfId="2398" xr:uid="{00000000-0005-0000-0000-00006A090000}"/>
    <cellStyle name="Comma 4 3 2 8 2" xfId="6682" xr:uid="{00000000-0005-0000-0000-00006B090000}"/>
    <cellStyle name="Comma 4 3 2 8 2 2" xfId="16008" xr:uid="{88FF54FF-6045-4EA8-8A65-472D1BCC2080}"/>
    <cellStyle name="Comma 4 3 2 8 2 3" xfId="24449" xr:uid="{5892E7FF-8468-4561-BE63-D17AF18B6A7A}"/>
    <cellStyle name="Comma 4 3 2 8 2 4" xfId="32889" xr:uid="{DB15ED5A-0CA1-4969-B194-ACA014E7D174}"/>
    <cellStyle name="Comma 4 3 2 8 3" xfId="11791" xr:uid="{E3A3E13B-0033-466B-BBE3-30AD54AE6AD8}"/>
    <cellStyle name="Comma 4 3 2 8 4" xfId="20232" xr:uid="{C445B951-DA2A-403A-9690-D7C00D269526}"/>
    <cellStyle name="Comma 4 3 2 8 5" xfId="28672" xr:uid="{BA4CAE43-DC5B-4D6C-A5CC-7BAAC395437A}"/>
    <cellStyle name="Comma 4 3 2 9" xfId="2365" xr:uid="{00000000-0005-0000-0000-00006C090000}"/>
    <cellStyle name="Comma 4 3 3" xfId="149" xr:uid="{00000000-0005-0000-0000-00006D090000}"/>
    <cellStyle name="Comma 4 3 3 10" xfId="4620" xr:uid="{00000000-0005-0000-0000-00006E090000}"/>
    <cellStyle name="Comma 4 3 3 10 2" xfId="13946" xr:uid="{856F9DAB-F35B-4D02-971A-F0D86D42EEEB}"/>
    <cellStyle name="Comma 4 3 3 10 3" xfId="22387" xr:uid="{E2EDEC03-FCF2-4EC9-8F49-F6BC37571B0F}"/>
    <cellStyle name="Comma 4 3 3 10 4" xfId="30827" xr:uid="{E8DC8F96-768A-486F-92FF-A49A5A7734F1}"/>
    <cellStyle name="Comma 4 3 3 11" xfId="8881" xr:uid="{ACA3BC7C-CED7-49C2-9DC3-E2A3989962E9}"/>
    <cellStyle name="Comma 4 3 3 12" xfId="9729" xr:uid="{33E37754-1377-4E3A-936F-CEDEF91152AC}"/>
    <cellStyle name="Comma 4 3 3 13" xfId="18170" xr:uid="{BCD9C894-B00D-46D5-A998-02B9287BE7C2}"/>
    <cellStyle name="Comma 4 3 3 14" xfId="26610" xr:uid="{B382B1C6-BEB5-4AFC-B407-9FBDA4305418}"/>
    <cellStyle name="Comma 4 3 3 2" xfId="150" xr:uid="{00000000-0005-0000-0000-00006F090000}"/>
    <cellStyle name="Comma 4 3 3 2 10" xfId="9088" xr:uid="{D40CFC42-DEA3-4A4C-8532-2B6CFC29229D}"/>
    <cellStyle name="Comma 4 3 3 2 11" xfId="9730" xr:uid="{E1CA7E9E-7258-4389-A2B0-6B7CD9643078}"/>
    <cellStyle name="Comma 4 3 3 2 12" xfId="18171" xr:uid="{8C316708-2379-4E51-951F-7DFB4933D8B8}"/>
    <cellStyle name="Comma 4 3 3 2 13" xfId="26611" xr:uid="{59E2FF1C-DC28-4CA1-9531-2C427E9970A6}"/>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B0B1A09D-675A-4B62-8774-711DD9E7B33C}"/>
    <cellStyle name="Comma 4 3 3 2 2 2 2 3" xfId="24947" xr:uid="{ABCC3AA6-C9BB-40C4-9C6E-1166925C8483}"/>
    <cellStyle name="Comma 4 3 3 2 2 2 2 4" xfId="33387" xr:uid="{2A927B63-C03B-43A2-B70C-1A0FD5EECA49}"/>
    <cellStyle name="Comma 4 3 3 2 2 2 3" xfId="12289" xr:uid="{126099BC-A011-4090-8611-0F22FF7EE09F}"/>
    <cellStyle name="Comma 4 3 3 2 2 2 4" xfId="20730" xr:uid="{D157595F-98D2-4355-A275-1EBFE886B106}"/>
    <cellStyle name="Comma 4 3 3 2 2 2 5" xfId="29170" xr:uid="{E99658F3-5BD3-4AC0-A82D-58E530635326}"/>
    <cellStyle name="Comma 4 3 3 2 2 3" xfId="5035" xr:uid="{00000000-0005-0000-0000-000073090000}"/>
    <cellStyle name="Comma 4 3 3 2 2 3 2" xfId="14361" xr:uid="{506E5CD7-DC8A-4967-8819-106BFB2B4B99}"/>
    <cellStyle name="Comma 4 3 3 2 2 3 3" xfId="22802" xr:uid="{399DAF3F-FF7C-4691-BD4E-33654EE6F646}"/>
    <cellStyle name="Comma 4 3 3 2 2 3 4" xfId="31242" xr:uid="{8C902323-252D-4E6A-B345-7642C9B7EDB9}"/>
    <cellStyle name="Comma 4 3 3 2 2 4" xfId="9513" xr:uid="{986E0DAD-8ABC-4DAC-9C56-EF87B6B3B829}"/>
    <cellStyle name="Comma 4 3 3 2 2 5" xfId="10144" xr:uid="{C7D9D268-B2EF-4A16-A83F-D35F01A1B4FF}"/>
    <cellStyle name="Comma 4 3 3 2 2 6" xfId="18585" xr:uid="{18305BDD-FFFC-4B9B-961E-C9405AAF1A2F}"/>
    <cellStyle name="Comma 4 3 3 2 2 7" xfId="27025" xr:uid="{656FB794-5AEF-4AC7-AD8E-4B4410D2B072}"/>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CD1535E3-5BF1-4D63-AF48-5B053FA836DB}"/>
    <cellStyle name="Comma 4 3 3 2 3 2 2 3" xfId="25360" xr:uid="{F7C8F176-46A5-4956-AAF2-DC641FD64DD2}"/>
    <cellStyle name="Comma 4 3 3 2 3 2 2 4" xfId="33800" xr:uid="{C7533466-9410-486F-A623-8E7F4E02EC92}"/>
    <cellStyle name="Comma 4 3 3 2 3 2 3" xfId="12702" xr:uid="{C8E471B9-ADAC-4429-889C-4E69A62ACCF1}"/>
    <cellStyle name="Comma 4 3 3 2 3 2 4" xfId="21143" xr:uid="{B8A027D2-AE22-48CC-BCC5-F667979C9D0B}"/>
    <cellStyle name="Comma 4 3 3 2 3 2 5" xfId="29583" xr:uid="{8B094095-F346-4248-9DD0-7DAE22D9F5ED}"/>
    <cellStyle name="Comma 4 3 3 2 3 3" xfId="5448" xr:uid="{00000000-0005-0000-0000-000077090000}"/>
    <cellStyle name="Comma 4 3 3 2 3 3 2" xfId="14774" xr:uid="{437FBF05-BE47-4138-89D1-DE49107CF8AB}"/>
    <cellStyle name="Comma 4 3 3 2 3 3 3" xfId="23215" xr:uid="{43F1864A-3F13-4B47-9981-B57CFB186F46}"/>
    <cellStyle name="Comma 4 3 3 2 3 3 4" xfId="31655" xr:uid="{76FBCE1E-74EB-40CA-BD16-6E721962E7F7}"/>
    <cellStyle name="Comma 4 3 3 2 3 4" xfId="10557" xr:uid="{39E70E76-8318-4C1F-B776-5FF9B03FE646}"/>
    <cellStyle name="Comma 4 3 3 2 3 5" xfId="18998" xr:uid="{D3ABDC0F-C8A3-4A25-943E-0715CDE2EBDE}"/>
    <cellStyle name="Comma 4 3 3 2 3 6" xfId="27438" xr:uid="{EC756E6A-164B-45F9-9265-A0C9754624D1}"/>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9DBEDD10-1117-4D67-B3F4-FE43DB1B1504}"/>
    <cellStyle name="Comma 4 3 3 2 4 2 2 3" xfId="25773" xr:uid="{EBC2E179-0EA0-4F17-854A-83D8F7823A4A}"/>
    <cellStyle name="Comma 4 3 3 2 4 2 2 4" xfId="34213" xr:uid="{8E55B535-4C1C-4351-BEC3-1D275F2797B5}"/>
    <cellStyle name="Comma 4 3 3 2 4 2 3" xfId="13115" xr:uid="{B715B67E-3AD4-4C3C-9A4F-3EF05765DFBD}"/>
    <cellStyle name="Comma 4 3 3 2 4 2 4" xfId="21556" xr:uid="{BDB34609-72A9-4BCA-8AF2-EAA852B2A0FA}"/>
    <cellStyle name="Comma 4 3 3 2 4 2 5" xfId="29996" xr:uid="{14C8F14C-19E2-46F8-87E9-2BF7F67AED51}"/>
    <cellStyle name="Comma 4 3 3 2 4 3" xfId="5861" xr:uid="{00000000-0005-0000-0000-00007B090000}"/>
    <cellStyle name="Comma 4 3 3 2 4 3 2" xfId="15187" xr:uid="{D931E5C5-3902-4082-84A9-2AC0EF4783F3}"/>
    <cellStyle name="Comma 4 3 3 2 4 3 3" xfId="23628" xr:uid="{6D72183B-5055-4A45-AE40-2BD723AA8B9A}"/>
    <cellStyle name="Comma 4 3 3 2 4 3 4" xfId="32068" xr:uid="{6C9F528C-B810-4796-93BB-993842CD2B6D}"/>
    <cellStyle name="Comma 4 3 3 2 4 4" xfId="10970" xr:uid="{92F6E6F9-5B1C-419C-8E50-5D20CF24212F}"/>
    <cellStyle name="Comma 4 3 3 2 4 5" xfId="19411" xr:uid="{2D03EF40-D6D2-40C5-B9C3-0304D0F9F6BB}"/>
    <cellStyle name="Comma 4 3 3 2 4 6" xfId="27851" xr:uid="{B2FBC9D5-2106-4B46-A07E-3EF22AF15D32}"/>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4C27F1BC-BD76-4CD4-9535-3AB1EAD4C6FE}"/>
    <cellStyle name="Comma 4 3 3 2 5 2 2 3" xfId="26186" xr:uid="{73442D8D-34C5-4047-81E1-5BFE8C8208FF}"/>
    <cellStyle name="Comma 4 3 3 2 5 2 2 4" xfId="34626" xr:uid="{878F8135-290C-4BE4-87AB-D8465E2DA971}"/>
    <cellStyle name="Comma 4 3 3 2 5 2 3" xfId="13528" xr:uid="{5EEAEE50-C251-4D60-9AD6-A37EEE6CEB00}"/>
    <cellStyle name="Comma 4 3 3 2 5 2 4" xfId="21969" xr:uid="{35384006-DE10-4C6C-ADA2-8A0F82D2FBB3}"/>
    <cellStyle name="Comma 4 3 3 2 5 2 5" xfId="30409" xr:uid="{4B809D50-10E3-4997-A182-558EEA9F6096}"/>
    <cellStyle name="Comma 4 3 3 2 5 3" xfId="6274" xr:uid="{00000000-0005-0000-0000-00007F090000}"/>
    <cellStyle name="Comma 4 3 3 2 5 3 2" xfId="15600" xr:uid="{8059B892-5DF6-4774-8D19-D12DC669A780}"/>
    <cellStyle name="Comma 4 3 3 2 5 3 3" xfId="24041" xr:uid="{93B4A9B2-2DC7-4413-AB9C-CBD53F971D90}"/>
    <cellStyle name="Comma 4 3 3 2 5 3 4" xfId="32481" xr:uid="{56DE2353-3E8B-4325-BCE6-5810B0043670}"/>
    <cellStyle name="Comma 4 3 3 2 5 4" xfId="11383" xr:uid="{6CB6FCDD-00BD-4067-8436-8DC93AF0774D}"/>
    <cellStyle name="Comma 4 3 3 2 5 5" xfId="19824" xr:uid="{D7CB107D-0C4C-452B-B13D-673453C33CB0}"/>
    <cellStyle name="Comma 4 3 3 2 5 6" xfId="28264" xr:uid="{40FA152F-738C-4D38-A079-8FFF14B38D51}"/>
    <cellStyle name="Comma 4 3 3 2 6" xfId="2403" xr:uid="{00000000-0005-0000-0000-000080090000}"/>
    <cellStyle name="Comma 4 3 3 2 6 2" xfId="6687" xr:uid="{00000000-0005-0000-0000-000081090000}"/>
    <cellStyle name="Comma 4 3 3 2 6 2 2" xfId="16013" xr:uid="{6D0E347D-F888-45BF-B1AC-41BFCD7E26AF}"/>
    <cellStyle name="Comma 4 3 3 2 6 2 3" xfId="24454" xr:uid="{12D513E2-3755-4EBC-B837-F84C5CDD843E}"/>
    <cellStyle name="Comma 4 3 3 2 6 2 4" xfId="32894" xr:uid="{77697106-63AD-4707-9501-780697989EDF}"/>
    <cellStyle name="Comma 4 3 3 2 6 3" xfId="11796" xr:uid="{5B21F359-D134-43E1-8690-CAF1139FD97C}"/>
    <cellStyle name="Comma 4 3 3 2 6 4" xfId="20237" xr:uid="{FCB6DFA7-E3AC-47E9-BCE9-3351D6747947}"/>
    <cellStyle name="Comma 4 3 3 2 6 5" xfId="28677" xr:uid="{1A99766F-31DF-46D8-9EC5-EE25CE908E27}"/>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9F1032E9-86F1-4DB2-B449-47287F7F824A}"/>
    <cellStyle name="Comma 4 3 3 2 8 2 3" xfId="24771" xr:uid="{ED17F23C-8C7A-4686-A077-905EEDC16162}"/>
    <cellStyle name="Comma 4 3 3 2 8 2 4" xfId="33211" xr:uid="{0B439F80-CCAB-4299-A4BE-DBE094DC9B63}"/>
    <cellStyle name="Comma 4 3 3 2 8 3" xfId="12113" xr:uid="{BB19650A-8C4A-45B2-B947-8F7EB1A15394}"/>
    <cellStyle name="Comma 4 3 3 2 8 4" xfId="20554" xr:uid="{3FA4BBAA-B7D7-40ED-AE85-D25D850707BC}"/>
    <cellStyle name="Comma 4 3 3 2 8 5" xfId="28994" xr:uid="{D2ADEE4C-1656-40BC-A029-CADB8856A88E}"/>
    <cellStyle name="Comma 4 3 3 2 9" xfId="4621" xr:uid="{00000000-0005-0000-0000-000085090000}"/>
    <cellStyle name="Comma 4 3 3 2 9 2" xfId="13947" xr:uid="{681CCDD2-6202-4BF7-8D7C-E63A1E0DCF85}"/>
    <cellStyle name="Comma 4 3 3 2 9 3" xfId="22388" xr:uid="{D10B23C9-6806-4A21-A80F-F0C2F2050CF2}"/>
    <cellStyle name="Comma 4 3 3 2 9 4" xfId="30828" xr:uid="{ADA9A725-7368-405C-AE9F-EFF53F1133B4}"/>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AAA7D776-7A35-421B-ACA9-BDAAB8DA32C3}"/>
    <cellStyle name="Comma 4 3 3 3 2 2 3" xfId="24946" xr:uid="{36C2361A-E894-47D2-A479-67F405F84C5B}"/>
    <cellStyle name="Comma 4 3 3 3 2 2 4" xfId="33386" xr:uid="{6C874D20-2011-453E-B01D-4CE0FA7FF228}"/>
    <cellStyle name="Comma 4 3 3 3 2 3" xfId="12288" xr:uid="{82B1C39A-3866-49AA-980E-A9CC417CB824}"/>
    <cellStyle name="Comma 4 3 3 3 2 4" xfId="20729" xr:uid="{0F3344CD-FCE9-4EE8-AD3A-1880E02EC17A}"/>
    <cellStyle name="Comma 4 3 3 3 2 5" xfId="29169" xr:uid="{55BC4417-D70A-4E5E-89F3-7A6802D4713B}"/>
    <cellStyle name="Comma 4 3 3 3 3" xfId="5034" xr:uid="{00000000-0005-0000-0000-000089090000}"/>
    <cellStyle name="Comma 4 3 3 3 3 2" xfId="14360" xr:uid="{40ECFD6E-D617-48B0-ADD8-836C923B66DF}"/>
    <cellStyle name="Comma 4 3 3 3 3 3" xfId="22801" xr:uid="{80A147BC-6498-47D4-8CA7-7BEEBB87C000}"/>
    <cellStyle name="Comma 4 3 3 3 3 4" xfId="31241" xr:uid="{F703A1FA-C683-4B3E-8DC7-D08540B4683A}"/>
    <cellStyle name="Comma 4 3 3 3 4" xfId="9306" xr:uid="{6AC2749B-EC1D-4760-AD4B-F36381A669B6}"/>
    <cellStyle name="Comma 4 3 3 3 5" xfId="10143" xr:uid="{51E6C2A5-3CC9-4034-9799-C8E6CBA58B97}"/>
    <cellStyle name="Comma 4 3 3 3 6" xfId="18584" xr:uid="{3CC01D75-63A8-4616-890D-31AC87E169FF}"/>
    <cellStyle name="Comma 4 3 3 3 7" xfId="27024" xr:uid="{355380B8-8B1A-4722-B61C-E945115A10E7}"/>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86A800E8-C204-4A01-A580-989FE4FAE604}"/>
    <cellStyle name="Comma 4 3 3 4 2 2 3" xfId="25359" xr:uid="{CB0E7AF1-944B-4E08-92B0-105B6E91BE7D}"/>
    <cellStyle name="Comma 4 3 3 4 2 2 4" xfId="33799" xr:uid="{48C849C5-257C-4DA7-849B-71EC77CDC4C3}"/>
    <cellStyle name="Comma 4 3 3 4 2 3" xfId="12701" xr:uid="{A68AAD9A-F646-4733-87B2-DA2EEC62CF5B}"/>
    <cellStyle name="Comma 4 3 3 4 2 4" xfId="21142" xr:uid="{23A5761E-9D6E-4757-933D-AB3426023DDF}"/>
    <cellStyle name="Comma 4 3 3 4 2 5" xfId="29582" xr:uid="{DF0B5D19-9013-4A97-AF16-0B90A272351E}"/>
    <cellStyle name="Comma 4 3 3 4 3" xfId="5447" xr:uid="{00000000-0005-0000-0000-00008D090000}"/>
    <cellStyle name="Comma 4 3 3 4 3 2" xfId="14773" xr:uid="{923ADCC5-98B4-4B23-8817-32BF73CFB1E8}"/>
    <cellStyle name="Comma 4 3 3 4 3 3" xfId="23214" xr:uid="{F60D1C5B-7330-4336-9811-A7CC745A3A48}"/>
    <cellStyle name="Comma 4 3 3 4 3 4" xfId="31654" xr:uid="{A5E06B77-F088-436A-BCFE-FC137134E540}"/>
    <cellStyle name="Comma 4 3 3 4 4" xfId="10556" xr:uid="{F3C93D44-5AA7-47C9-A317-6E7CB0A90D5C}"/>
    <cellStyle name="Comma 4 3 3 4 5" xfId="18997" xr:uid="{B039EFB2-E6D7-4413-AA3B-701C6ADAC72D}"/>
    <cellStyle name="Comma 4 3 3 4 6" xfId="27437" xr:uid="{592F9ABC-CD87-4603-BC7B-E1EF44E8883F}"/>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06E0D04F-8651-49E3-90BC-8F5A58200E38}"/>
    <cellStyle name="Comma 4 3 3 5 2 2 3" xfId="25772" xr:uid="{9B4AF178-D783-43B7-A4E1-9D86D9B2297C}"/>
    <cellStyle name="Comma 4 3 3 5 2 2 4" xfId="34212" xr:uid="{00620000-0F26-4A01-BB27-AC05094CB3E5}"/>
    <cellStyle name="Comma 4 3 3 5 2 3" xfId="13114" xr:uid="{88D143F0-560A-42E2-9958-5259D7398515}"/>
    <cellStyle name="Comma 4 3 3 5 2 4" xfId="21555" xr:uid="{852633DA-791B-4547-9951-C3C89A8518BC}"/>
    <cellStyle name="Comma 4 3 3 5 2 5" xfId="29995" xr:uid="{04AC249B-DCB5-4FF2-864D-99DF823F9E0A}"/>
    <cellStyle name="Comma 4 3 3 5 3" xfId="5860" xr:uid="{00000000-0005-0000-0000-000091090000}"/>
    <cellStyle name="Comma 4 3 3 5 3 2" xfId="15186" xr:uid="{8624EE17-3D95-4934-9973-F2875D50A11D}"/>
    <cellStyle name="Comma 4 3 3 5 3 3" xfId="23627" xr:uid="{E63D2B5D-7DC1-43AE-8D5F-6125723AD4B0}"/>
    <cellStyle name="Comma 4 3 3 5 3 4" xfId="32067" xr:uid="{C975A4FC-91D3-48FB-BFE4-4452AB013200}"/>
    <cellStyle name="Comma 4 3 3 5 4" xfId="10969" xr:uid="{5A55511A-8585-43AF-AB51-72DCF2682C94}"/>
    <cellStyle name="Comma 4 3 3 5 5" xfId="19410" xr:uid="{E0326494-C76B-48F1-97E0-05C22CD10C94}"/>
    <cellStyle name="Comma 4 3 3 5 6" xfId="27850" xr:uid="{4863C4A7-4138-4AF1-A415-F469C0069FAD}"/>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FAF091E9-CBBB-4E22-9D4F-C618F0B9C38E}"/>
    <cellStyle name="Comma 4 3 3 6 2 2 3" xfId="26185" xr:uid="{51CF0F6B-6177-47E1-BC52-6A74D4969FD9}"/>
    <cellStyle name="Comma 4 3 3 6 2 2 4" xfId="34625" xr:uid="{9A5A4CBA-7D40-4C9E-B48F-D0A663510D34}"/>
    <cellStyle name="Comma 4 3 3 6 2 3" xfId="13527" xr:uid="{B7A2E27A-00A4-4873-BAA6-6C56A1B078E9}"/>
    <cellStyle name="Comma 4 3 3 6 2 4" xfId="21968" xr:uid="{FDC138E2-655C-4447-94CD-D7B1B04CB732}"/>
    <cellStyle name="Comma 4 3 3 6 2 5" xfId="30408" xr:uid="{1B2B0F43-0F8E-4585-BF9B-C296B9B8DCBB}"/>
    <cellStyle name="Comma 4 3 3 6 3" xfId="6273" xr:uid="{00000000-0005-0000-0000-000095090000}"/>
    <cellStyle name="Comma 4 3 3 6 3 2" xfId="15599" xr:uid="{F0CCBEE8-BF35-407A-AE00-FF0DC2FE0E59}"/>
    <cellStyle name="Comma 4 3 3 6 3 3" xfId="24040" xr:uid="{06B0D8AF-5705-4026-A809-BD0A1B63FE11}"/>
    <cellStyle name="Comma 4 3 3 6 3 4" xfId="32480" xr:uid="{03D934D7-91C5-4565-9983-8BDA43CC63C3}"/>
    <cellStyle name="Comma 4 3 3 6 4" xfId="11382" xr:uid="{4AA6A87B-8192-4EFB-BD90-9E17058C04A4}"/>
    <cellStyle name="Comma 4 3 3 6 5" xfId="19823" xr:uid="{B793A342-FEB7-40DA-A759-2C3DC2375527}"/>
    <cellStyle name="Comma 4 3 3 6 6" xfId="28263" xr:uid="{B8EA3EDD-451B-411D-84CD-1E9C69FE9FAD}"/>
    <cellStyle name="Comma 4 3 3 7" xfId="2402" xr:uid="{00000000-0005-0000-0000-000096090000}"/>
    <cellStyle name="Comma 4 3 3 7 2" xfId="6686" xr:uid="{00000000-0005-0000-0000-000097090000}"/>
    <cellStyle name="Comma 4 3 3 7 2 2" xfId="16012" xr:uid="{5E34CBF6-A694-462A-AB99-F5DE78A7AFE3}"/>
    <cellStyle name="Comma 4 3 3 7 2 3" xfId="24453" xr:uid="{85727F44-5789-4128-839A-6F7945DC9BA7}"/>
    <cellStyle name="Comma 4 3 3 7 2 4" xfId="32893" xr:uid="{77B6F694-26BF-4E42-895F-0A2C482DF0CE}"/>
    <cellStyle name="Comma 4 3 3 7 3" xfId="11795" xr:uid="{B9E9DBD6-4F88-407F-9324-DCADE5A052A3}"/>
    <cellStyle name="Comma 4 3 3 7 4" xfId="20236" xr:uid="{10E5487A-5D43-482C-9D9D-9A995B32E1A7}"/>
    <cellStyle name="Comma 4 3 3 7 5" xfId="28676" xr:uid="{7D2085D5-3084-4361-847D-DD27609DC367}"/>
    <cellStyle name="Comma 4 3 3 8" xfId="2361" xr:uid="{00000000-0005-0000-0000-000098090000}"/>
    <cellStyle name="Comma 4 3 3 9" xfId="2780" xr:uid="{00000000-0005-0000-0000-000099090000}"/>
    <cellStyle name="Comma 4 3 3 9 2" xfId="7003" xr:uid="{00000000-0005-0000-0000-00009A090000}"/>
    <cellStyle name="Comma 4 3 3 9 2 2" xfId="16329" xr:uid="{19376953-A608-4739-BDAA-F8005D84020A}"/>
    <cellStyle name="Comma 4 3 3 9 2 3" xfId="24770" xr:uid="{7E72585A-4A71-4523-8F99-EDCFE4D0D18C}"/>
    <cellStyle name="Comma 4 3 3 9 2 4" xfId="33210" xr:uid="{D3DA9166-E9F0-4BE5-85BE-486BE47B0227}"/>
    <cellStyle name="Comma 4 3 3 9 3" xfId="12112" xr:uid="{1D571A69-44F7-4E50-B57F-A881D0595A72}"/>
    <cellStyle name="Comma 4 3 3 9 4" xfId="20553" xr:uid="{9F49D17B-1D46-4CF0-8B07-95D2192FF4BC}"/>
    <cellStyle name="Comma 4 3 3 9 5" xfId="28993" xr:uid="{FAFF9C68-8FDD-446A-B6F9-D42E086E391F}"/>
    <cellStyle name="Comma 4 3 4" xfId="151" xr:uid="{00000000-0005-0000-0000-00009B090000}"/>
    <cellStyle name="Comma 4 3 4 10" xfId="8985" xr:uid="{E965CEC1-A932-4F91-9E18-794CBF7DC7FC}"/>
    <cellStyle name="Comma 4 3 4 11" xfId="9731" xr:uid="{539FF3EB-6FED-43F1-8505-CA2EFB5EE0C6}"/>
    <cellStyle name="Comma 4 3 4 12" xfId="18172" xr:uid="{0B50F7D6-AA43-4D56-BF40-5D48776CA972}"/>
    <cellStyle name="Comma 4 3 4 13" xfId="26612" xr:uid="{A3B37F02-4116-49EF-A27C-5BBA44133628}"/>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39506AC9-DC20-4F57-9937-38B4A80AC1FC}"/>
    <cellStyle name="Comma 4 3 4 2 2 2 3" xfId="24948" xr:uid="{8C3991B6-EB72-469F-BDDE-E99E2ED0535E}"/>
    <cellStyle name="Comma 4 3 4 2 2 2 4" xfId="33388" xr:uid="{6F82BC98-C06B-4A55-A19D-EB2E38CE0F2B}"/>
    <cellStyle name="Comma 4 3 4 2 2 3" xfId="12290" xr:uid="{2AEB040A-77DA-4EB7-866C-9A202085FA3E}"/>
    <cellStyle name="Comma 4 3 4 2 2 4" xfId="20731" xr:uid="{5A50D4D8-75DA-479E-BECB-CCE10008319B}"/>
    <cellStyle name="Comma 4 3 4 2 2 5" xfId="29171" xr:uid="{D8C9680A-45BC-429A-A499-1F2575638DD6}"/>
    <cellStyle name="Comma 4 3 4 2 3" xfId="5036" xr:uid="{00000000-0005-0000-0000-00009F090000}"/>
    <cellStyle name="Comma 4 3 4 2 3 2" xfId="14362" xr:uid="{B45194BF-31A8-4A8D-9C64-9D91DA0D5B8D}"/>
    <cellStyle name="Comma 4 3 4 2 3 3" xfId="22803" xr:uid="{B264A436-F651-456C-8C04-8B3F2FA86FDA}"/>
    <cellStyle name="Comma 4 3 4 2 3 4" xfId="31243" xr:uid="{E94B1CAD-1711-452C-B33D-CFC027335541}"/>
    <cellStyle name="Comma 4 3 4 2 4" xfId="9410" xr:uid="{54DEC146-6204-4AAF-A15F-BAC0A12B5984}"/>
    <cellStyle name="Comma 4 3 4 2 5" xfId="10145" xr:uid="{636D26C8-A81B-40E5-A8EB-3A86D80A773B}"/>
    <cellStyle name="Comma 4 3 4 2 6" xfId="18586" xr:uid="{75D04696-41D7-4530-AD7D-4D66D5798020}"/>
    <cellStyle name="Comma 4 3 4 2 7" xfId="27026" xr:uid="{E7721FA3-2E1D-4C15-B9CE-049DD1EC2894}"/>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BD8D0EE1-AFF4-4701-A6A7-212849136FF0}"/>
    <cellStyle name="Comma 4 3 4 3 2 2 3" xfId="25361" xr:uid="{9B04395C-078C-4D68-B4B6-A95172C84C2A}"/>
    <cellStyle name="Comma 4 3 4 3 2 2 4" xfId="33801" xr:uid="{BF20EA76-E126-4170-B50F-E1312420394A}"/>
    <cellStyle name="Comma 4 3 4 3 2 3" xfId="12703" xr:uid="{83D3900D-6772-4953-BEEE-737A6C7C2506}"/>
    <cellStyle name="Comma 4 3 4 3 2 4" xfId="21144" xr:uid="{43C31AB8-0BD8-4579-8423-FBF73E279F50}"/>
    <cellStyle name="Comma 4 3 4 3 2 5" xfId="29584" xr:uid="{5E426CA0-0DB4-43F7-9F3E-316FE1DACE92}"/>
    <cellStyle name="Comma 4 3 4 3 3" xfId="5449" xr:uid="{00000000-0005-0000-0000-0000A3090000}"/>
    <cellStyle name="Comma 4 3 4 3 3 2" xfId="14775" xr:uid="{8DABCD20-91EC-4256-80E7-FFC34D46D3AE}"/>
    <cellStyle name="Comma 4 3 4 3 3 3" xfId="23216" xr:uid="{EB323CD9-834E-496B-9716-D8E1184BB0D1}"/>
    <cellStyle name="Comma 4 3 4 3 3 4" xfId="31656" xr:uid="{7C121D29-781A-4897-B29F-DD7DFCFD31F8}"/>
    <cellStyle name="Comma 4 3 4 3 4" xfId="10558" xr:uid="{ADF15700-BFA6-4B64-8730-1EB29484FE07}"/>
    <cellStyle name="Comma 4 3 4 3 5" xfId="18999" xr:uid="{1F3EE17E-75BC-46EF-B427-E5F37E672307}"/>
    <cellStyle name="Comma 4 3 4 3 6" xfId="27439" xr:uid="{C7651421-EE02-4D04-BEDB-61294D7579BF}"/>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508E4921-E894-44B2-A5C8-13B77C50C2D9}"/>
    <cellStyle name="Comma 4 3 4 4 2 2 3" xfId="25774" xr:uid="{CC86FAFD-3C44-4318-8EDF-31A1E38D19CE}"/>
    <cellStyle name="Comma 4 3 4 4 2 2 4" xfId="34214" xr:uid="{AE60020C-68EA-4F93-9219-81ACB53CDC50}"/>
    <cellStyle name="Comma 4 3 4 4 2 3" xfId="13116" xr:uid="{66EB61A1-09E3-4981-94CE-B102119DB98F}"/>
    <cellStyle name="Comma 4 3 4 4 2 4" xfId="21557" xr:uid="{5B35873F-A464-40DD-A472-82D495FB5E38}"/>
    <cellStyle name="Comma 4 3 4 4 2 5" xfId="29997" xr:uid="{B8FAA7C0-509A-4B58-A0E5-2E9603264EEB}"/>
    <cellStyle name="Comma 4 3 4 4 3" xfId="5862" xr:uid="{00000000-0005-0000-0000-0000A7090000}"/>
    <cellStyle name="Comma 4 3 4 4 3 2" xfId="15188" xr:uid="{D9A296C0-2C27-48B6-862A-CAE1EB4460EF}"/>
    <cellStyle name="Comma 4 3 4 4 3 3" xfId="23629" xr:uid="{40CBF1A9-B66A-42E1-A490-7696656878E8}"/>
    <cellStyle name="Comma 4 3 4 4 3 4" xfId="32069" xr:uid="{5254D1D0-6067-4D1E-B1D6-3D12264BA025}"/>
    <cellStyle name="Comma 4 3 4 4 4" xfId="10971" xr:uid="{2027E232-A175-4D09-9278-52F2341CC8AA}"/>
    <cellStyle name="Comma 4 3 4 4 5" xfId="19412" xr:uid="{CE6EA779-A871-4712-AE1D-C7A4A0045A2F}"/>
    <cellStyle name="Comma 4 3 4 4 6" xfId="27852" xr:uid="{8509F6D8-1465-48EA-AE93-B6E12A5E804A}"/>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7432CF27-1039-4F99-8503-DBC9F9061CCF}"/>
    <cellStyle name="Comma 4 3 4 5 2 2 3" xfId="26187" xr:uid="{83A88448-39FB-4C59-961F-5F8784C08021}"/>
    <cellStyle name="Comma 4 3 4 5 2 2 4" xfId="34627" xr:uid="{9341F761-081F-4A7D-93EE-F774B5C2145F}"/>
    <cellStyle name="Comma 4 3 4 5 2 3" xfId="13529" xr:uid="{5A69CBD5-CF8B-4BEE-A91B-20502BD0A6F0}"/>
    <cellStyle name="Comma 4 3 4 5 2 4" xfId="21970" xr:uid="{E4E18470-C527-49FB-ACE5-43DF182C5F9A}"/>
    <cellStyle name="Comma 4 3 4 5 2 5" xfId="30410" xr:uid="{2D60987F-368B-49E9-8953-76E8DB1AFD03}"/>
    <cellStyle name="Comma 4 3 4 5 3" xfId="6275" xr:uid="{00000000-0005-0000-0000-0000AB090000}"/>
    <cellStyle name="Comma 4 3 4 5 3 2" xfId="15601" xr:uid="{B3F575C1-1380-4DB6-B67E-D482D8948692}"/>
    <cellStyle name="Comma 4 3 4 5 3 3" xfId="24042" xr:uid="{8AE52C8C-182A-4CDA-904A-26B88ACE672A}"/>
    <cellStyle name="Comma 4 3 4 5 3 4" xfId="32482" xr:uid="{0908AF58-E82D-4C0B-9A47-5011537EE80E}"/>
    <cellStyle name="Comma 4 3 4 5 4" xfId="11384" xr:uid="{2FCF7562-327D-4CCF-8AFD-4FD9AFD95F99}"/>
    <cellStyle name="Comma 4 3 4 5 5" xfId="19825" xr:uid="{FD034795-1AB0-400D-892F-99C165862206}"/>
    <cellStyle name="Comma 4 3 4 5 6" xfId="28265" xr:uid="{ED00AD37-0615-4214-ACF5-D2883129B188}"/>
    <cellStyle name="Comma 4 3 4 6" xfId="2404" xr:uid="{00000000-0005-0000-0000-0000AC090000}"/>
    <cellStyle name="Comma 4 3 4 6 2" xfId="6688" xr:uid="{00000000-0005-0000-0000-0000AD090000}"/>
    <cellStyle name="Comma 4 3 4 6 2 2" xfId="16014" xr:uid="{36021BC1-2D33-425C-9C97-BE44DF718BD1}"/>
    <cellStyle name="Comma 4 3 4 6 2 3" xfId="24455" xr:uid="{5A58CDA4-4342-402F-B736-50655D185443}"/>
    <cellStyle name="Comma 4 3 4 6 2 4" xfId="32895" xr:uid="{7599FC27-F498-4C6E-8BC9-5A036A8D8A21}"/>
    <cellStyle name="Comma 4 3 4 6 3" xfId="11797" xr:uid="{3E69A2F7-2440-47C6-B15B-12C80AA7BB27}"/>
    <cellStyle name="Comma 4 3 4 6 4" xfId="20238" xr:uid="{C4582005-BA96-4D48-B4E2-3366E988F255}"/>
    <cellStyle name="Comma 4 3 4 6 5" xfId="28678" xr:uid="{DE852D4C-8850-4E30-81E7-2A666D53387F}"/>
    <cellStyle name="Comma 4 3 4 7" xfId="2700" xr:uid="{00000000-0005-0000-0000-0000AE090000}"/>
    <cellStyle name="Comma 4 3 4 8" xfId="2782" xr:uid="{00000000-0005-0000-0000-0000AF090000}"/>
    <cellStyle name="Comma 4 3 4 8 2" xfId="7005" xr:uid="{00000000-0005-0000-0000-0000B0090000}"/>
    <cellStyle name="Comma 4 3 4 8 2 2" xfId="16331" xr:uid="{1EC34CBA-E255-4194-B171-0DDCD174ADBB}"/>
    <cellStyle name="Comma 4 3 4 8 2 3" xfId="24772" xr:uid="{D4CABB4C-5BCE-49CF-A821-66F50ECC8309}"/>
    <cellStyle name="Comma 4 3 4 8 2 4" xfId="33212" xr:uid="{B284112D-AF04-449D-A450-8933BF44CA3F}"/>
    <cellStyle name="Comma 4 3 4 8 3" xfId="12114" xr:uid="{AB128920-F12A-4AB0-9CA7-9C8CCDB20794}"/>
    <cellStyle name="Comma 4 3 4 8 4" xfId="20555" xr:uid="{8936FC43-39B3-4BE3-A40D-8E95E0673569}"/>
    <cellStyle name="Comma 4 3 4 8 5" xfId="28995" xr:uid="{7EEB6758-D665-451E-815C-E1BB69608690}"/>
    <cellStyle name="Comma 4 3 4 9" xfId="4622" xr:uid="{00000000-0005-0000-0000-0000B1090000}"/>
    <cellStyle name="Comma 4 3 4 9 2" xfId="13948" xr:uid="{C41DF4A4-89BB-4252-846D-F81C6E5CA0AF}"/>
    <cellStyle name="Comma 4 3 4 9 3" xfId="22389" xr:uid="{FE97937A-37C8-4010-90EE-2D2B89F4A35A}"/>
    <cellStyle name="Comma 4 3 4 9 4" xfId="30829" xr:uid="{228F07A6-B74E-4B21-8884-7D259F9C6DFB}"/>
    <cellStyle name="Comma 4 3 5" xfId="152" xr:uid="{00000000-0005-0000-0000-0000B2090000}"/>
    <cellStyle name="Comma 4 3 5 10" xfId="9202" xr:uid="{BF5456DA-E11C-47BD-8210-21F45D9E5F79}"/>
    <cellStyle name="Comma 4 3 5 11" xfId="9732" xr:uid="{DFE1523E-163B-4E66-BF4A-A92B7BF2FC00}"/>
    <cellStyle name="Comma 4 3 5 12" xfId="18173" xr:uid="{D7EFA833-A7C8-4955-B3B8-35A337A5502E}"/>
    <cellStyle name="Comma 4 3 5 13" xfId="26613" xr:uid="{84C48F59-BF96-40B9-9B94-EC4946A0818D}"/>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91A3FCFE-181B-4842-B083-B348D47AEF0E}"/>
    <cellStyle name="Comma 4 3 5 2 2 2 3" xfId="24949" xr:uid="{DD0C5684-3AAB-4481-AD1A-9CF46A3B71C9}"/>
    <cellStyle name="Comma 4 3 5 2 2 2 4" xfId="33389" xr:uid="{956F8C29-0D12-444B-9EB8-1FDA9049413A}"/>
    <cellStyle name="Comma 4 3 5 2 2 3" xfId="12291" xr:uid="{5C74872F-0837-42D6-B8EE-088F335CB7CD}"/>
    <cellStyle name="Comma 4 3 5 2 2 4" xfId="20732" xr:uid="{966F6CA7-A8AE-4CCC-8CF9-7FC51B3E5A55}"/>
    <cellStyle name="Comma 4 3 5 2 2 5" xfId="29172" xr:uid="{39C5A557-CA7D-463C-BE1C-1600A9FF2D2E}"/>
    <cellStyle name="Comma 4 3 5 2 3" xfId="5037" xr:uid="{00000000-0005-0000-0000-0000B6090000}"/>
    <cellStyle name="Comma 4 3 5 2 3 2" xfId="14363" xr:uid="{D449B105-B428-4F7C-A11D-FA531CC4812F}"/>
    <cellStyle name="Comma 4 3 5 2 3 3" xfId="22804" xr:uid="{6C696585-EBF9-4965-BBAA-28A7DCCDA37B}"/>
    <cellStyle name="Comma 4 3 5 2 3 4" xfId="31244" xr:uid="{451DB111-757D-433C-89BB-5DE7D8B78787}"/>
    <cellStyle name="Comma 4 3 5 2 4" xfId="9595" xr:uid="{3E6BF710-D2EA-4AFB-83F1-C6BF1C2192FF}"/>
    <cellStyle name="Comma 4 3 5 2 5" xfId="10146" xr:uid="{D87D27E5-B371-41E9-B3EF-AA7BFB882610}"/>
    <cellStyle name="Comma 4 3 5 2 6" xfId="18587" xr:uid="{AF82DAFC-57E6-4E9A-9767-33CCEB994E79}"/>
    <cellStyle name="Comma 4 3 5 2 7" xfId="27027" xr:uid="{59B661AA-D80F-4ABF-A66B-C012E1B4C656}"/>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9B04CF03-3DFF-456C-AE30-D2A4ACD23CAE}"/>
    <cellStyle name="Comma 4 3 5 3 2 2 3" xfId="25362" xr:uid="{7D9FF047-2F94-4011-981D-CDE66BFD6E24}"/>
    <cellStyle name="Comma 4 3 5 3 2 2 4" xfId="33802" xr:uid="{D0028898-BF1C-4EFF-B8E3-775F397FFC46}"/>
    <cellStyle name="Comma 4 3 5 3 2 3" xfId="12704" xr:uid="{DB021074-AD1E-40B0-B50A-058F18F90F99}"/>
    <cellStyle name="Comma 4 3 5 3 2 4" xfId="21145" xr:uid="{FB6CD3B1-1D4D-4325-9B78-C4498670723E}"/>
    <cellStyle name="Comma 4 3 5 3 2 5" xfId="29585" xr:uid="{D537C8DE-83EA-4796-BA9B-1C7884A95435}"/>
    <cellStyle name="Comma 4 3 5 3 3" xfId="5450" xr:uid="{00000000-0005-0000-0000-0000BA090000}"/>
    <cellStyle name="Comma 4 3 5 3 3 2" xfId="14776" xr:uid="{D505C9E2-F622-450F-ACB9-D1B23C35B065}"/>
    <cellStyle name="Comma 4 3 5 3 3 3" xfId="23217" xr:uid="{6552CF86-00D5-4C2D-AD13-5B7D03C890AC}"/>
    <cellStyle name="Comma 4 3 5 3 3 4" xfId="31657" xr:uid="{8D168B1F-779C-45EF-94AB-22D9DF3A4141}"/>
    <cellStyle name="Comma 4 3 5 3 4" xfId="10559" xr:uid="{86050CBA-DA9D-42DF-A84D-27849EA7B98D}"/>
    <cellStyle name="Comma 4 3 5 3 5" xfId="19000" xr:uid="{5D6C3734-0C3D-449A-B24F-D195A6D2FB1D}"/>
    <cellStyle name="Comma 4 3 5 3 6" xfId="27440" xr:uid="{50D450F3-0D57-4A19-967E-E66BDA38AC0E}"/>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05085F29-DE73-4144-9AFD-4C29E911E06C}"/>
    <cellStyle name="Comma 4 3 5 4 2 2 3" xfId="25775" xr:uid="{34912FB6-6D78-4F55-AD69-7AAC39B64777}"/>
    <cellStyle name="Comma 4 3 5 4 2 2 4" xfId="34215" xr:uid="{62940233-27BA-4372-91FD-98E06351ACD9}"/>
    <cellStyle name="Comma 4 3 5 4 2 3" xfId="13117" xr:uid="{EFE9C64C-4515-4988-8A04-73231CB988CC}"/>
    <cellStyle name="Comma 4 3 5 4 2 4" xfId="21558" xr:uid="{284C3D92-03B0-41BD-AF78-E66A36659160}"/>
    <cellStyle name="Comma 4 3 5 4 2 5" xfId="29998" xr:uid="{CF5B125C-FD4D-4516-AC34-FB127331513E}"/>
    <cellStyle name="Comma 4 3 5 4 3" xfId="5863" xr:uid="{00000000-0005-0000-0000-0000BE090000}"/>
    <cellStyle name="Comma 4 3 5 4 3 2" xfId="15189" xr:uid="{291F1BEF-22C4-441F-8A02-4A58ADAF60E2}"/>
    <cellStyle name="Comma 4 3 5 4 3 3" xfId="23630" xr:uid="{24AEA1E7-9C74-42EA-B9BD-62EFA43F50CB}"/>
    <cellStyle name="Comma 4 3 5 4 3 4" xfId="32070" xr:uid="{8476AAF6-AC1D-4AD6-95B5-C62100F87C54}"/>
    <cellStyle name="Comma 4 3 5 4 4" xfId="10972" xr:uid="{45218D97-ECD4-4DB0-A797-93392D4B50B0}"/>
    <cellStyle name="Comma 4 3 5 4 5" xfId="19413" xr:uid="{6C0A3770-37B1-415A-92DF-1FC7B591DE30}"/>
    <cellStyle name="Comma 4 3 5 4 6" xfId="27853" xr:uid="{90CEF2DB-C4A2-4BA8-A64D-7A4BF3C5D692}"/>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7F68F8D8-33CC-4D14-9231-0A20E2D4545F}"/>
    <cellStyle name="Comma 4 3 5 5 2 2 3" xfId="26188" xr:uid="{6EB51933-5856-4904-AD08-1F1F2E9C76C3}"/>
    <cellStyle name="Comma 4 3 5 5 2 2 4" xfId="34628" xr:uid="{E6F01339-F102-4389-BEE9-6F5B0A86C548}"/>
    <cellStyle name="Comma 4 3 5 5 2 3" xfId="13530" xr:uid="{0E534020-6B43-46B3-BF84-0541600130C4}"/>
    <cellStyle name="Comma 4 3 5 5 2 4" xfId="21971" xr:uid="{C43A6792-939E-4237-8514-C11C0A7E31D6}"/>
    <cellStyle name="Comma 4 3 5 5 2 5" xfId="30411" xr:uid="{2236BA02-061E-436A-84FE-FC7AAA708409}"/>
    <cellStyle name="Comma 4 3 5 5 3" xfId="6276" xr:uid="{00000000-0005-0000-0000-0000C2090000}"/>
    <cellStyle name="Comma 4 3 5 5 3 2" xfId="15602" xr:uid="{CD4E8C15-1C03-4FE8-BAB2-3910943AEBA4}"/>
    <cellStyle name="Comma 4 3 5 5 3 3" xfId="24043" xr:uid="{2134D24E-740A-492C-9ECF-602BBFD8AF86}"/>
    <cellStyle name="Comma 4 3 5 5 3 4" xfId="32483" xr:uid="{D3CD3338-CD3C-4C17-AF96-14CEF0187C16}"/>
    <cellStyle name="Comma 4 3 5 5 4" xfId="11385" xr:uid="{9980B769-6742-49F8-AD9D-4BF24C573541}"/>
    <cellStyle name="Comma 4 3 5 5 5" xfId="19826" xr:uid="{446584E7-B527-4CF0-A7B2-292ACB957A8B}"/>
    <cellStyle name="Comma 4 3 5 5 6" xfId="28266" xr:uid="{F5CAA7F2-1E47-4B5F-8FEC-48208AA8970F}"/>
    <cellStyle name="Comma 4 3 5 6" xfId="2405" xr:uid="{00000000-0005-0000-0000-0000C3090000}"/>
    <cellStyle name="Comma 4 3 5 6 2" xfId="6689" xr:uid="{00000000-0005-0000-0000-0000C4090000}"/>
    <cellStyle name="Comma 4 3 5 6 2 2" xfId="16015" xr:uid="{75D5B64A-21B2-4B00-8D97-E0D969ADE014}"/>
    <cellStyle name="Comma 4 3 5 6 2 3" xfId="24456" xr:uid="{843A6BE1-04D7-47F7-A22C-90E1D0E8AA71}"/>
    <cellStyle name="Comma 4 3 5 6 2 4" xfId="32896" xr:uid="{F6A5455A-B888-41AE-AC35-F8A8B4C7F189}"/>
    <cellStyle name="Comma 4 3 5 6 3" xfId="11798" xr:uid="{58C47A8D-BDF4-4144-83CE-E3E5FB73BE99}"/>
    <cellStyle name="Comma 4 3 5 6 4" xfId="20239" xr:uid="{43175744-9952-4CB9-83D6-491446AE4B2F}"/>
    <cellStyle name="Comma 4 3 5 6 5" xfId="28679" xr:uid="{B97A49C3-7B39-4422-8FB9-2AE8DEF83D91}"/>
    <cellStyle name="Comma 4 3 5 7" xfId="2701" xr:uid="{00000000-0005-0000-0000-0000C5090000}"/>
    <cellStyle name="Comma 4 3 5 8" xfId="2783" xr:uid="{00000000-0005-0000-0000-0000C6090000}"/>
    <cellStyle name="Comma 4 3 5 8 2" xfId="7006" xr:uid="{00000000-0005-0000-0000-0000C7090000}"/>
    <cellStyle name="Comma 4 3 5 8 2 2" xfId="16332" xr:uid="{38912D41-2FF9-4380-90A5-651E53C24726}"/>
    <cellStyle name="Comma 4 3 5 8 2 3" xfId="24773" xr:uid="{19E9D664-BC96-4634-9D5E-3751E051DBCB}"/>
    <cellStyle name="Comma 4 3 5 8 2 4" xfId="33213" xr:uid="{AE8CD64B-9A8C-4E90-AB81-987352473C50}"/>
    <cellStyle name="Comma 4 3 5 8 3" xfId="12115" xr:uid="{1F0225C8-A77F-4D55-A1C5-605A97A5C48B}"/>
    <cellStyle name="Comma 4 3 5 8 4" xfId="20556" xr:uid="{66314BB2-4DE7-4297-B0C7-3B58CFADC447}"/>
    <cellStyle name="Comma 4 3 5 8 5" xfId="28996" xr:uid="{DB5DE02F-B6C3-4DFB-86F7-11F68744540B}"/>
    <cellStyle name="Comma 4 3 5 9" xfId="4623" xr:uid="{00000000-0005-0000-0000-0000C8090000}"/>
    <cellStyle name="Comma 4 3 5 9 2" xfId="13949" xr:uid="{3EEAAB46-760F-4244-BEB7-A02B784942BD}"/>
    <cellStyle name="Comma 4 3 5 9 3" xfId="22390" xr:uid="{EE52B85A-C2F8-433E-B230-5E34282B965D}"/>
    <cellStyle name="Comma 4 3 5 9 4" xfId="30830" xr:uid="{450F6C7A-DEAF-44CC-BF38-FE6A467BCEA8}"/>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6333" xr:uid="{4AFA9C90-8C7B-4836-878E-738C01B49900}"/>
    <cellStyle name="Comma 4 4 10 2 3" xfId="24774" xr:uid="{61908767-9139-4333-A799-32A7D93B4828}"/>
    <cellStyle name="Comma 4 4 10 2 4" xfId="33214" xr:uid="{0753526D-5006-41B6-849E-33B6CE7CA895}"/>
    <cellStyle name="Comma 4 4 10 3" xfId="12116" xr:uid="{469CA967-922E-4D7C-AC08-AB2F8AE326EB}"/>
    <cellStyle name="Comma 4 4 10 4" xfId="20557" xr:uid="{30E9C571-1FD5-40E4-B8AB-E6C4EEA77B6D}"/>
    <cellStyle name="Comma 4 4 10 5" xfId="28997" xr:uid="{360DDC95-DBC1-4E19-B40C-72FDB8DC2D71}"/>
    <cellStyle name="Comma 4 4 11" xfId="4624" xr:uid="{00000000-0005-0000-0000-0000CC090000}"/>
    <cellStyle name="Comma 4 4 11 2" xfId="13950" xr:uid="{D2AA469E-60DC-4B2A-96FE-2F7FD08CDCAF}"/>
    <cellStyle name="Comma 4 4 11 3" xfId="22391" xr:uid="{B3306A7C-C0B3-4CCB-BD4B-75C82AC8E474}"/>
    <cellStyle name="Comma 4 4 11 4" xfId="30831" xr:uid="{FFC3C4B2-FAE5-4FDD-9985-B11209E47C8D}"/>
    <cellStyle name="Comma 4 4 12" xfId="8804" xr:uid="{A2BB6322-7771-45CD-845C-77E2FE03AC7A}"/>
    <cellStyle name="Comma 4 4 13" xfId="9733" xr:uid="{87629096-4B95-429A-886E-C8F1E690C0D9}"/>
    <cellStyle name="Comma 4 4 14" xfId="18174" xr:uid="{974192ED-449D-4621-B476-3F462150E7B4}"/>
    <cellStyle name="Comma 4 4 15" xfId="26614" xr:uid="{7DEDB0CB-98F4-4260-8D92-A8992E475450}"/>
    <cellStyle name="Comma 4 4 2" xfId="154" xr:uid="{00000000-0005-0000-0000-0000CD090000}"/>
    <cellStyle name="Comma 4 4 2 10" xfId="4625" xr:uid="{00000000-0005-0000-0000-0000CE090000}"/>
    <cellStyle name="Comma 4 4 2 10 2" xfId="13951" xr:uid="{C6853B44-8F44-455A-A0B3-4D356CE6C677}"/>
    <cellStyle name="Comma 4 4 2 10 3" xfId="22392" xr:uid="{59773CD8-B596-4DB4-B59B-447E39E24DC1}"/>
    <cellStyle name="Comma 4 4 2 10 4" xfId="30832" xr:uid="{A92ED47F-24D8-4FB7-83AD-EEE12D573201}"/>
    <cellStyle name="Comma 4 4 2 11" xfId="8907" xr:uid="{F9F87618-3BA1-4211-A686-62CF5BBA5770}"/>
    <cellStyle name="Comma 4 4 2 12" xfId="9734" xr:uid="{A8AAEDB0-2666-4606-AE54-702E26ED3727}"/>
    <cellStyle name="Comma 4 4 2 13" xfId="18175" xr:uid="{49B911C1-A95B-412D-8A62-3C5B8BAF358F}"/>
    <cellStyle name="Comma 4 4 2 14" xfId="26615" xr:uid="{E7C702B2-6EB1-44FA-9A0C-98CB2B26D822}"/>
    <cellStyle name="Comma 4 4 2 2" xfId="155" xr:uid="{00000000-0005-0000-0000-0000CF090000}"/>
    <cellStyle name="Comma 4 4 2 2 10" xfId="9114" xr:uid="{871FAC03-A44E-4C24-806C-3CC0605FD124}"/>
    <cellStyle name="Comma 4 4 2 2 11" xfId="9735" xr:uid="{DFA9354E-653E-482F-A1F7-2C7E9ECE10F2}"/>
    <cellStyle name="Comma 4 4 2 2 12" xfId="18176" xr:uid="{35030A10-44B1-47D8-A054-69C3BD3928E7}"/>
    <cellStyle name="Comma 4 4 2 2 13" xfId="26616" xr:uid="{7D02264C-CEB9-4900-8426-8AC78A8350F6}"/>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7EA4FD38-BA33-46A3-AB16-C832ADD8624C}"/>
    <cellStyle name="Comma 4 4 2 2 2 2 2 3" xfId="24952" xr:uid="{5DC2F523-9FCA-4E11-8291-AFDC1310D1B5}"/>
    <cellStyle name="Comma 4 4 2 2 2 2 2 4" xfId="33392" xr:uid="{D8D3396C-7F87-4632-9CAF-85227DF29679}"/>
    <cellStyle name="Comma 4 4 2 2 2 2 3" xfId="12294" xr:uid="{E68D2000-6D10-451B-8BAA-C71513E72CFC}"/>
    <cellStyle name="Comma 4 4 2 2 2 2 4" xfId="20735" xr:uid="{5D5EF162-7FF2-4206-A473-AEBC0E8EF187}"/>
    <cellStyle name="Comma 4 4 2 2 2 2 5" xfId="29175" xr:uid="{5EC234CA-5828-4AB3-BBCB-A50498CD2AA8}"/>
    <cellStyle name="Comma 4 4 2 2 2 3" xfId="5040" xr:uid="{00000000-0005-0000-0000-0000D3090000}"/>
    <cellStyle name="Comma 4 4 2 2 2 3 2" xfId="14366" xr:uid="{A5AAFA48-A1C7-49DA-80F8-71FCE0DB17AA}"/>
    <cellStyle name="Comma 4 4 2 2 2 3 3" xfId="22807" xr:uid="{3D6798D2-B0DD-4E60-A891-C9DB366964C4}"/>
    <cellStyle name="Comma 4 4 2 2 2 3 4" xfId="31247" xr:uid="{FDA54098-819C-4032-9C1F-822D45623FD4}"/>
    <cellStyle name="Comma 4 4 2 2 2 4" xfId="9539" xr:uid="{6209A471-8158-46C6-9ADA-C828BB6621B2}"/>
    <cellStyle name="Comma 4 4 2 2 2 5" xfId="10149" xr:uid="{CEC9A49B-B7A0-485C-B986-66D261212FDD}"/>
    <cellStyle name="Comma 4 4 2 2 2 6" xfId="18590" xr:uid="{B71F9198-1238-4B5A-A3DE-2488B5D1D09A}"/>
    <cellStyle name="Comma 4 4 2 2 2 7" xfId="27030" xr:uid="{8FC12F1B-A5AA-4F97-B4FC-71116C4F28AA}"/>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335228B5-122F-4C52-B015-0D95C3DADD2A}"/>
    <cellStyle name="Comma 4 4 2 2 3 2 2 3" xfId="25365" xr:uid="{C0C033EF-965D-48C0-B6C2-59A5006EE952}"/>
    <cellStyle name="Comma 4 4 2 2 3 2 2 4" xfId="33805" xr:uid="{3DE0D186-AD80-4E4E-BCC2-28728B4FF367}"/>
    <cellStyle name="Comma 4 4 2 2 3 2 3" xfId="12707" xr:uid="{520D6EEA-28AD-4A37-8ABD-2D7A06407063}"/>
    <cellStyle name="Comma 4 4 2 2 3 2 4" xfId="21148" xr:uid="{67A2D489-074F-464C-869C-6B0D2BA9FE48}"/>
    <cellStyle name="Comma 4 4 2 2 3 2 5" xfId="29588" xr:uid="{07305228-A38A-4BFD-B386-52715B4B37A2}"/>
    <cellStyle name="Comma 4 4 2 2 3 3" xfId="5453" xr:uid="{00000000-0005-0000-0000-0000D7090000}"/>
    <cellStyle name="Comma 4 4 2 2 3 3 2" xfId="14779" xr:uid="{A4DE3C71-6C70-4953-9C2B-3F09A7E48293}"/>
    <cellStyle name="Comma 4 4 2 2 3 3 3" xfId="23220" xr:uid="{71750804-F553-410B-8885-2D67CF27AB95}"/>
    <cellStyle name="Comma 4 4 2 2 3 3 4" xfId="31660" xr:uid="{B414BE40-A99F-41A2-BEAC-DF216C220807}"/>
    <cellStyle name="Comma 4 4 2 2 3 4" xfId="10562" xr:uid="{F0BF008A-7077-424B-8EB5-415D9A31C01F}"/>
    <cellStyle name="Comma 4 4 2 2 3 5" xfId="19003" xr:uid="{F9399CA0-E1DF-4567-B992-F4976E1F3F7E}"/>
    <cellStyle name="Comma 4 4 2 2 3 6" xfId="27443" xr:uid="{B11A4989-8AB7-4A7F-920A-3A836DFC86A4}"/>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74DC641A-DAD3-4493-9A0B-0952A3058CE1}"/>
    <cellStyle name="Comma 4 4 2 2 4 2 2 3" xfId="25778" xr:uid="{43BB5C8F-22A4-4807-B1C0-AF9B122B1E7C}"/>
    <cellStyle name="Comma 4 4 2 2 4 2 2 4" xfId="34218" xr:uid="{3E80604C-6865-43F6-A01F-A17207E358E1}"/>
    <cellStyle name="Comma 4 4 2 2 4 2 3" xfId="13120" xr:uid="{D83700DF-FAC1-4B43-841F-E213708638B9}"/>
    <cellStyle name="Comma 4 4 2 2 4 2 4" xfId="21561" xr:uid="{0925F44E-7538-4473-AB72-31A055CBA158}"/>
    <cellStyle name="Comma 4 4 2 2 4 2 5" xfId="30001" xr:uid="{4207EB43-7ADF-4F6B-AA2B-ED7107A18CC7}"/>
    <cellStyle name="Comma 4 4 2 2 4 3" xfId="5866" xr:uid="{00000000-0005-0000-0000-0000DB090000}"/>
    <cellStyle name="Comma 4 4 2 2 4 3 2" xfId="15192" xr:uid="{8F82462C-D120-495E-B2CF-830A0F1E182F}"/>
    <cellStyle name="Comma 4 4 2 2 4 3 3" xfId="23633" xr:uid="{65068A5B-F2E9-4076-9C0F-7314B4C94749}"/>
    <cellStyle name="Comma 4 4 2 2 4 3 4" xfId="32073" xr:uid="{C7735D51-6F78-4224-96C9-3EC2A8079095}"/>
    <cellStyle name="Comma 4 4 2 2 4 4" xfId="10975" xr:uid="{5B25F448-FB72-4DED-8063-1E83BC47D654}"/>
    <cellStyle name="Comma 4 4 2 2 4 5" xfId="19416" xr:uid="{B155E93D-0EA7-4E26-9B12-5547FBD5B64E}"/>
    <cellStyle name="Comma 4 4 2 2 4 6" xfId="27856" xr:uid="{C23DE312-262C-46CB-87AA-26A1CF9655A7}"/>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984C7411-B7DF-40C1-9ECB-DED076E089EA}"/>
    <cellStyle name="Comma 4 4 2 2 5 2 2 3" xfId="26191" xr:uid="{197F385A-E39F-4FFF-8100-89E9ADC965AA}"/>
    <cellStyle name="Comma 4 4 2 2 5 2 2 4" xfId="34631" xr:uid="{4F00E3B4-26AE-4580-8DAF-2223F4F62306}"/>
    <cellStyle name="Comma 4 4 2 2 5 2 3" xfId="13533" xr:uid="{48227878-8715-4F8A-A03C-218BCAAA9F36}"/>
    <cellStyle name="Comma 4 4 2 2 5 2 4" xfId="21974" xr:uid="{6B64E535-C398-4B59-923A-8C550F446806}"/>
    <cellStyle name="Comma 4 4 2 2 5 2 5" xfId="30414" xr:uid="{A5D9D99D-5E3C-4BBB-99B5-82B97E1E4B0B}"/>
    <cellStyle name="Comma 4 4 2 2 5 3" xfId="6279" xr:uid="{00000000-0005-0000-0000-0000DF090000}"/>
    <cellStyle name="Comma 4 4 2 2 5 3 2" xfId="15605" xr:uid="{53B05DF4-2B5F-429A-B9D2-027762B17B8E}"/>
    <cellStyle name="Comma 4 4 2 2 5 3 3" xfId="24046" xr:uid="{F237DEEB-EDFB-4151-B52A-C07CE84DB496}"/>
    <cellStyle name="Comma 4 4 2 2 5 3 4" xfId="32486" xr:uid="{85FC4D7A-C9C4-4C40-BB9E-71841199D9FB}"/>
    <cellStyle name="Comma 4 4 2 2 5 4" xfId="11388" xr:uid="{A0F686E8-E8AB-4894-83F5-D9F7E489B535}"/>
    <cellStyle name="Comma 4 4 2 2 5 5" xfId="19829" xr:uid="{41D31BFE-4D77-4630-879E-3D57C22E7212}"/>
    <cellStyle name="Comma 4 4 2 2 5 6" xfId="28269" xr:uid="{78968658-0878-4453-8C1A-D304AA7DA1D0}"/>
    <cellStyle name="Comma 4 4 2 2 6" xfId="2408" xr:uid="{00000000-0005-0000-0000-0000E0090000}"/>
    <cellStyle name="Comma 4 4 2 2 6 2" xfId="6692" xr:uid="{00000000-0005-0000-0000-0000E1090000}"/>
    <cellStyle name="Comma 4 4 2 2 6 2 2" xfId="16018" xr:uid="{BCF86575-47C3-4A23-A98B-041942C4C10C}"/>
    <cellStyle name="Comma 4 4 2 2 6 2 3" xfId="24459" xr:uid="{A300D5EF-FD23-48A9-BAC7-A980759A9EA9}"/>
    <cellStyle name="Comma 4 4 2 2 6 2 4" xfId="32899" xr:uid="{CC77F5AE-64D9-4FB7-8B3B-4FA8B1CD47A4}"/>
    <cellStyle name="Comma 4 4 2 2 6 3" xfId="11801" xr:uid="{7B52E58E-6306-44BE-AB69-88D63955E8A6}"/>
    <cellStyle name="Comma 4 4 2 2 6 4" xfId="20242" xr:uid="{B118AA82-89A5-40DB-A133-3A083306B35E}"/>
    <cellStyle name="Comma 4 4 2 2 6 5" xfId="28682" xr:uid="{887E5FBA-C56F-48D0-9C96-E7670EEA590B}"/>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EE54CBCE-1190-40E1-9BE7-B45737DEE680}"/>
    <cellStyle name="Comma 4 4 2 2 8 2 3" xfId="24776" xr:uid="{96ACDA0E-9475-4BB5-BCF7-862E99D32EA0}"/>
    <cellStyle name="Comma 4 4 2 2 8 2 4" xfId="33216" xr:uid="{2DC85C7E-F607-49BE-BAB3-25CFB9373C88}"/>
    <cellStyle name="Comma 4 4 2 2 8 3" xfId="12118" xr:uid="{0FAD37D0-BF71-48A6-8772-B2E2415FA809}"/>
    <cellStyle name="Comma 4 4 2 2 8 4" xfId="20559" xr:uid="{B22DF660-97CB-478B-AD2D-8A8D48081CEB}"/>
    <cellStyle name="Comma 4 4 2 2 8 5" xfId="28999" xr:uid="{BE31910E-9AD9-4839-BDB9-4E1DF14F3AED}"/>
    <cellStyle name="Comma 4 4 2 2 9" xfId="4626" xr:uid="{00000000-0005-0000-0000-0000E5090000}"/>
    <cellStyle name="Comma 4 4 2 2 9 2" xfId="13952" xr:uid="{AAFF710A-2B0E-4C1F-AECA-FE35F6ADFED7}"/>
    <cellStyle name="Comma 4 4 2 2 9 3" xfId="22393" xr:uid="{7D0B0638-6C42-470A-8977-DB0D23427745}"/>
    <cellStyle name="Comma 4 4 2 2 9 4" xfId="30833" xr:uid="{62E86656-C221-4876-A61D-65834B8D88D1}"/>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EA228159-CCD4-4AD7-B3DA-D90E892944DE}"/>
    <cellStyle name="Comma 4 4 2 3 2 2 3" xfId="24951" xr:uid="{110570A8-C768-48F0-9669-31B90F42678D}"/>
    <cellStyle name="Comma 4 4 2 3 2 2 4" xfId="33391" xr:uid="{369C75A1-BE4D-4CF1-AE0D-E8200C8098FE}"/>
    <cellStyle name="Comma 4 4 2 3 2 3" xfId="12293" xr:uid="{78CE7F1F-E363-410E-A4BC-7E9072868A6C}"/>
    <cellStyle name="Comma 4 4 2 3 2 4" xfId="20734" xr:uid="{CC7B015D-87D3-4C0B-93BA-A4799CD79194}"/>
    <cellStyle name="Comma 4 4 2 3 2 5" xfId="29174" xr:uid="{947EC326-F530-40B6-B595-8ED5D60B4583}"/>
    <cellStyle name="Comma 4 4 2 3 3" xfId="5039" xr:uid="{00000000-0005-0000-0000-0000E9090000}"/>
    <cellStyle name="Comma 4 4 2 3 3 2" xfId="14365" xr:uid="{F86B89A3-8CCF-4B13-B72C-98AABF9C8736}"/>
    <cellStyle name="Comma 4 4 2 3 3 3" xfId="22806" xr:uid="{841C786D-3590-42D1-B89F-C7B4F36D2D38}"/>
    <cellStyle name="Comma 4 4 2 3 3 4" xfId="31246" xr:uid="{20ABDAD5-F67F-4AF4-A3FE-A3C30E472002}"/>
    <cellStyle name="Comma 4 4 2 3 4" xfId="9332" xr:uid="{00F59ECD-64D7-476B-90FD-CD86F054AE4D}"/>
    <cellStyle name="Comma 4 4 2 3 5" xfId="10148" xr:uid="{7E41F336-67DC-4677-ABEF-748AB418BD5E}"/>
    <cellStyle name="Comma 4 4 2 3 6" xfId="18589" xr:uid="{DC0ED11E-05C4-43F7-BCDA-8BCF9F229C22}"/>
    <cellStyle name="Comma 4 4 2 3 7" xfId="27029" xr:uid="{B04BDDD4-DADB-432A-8862-77F22FF63921}"/>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29BCEC9A-B311-4C27-86D7-F3A89330DCAE}"/>
    <cellStyle name="Comma 4 4 2 4 2 2 3" xfId="25364" xr:uid="{555EFEDD-FC3F-4AE9-8CF8-E9140FF72F72}"/>
    <cellStyle name="Comma 4 4 2 4 2 2 4" xfId="33804" xr:uid="{6EF69D9C-30E9-4A92-A644-FB1EC20E6722}"/>
    <cellStyle name="Comma 4 4 2 4 2 3" xfId="12706" xr:uid="{B34A93E6-C76D-4865-9098-FFE10B8460B3}"/>
    <cellStyle name="Comma 4 4 2 4 2 4" xfId="21147" xr:uid="{4726751F-627C-4572-8B95-3E9820CF340A}"/>
    <cellStyle name="Comma 4 4 2 4 2 5" xfId="29587" xr:uid="{FA2B7A7D-CF3B-4408-8124-F34EE45C8DFF}"/>
    <cellStyle name="Comma 4 4 2 4 3" xfId="5452" xr:uid="{00000000-0005-0000-0000-0000ED090000}"/>
    <cellStyle name="Comma 4 4 2 4 3 2" xfId="14778" xr:uid="{4F4F9275-F8CF-4F02-8EC6-E884EB39EF56}"/>
    <cellStyle name="Comma 4 4 2 4 3 3" xfId="23219" xr:uid="{F1BB6B9E-D89E-42AD-8E33-EA0664BE765D}"/>
    <cellStyle name="Comma 4 4 2 4 3 4" xfId="31659" xr:uid="{A1DC6708-CAD9-45DC-B0E5-B646AF23EDA9}"/>
    <cellStyle name="Comma 4 4 2 4 4" xfId="10561" xr:uid="{D32DB7E9-34A8-4C61-AB3C-21CCFD75711F}"/>
    <cellStyle name="Comma 4 4 2 4 5" xfId="19002" xr:uid="{7FEF731B-9820-4559-9508-FBE34700B8B9}"/>
    <cellStyle name="Comma 4 4 2 4 6" xfId="27442" xr:uid="{5B384140-F91E-4741-867F-C77D6A64B3B6}"/>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7AEF835D-CE35-44A8-9FDC-6166E5721885}"/>
    <cellStyle name="Comma 4 4 2 5 2 2 3" xfId="25777" xr:uid="{AABE7883-2F6E-4B57-B7C6-C405833EAC69}"/>
    <cellStyle name="Comma 4 4 2 5 2 2 4" xfId="34217" xr:uid="{2EFE1A3C-6963-4AD8-BFCA-E51F91353AB7}"/>
    <cellStyle name="Comma 4 4 2 5 2 3" xfId="13119" xr:uid="{E49737F0-26D2-4482-9552-DC5298EA07A0}"/>
    <cellStyle name="Comma 4 4 2 5 2 4" xfId="21560" xr:uid="{65C27A30-CAE7-4EFF-B5F0-AB16201B7D23}"/>
    <cellStyle name="Comma 4 4 2 5 2 5" xfId="30000" xr:uid="{20C300A7-BB87-4FC4-A5FE-CE41AC14198C}"/>
    <cellStyle name="Comma 4 4 2 5 3" xfId="5865" xr:uid="{00000000-0005-0000-0000-0000F1090000}"/>
    <cellStyle name="Comma 4 4 2 5 3 2" xfId="15191" xr:uid="{95A79CCB-A29C-43FC-942E-104059D06447}"/>
    <cellStyle name="Comma 4 4 2 5 3 3" xfId="23632" xr:uid="{D8F68B77-A341-40BA-9195-20AEEB9FF333}"/>
    <cellStyle name="Comma 4 4 2 5 3 4" xfId="32072" xr:uid="{CF68FC80-102A-41EF-BE6C-4207B805999E}"/>
    <cellStyle name="Comma 4 4 2 5 4" xfId="10974" xr:uid="{DCA54656-BAFD-4A5B-AD95-59B851635ABC}"/>
    <cellStyle name="Comma 4 4 2 5 5" xfId="19415" xr:uid="{3C2B2C29-8F78-4382-85F7-C234D40F6D91}"/>
    <cellStyle name="Comma 4 4 2 5 6" xfId="27855" xr:uid="{DDE59732-38E4-4FFE-84ED-1E286561DFE0}"/>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5B183759-F49C-4738-AC24-288796F2B337}"/>
    <cellStyle name="Comma 4 4 2 6 2 2 3" xfId="26190" xr:uid="{DD876B76-26FF-48D7-AFA6-8FAD6C2BF520}"/>
    <cellStyle name="Comma 4 4 2 6 2 2 4" xfId="34630" xr:uid="{ADBCE081-B74D-4D4B-BCC5-D5074C40E864}"/>
    <cellStyle name="Comma 4 4 2 6 2 3" xfId="13532" xr:uid="{B14D637A-4B78-4553-94AF-3145CBDB375C}"/>
    <cellStyle name="Comma 4 4 2 6 2 4" xfId="21973" xr:uid="{23466727-6513-4675-836F-E66E01C3D4C2}"/>
    <cellStyle name="Comma 4 4 2 6 2 5" xfId="30413" xr:uid="{A4BE2FDF-E56C-4CF0-BD30-874F938EAF0C}"/>
    <cellStyle name="Comma 4 4 2 6 3" xfId="6278" xr:uid="{00000000-0005-0000-0000-0000F5090000}"/>
    <cellStyle name="Comma 4 4 2 6 3 2" xfId="15604" xr:uid="{7704BE49-F77E-42E4-BA49-33CEA22D67B7}"/>
    <cellStyle name="Comma 4 4 2 6 3 3" xfId="24045" xr:uid="{939E0315-20A0-4092-B3ED-2148D17B23D5}"/>
    <cellStyle name="Comma 4 4 2 6 3 4" xfId="32485" xr:uid="{4B0C5F7F-1453-460B-A0D2-5CC3329C6FE9}"/>
    <cellStyle name="Comma 4 4 2 6 4" xfId="11387" xr:uid="{06A9E639-EB85-43BD-9316-0C3711339FD8}"/>
    <cellStyle name="Comma 4 4 2 6 5" xfId="19828" xr:uid="{7BCB7F4E-F316-4CEB-99A8-301C31DDDB6D}"/>
    <cellStyle name="Comma 4 4 2 6 6" xfId="28268" xr:uid="{2191763B-C33C-46B5-B5A7-615CA99891AA}"/>
    <cellStyle name="Comma 4 4 2 7" xfId="2407" xr:uid="{00000000-0005-0000-0000-0000F6090000}"/>
    <cellStyle name="Comma 4 4 2 7 2" xfId="6691" xr:uid="{00000000-0005-0000-0000-0000F7090000}"/>
    <cellStyle name="Comma 4 4 2 7 2 2" xfId="16017" xr:uid="{4F4A2B3D-489C-4262-BC0C-710E2B1672EE}"/>
    <cellStyle name="Comma 4 4 2 7 2 3" xfId="24458" xr:uid="{61977CC1-F58B-4541-8CD7-5CFD7F446243}"/>
    <cellStyle name="Comma 4 4 2 7 2 4" xfId="32898" xr:uid="{DE8FC379-9DEE-4798-A31A-A2560C6B2860}"/>
    <cellStyle name="Comma 4 4 2 7 3" xfId="11800" xr:uid="{4AA3106A-6F1B-4E2F-BB3E-87051AB0D36B}"/>
    <cellStyle name="Comma 4 4 2 7 4" xfId="20241" xr:uid="{24B0E3EC-F294-4229-916E-15B5AF5C8803}"/>
    <cellStyle name="Comma 4 4 2 7 5" xfId="28681" xr:uid="{04A38128-7572-4FAA-B314-2DD4CF2A4283}"/>
    <cellStyle name="Comma 4 4 2 8" xfId="2703" xr:uid="{00000000-0005-0000-0000-0000F8090000}"/>
    <cellStyle name="Comma 4 4 2 9" xfId="2785" xr:uid="{00000000-0005-0000-0000-0000F9090000}"/>
    <cellStyle name="Comma 4 4 2 9 2" xfId="7008" xr:uid="{00000000-0005-0000-0000-0000FA090000}"/>
    <cellStyle name="Comma 4 4 2 9 2 2" xfId="16334" xr:uid="{1BDB672B-4F2C-42BD-91B0-CF11D6E26536}"/>
    <cellStyle name="Comma 4 4 2 9 2 3" xfId="24775" xr:uid="{468F3ED4-2E2F-4A95-92A5-8E0ADF113427}"/>
    <cellStyle name="Comma 4 4 2 9 2 4" xfId="33215" xr:uid="{2BDCDB82-5902-43B5-A7E9-F4643923CEE3}"/>
    <cellStyle name="Comma 4 4 2 9 3" xfId="12117" xr:uid="{8EAA050A-626A-4FDC-A659-17F3DD9A43D4}"/>
    <cellStyle name="Comma 4 4 2 9 4" xfId="20558" xr:uid="{031322A5-B008-4EEA-A4FD-938CF404AB33}"/>
    <cellStyle name="Comma 4 4 2 9 5" xfId="28998" xr:uid="{C04E6F3C-33DB-43AD-86D1-432D6EFA20CC}"/>
    <cellStyle name="Comma 4 4 3" xfId="156" xr:uid="{00000000-0005-0000-0000-0000FB090000}"/>
    <cellStyle name="Comma 4 4 3 10" xfId="9011" xr:uid="{31ED03AD-AB12-49AF-9AD4-B783F0BF7322}"/>
    <cellStyle name="Comma 4 4 3 11" xfId="9736" xr:uid="{14CC48C6-DC11-4EB1-9679-0664EBFF5DCA}"/>
    <cellStyle name="Comma 4 4 3 12" xfId="18177" xr:uid="{43F574FD-C6C7-431B-B649-E2E89B5B7584}"/>
    <cellStyle name="Comma 4 4 3 13" xfId="26617" xr:uid="{A2F1C403-2C86-415A-9437-843553B7B2F2}"/>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102BDBB4-60B8-4A71-8A89-8AFCE3915D56}"/>
    <cellStyle name="Comma 4 4 3 2 2 2 3" xfId="24953" xr:uid="{59244DC0-30FA-4DEB-B9F2-3EBE174374B0}"/>
    <cellStyle name="Comma 4 4 3 2 2 2 4" xfId="33393" xr:uid="{6D0BF794-F45C-4011-8409-5E77567BF631}"/>
    <cellStyle name="Comma 4 4 3 2 2 3" xfId="12295" xr:uid="{78A20C4A-A2BF-4980-8F3F-3B5E9774A17B}"/>
    <cellStyle name="Comma 4 4 3 2 2 4" xfId="20736" xr:uid="{59EF932B-33F9-4F6C-B301-A1D3B82037FC}"/>
    <cellStyle name="Comma 4 4 3 2 2 5" xfId="29176" xr:uid="{8074F0B8-6925-47E6-8FA8-47DC73210AF9}"/>
    <cellStyle name="Comma 4 4 3 2 3" xfId="5041" xr:uid="{00000000-0005-0000-0000-0000FF090000}"/>
    <cellStyle name="Comma 4 4 3 2 3 2" xfId="14367" xr:uid="{9F69C338-C9FA-4195-B4D8-1E2A898CA5E5}"/>
    <cellStyle name="Comma 4 4 3 2 3 3" xfId="22808" xr:uid="{DC97F29E-E1D5-4C15-B8AB-BB0CF5E1D14B}"/>
    <cellStyle name="Comma 4 4 3 2 3 4" xfId="31248" xr:uid="{CC2E62E7-BB63-4601-A07F-BE518F4217A0}"/>
    <cellStyle name="Comma 4 4 3 2 4" xfId="9436" xr:uid="{5B7DDC25-9095-4E8E-BD31-668F46BBD33F}"/>
    <cellStyle name="Comma 4 4 3 2 5" xfId="10150" xr:uid="{DE23BAD8-FF44-4DBA-AA2B-6C34C836D698}"/>
    <cellStyle name="Comma 4 4 3 2 6" xfId="18591" xr:uid="{79A8355B-3016-4CD2-869D-2439D72E552F}"/>
    <cellStyle name="Comma 4 4 3 2 7" xfId="27031" xr:uid="{257267EE-3556-495D-AFE0-764A77728594}"/>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1546E930-CCE9-4292-865B-DB30919BFC64}"/>
    <cellStyle name="Comma 4 4 3 3 2 2 3" xfId="25366" xr:uid="{EA233D3E-8AE6-4FB8-AA8B-A70778B74F9A}"/>
    <cellStyle name="Comma 4 4 3 3 2 2 4" xfId="33806" xr:uid="{5C525912-59FE-4065-9C7E-B33402B0657B}"/>
    <cellStyle name="Comma 4 4 3 3 2 3" xfId="12708" xr:uid="{A92BCCCF-6E1C-443F-8644-B4DDE64F9761}"/>
    <cellStyle name="Comma 4 4 3 3 2 4" xfId="21149" xr:uid="{32765086-E811-4A38-A54F-C6581C292F99}"/>
    <cellStyle name="Comma 4 4 3 3 2 5" xfId="29589" xr:uid="{BD89B19E-9671-4C94-858E-828252E68B05}"/>
    <cellStyle name="Comma 4 4 3 3 3" xfId="5454" xr:uid="{00000000-0005-0000-0000-0000030A0000}"/>
    <cellStyle name="Comma 4 4 3 3 3 2" xfId="14780" xr:uid="{2628BEAB-E3A2-4B79-BB2D-1CEC85994156}"/>
    <cellStyle name="Comma 4 4 3 3 3 3" xfId="23221" xr:uid="{7EBC89BF-83D0-44C1-A219-C507164438AF}"/>
    <cellStyle name="Comma 4 4 3 3 3 4" xfId="31661" xr:uid="{ADBE716A-32A5-4A98-94C1-BA1C79BBB310}"/>
    <cellStyle name="Comma 4 4 3 3 4" xfId="10563" xr:uid="{508B6087-F400-4996-AC87-CBB66B0B3217}"/>
    <cellStyle name="Comma 4 4 3 3 5" xfId="19004" xr:uid="{E5306B16-E045-4B94-8840-05D76682D10E}"/>
    <cellStyle name="Comma 4 4 3 3 6" xfId="27444" xr:uid="{80324611-F03F-41CB-827C-45B74719EC56}"/>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77D66292-82F6-4FBE-A6CF-3DE1B22E502E}"/>
    <cellStyle name="Comma 4 4 3 4 2 2 3" xfId="25779" xr:uid="{557F9B02-FA95-44A7-AB4D-E59BE7EB1A91}"/>
    <cellStyle name="Comma 4 4 3 4 2 2 4" xfId="34219" xr:uid="{AC5C33CE-F66E-4F9A-9B46-115E94840D8E}"/>
    <cellStyle name="Comma 4 4 3 4 2 3" xfId="13121" xr:uid="{26ED2EC1-170E-459D-90AA-50D58AFB472A}"/>
    <cellStyle name="Comma 4 4 3 4 2 4" xfId="21562" xr:uid="{83AED14F-1617-4E0F-B60C-DC95A0786F20}"/>
    <cellStyle name="Comma 4 4 3 4 2 5" xfId="30002" xr:uid="{DCE9CA5F-E8F7-4DDF-A513-4103A10E54B7}"/>
    <cellStyle name="Comma 4 4 3 4 3" xfId="5867" xr:uid="{00000000-0005-0000-0000-0000070A0000}"/>
    <cellStyle name="Comma 4 4 3 4 3 2" xfId="15193" xr:uid="{AEE7DEC8-29A1-4648-9F17-C8B2D8D2E70E}"/>
    <cellStyle name="Comma 4 4 3 4 3 3" xfId="23634" xr:uid="{FE77F6FA-0EDD-4F6D-8E22-A084434A18A7}"/>
    <cellStyle name="Comma 4 4 3 4 3 4" xfId="32074" xr:uid="{B89A78F7-8603-4EC2-85EF-8CA6AE5399F8}"/>
    <cellStyle name="Comma 4 4 3 4 4" xfId="10976" xr:uid="{77FD01AE-B196-4993-9158-AE586FD9128E}"/>
    <cellStyle name="Comma 4 4 3 4 5" xfId="19417" xr:uid="{5E5E7E22-12C1-481B-B404-DE01F191D436}"/>
    <cellStyle name="Comma 4 4 3 4 6" xfId="27857" xr:uid="{B8EC15BA-5001-4A9F-947D-74088A658E9F}"/>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2EE3F6B5-EBA0-43A6-B867-3FFDA21AF96B}"/>
    <cellStyle name="Comma 4 4 3 5 2 2 3" xfId="26192" xr:uid="{7B891A5F-FDB6-4A01-93C3-8D3C8621D814}"/>
    <cellStyle name="Comma 4 4 3 5 2 2 4" xfId="34632" xr:uid="{DB0D6450-0DF5-4C4D-8B83-E1813063F697}"/>
    <cellStyle name="Comma 4 4 3 5 2 3" xfId="13534" xr:uid="{49B1C8AD-27E9-402A-8F74-4CD1E2FD4CB9}"/>
    <cellStyle name="Comma 4 4 3 5 2 4" xfId="21975" xr:uid="{7ABC33D1-10DB-481D-8E2F-D209DA4CEE8A}"/>
    <cellStyle name="Comma 4 4 3 5 2 5" xfId="30415" xr:uid="{27E1CB27-FDA3-4262-B814-17B4E6990BED}"/>
    <cellStyle name="Comma 4 4 3 5 3" xfId="6280" xr:uid="{00000000-0005-0000-0000-00000B0A0000}"/>
    <cellStyle name="Comma 4 4 3 5 3 2" xfId="15606" xr:uid="{3C2229BE-3BF5-4F2A-B995-1FB8B72035E3}"/>
    <cellStyle name="Comma 4 4 3 5 3 3" xfId="24047" xr:uid="{E033891F-4E2F-40E6-87D4-B39204262E6A}"/>
    <cellStyle name="Comma 4 4 3 5 3 4" xfId="32487" xr:uid="{258F7B01-506E-4586-A0A9-A7475466263C}"/>
    <cellStyle name="Comma 4 4 3 5 4" xfId="11389" xr:uid="{9D5756B8-DD27-404A-8B55-03F284A1EE84}"/>
    <cellStyle name="Comma 4 4 3 5 5" xfId="19830" xr:uid="{EBF0BC3B-661C-435C-A01A-BCA466063C74}"/>
    <cellStyle name="Comma 4 4 3 5 6" xfId="28270" xr:uid="{1C48998E-B350-4AE7-8864-9ECF9294AB27}"/>
    <cellStyle name="Comma 4 4 3 6" xfId="2409" xr:uid="{00000000-0005-0000-0000-00000C0A0000}"/>
    <cellStyle name="Comma 4 4 3 6 2" xfId="6693" xr:uid="{00000000-0005-0000-0000-00000D0A0000}"/>
    <cellStyle name="Comma 4 4 3 6 2 2" xfId="16019" xr:uid="{84053F5F-5E79-4733-B50F-9AF8BEFA7931}"/>
    <cellStyle name="Comma 4 4 3 6 2 3" xfId="24460" xr:uid="{82AED0B4-F265-49C4-9AD3-C2D4F03747AB}"/>
    <cellStyle name="Comma 4 4 3 6 2 4" xfId="32900" xr:uid="{E879E7B1-781E-44C0-A34F-055C1F9C9D83}"/>
    <cellStyle name="Comma 4 4 3 6 3" xfId="11802" xr:uid="{971171F2-D6C9-49D0-8C81-C1788F939AA5}"/>
    <cellStyle name="Comma 4 4 3 6 4" xfId="20243" xr:uid="{D038C924-A9D7-4F72-A1F7-446C56E51DFC}"/>
    <cellStyle name="Comma 4 4 3 6 5" xfId="28683" xr:uid="{C2F625BA-967B-4937-9A26-EB569CF545B7}"/>
    <cellStyle name="Comma 4 4 3 7" xfId="2705" xr:uid="{00000000-0005-0000-0000-00000E0A0000}"/>
    <cellStyle name="Comma 4 4 3 8" xfId="2787" xr:uid="{00000000-0005-0000-0000-00000F0A0000}"/>
    <cellStyle name="Comma 4 4 3 8 2" xfId="7010" xr:uid="{00000000-0005-0000-0000-0000100A0000}"/>
    <cellStyle name="Comma 4 4 3 8 2 2" xfId="16336" xr:uid="{F91B16A5-824A-4206-8460-481F784C1ED7}"/>
    <cellStyle name="Comma 4 4 3 8 2 3" xfId="24777" xr:uid="{62A8CD54-64BB-4EC6-A68B-D7188E96B09D}"/>
    <cellStyle name="Comma 4 4 3 8 2 4" xfId="33217" xr:uid="{014EDA37-79BC-4497-8134-37DA79755659}"/>
    <cellStyle name="Comma 4 4 3 8 3" xfId="12119" xr:uid="{73132556-B688-4683-9506-7709E590A989}"/>
    <cellStyle name="Comma 4 4 3 8 4" xfId="20560" xr:uid="{F0A1F63C-1B8D-4C56-B6E7-AEA0291BBC45}"/>
    <cellStyle name="Comma 4 4 3 8 5" xfId="29000" xr:uid="{5CE41365-7498-4792-A4C7-5BD3DA69A52C}"/>
    <cellStyle name="Comma 4 4 3 9" xfId="4627" xr:uid="{00000000-0005-0000-0000-0000110A0000}"/>
    <cellStyle name="Comma 4 4 3 9 2" xfId="13953" xr:uid="{B3FFAC24-D9BB-47EF-922A-E9BE4903C8A1}"/>
    <cellStyle name="Comma 4 4 3 9 3" xfId="22394" xr:uid="{0A73B6BA-E672-464B-817F-96AA8963973F}"/>
    <cellStyle name="Comma 4 4 3 9 4" xfId="30834" xr:uid="{DA184556-EC63-426D-BF1B-178F0DFD731A}"/>
    <cellStyle name="Comma 4 4 4" xfId="690" xr:uid="{00000000-0005-0000-0000-0000120A0000}"/>
    <cellStyle name="Comma 4 4 4 2" xfId="2961" xr:uid="{00000000-0005-0000-0000-0000130A0000}"/>
    <cellStyle name="Comma 4 4 4 2 2" xfId="7183" xr:uid="{00000000-0005-0000-0000-0000140A0000}"/>
    <cellStyle name="Comma 4 4 4 2 2 2" xfId="16509" xr:uid="{8CD4D771-1A8A-4868-96AC-AB9A54E43388}"/>
    <cellStyle name="Comma 4 4 4 2 2 3" xfId="24950" xr:uid="{A6C17687-2AB4-4B35-90F9-544EE4D13E22}"/>
    <cellStyle name="Comma 4 4 4 2 2 4" xfId="33390" xr:uid="{78A60A62-C834-49B3-8523-3B82BAB4BBCE}"/>
    <cellStyle name="Comma 4 4 4 2 3" xfId="12292" xr:uid="{FD1FBF50-0208-4AFB-A778-AFF9657D626C}"/>
    <cellStyle name="Comma 4 4 4 2 4" xfId="20733" xr:uid="{B1A0ECE9-CE26-438E-91BF-9BAA1279199A}"/>
    <cellStyle name="Comma 4 4 4 2 5" xfId="29173" xr:uid="{02BA43EA-BD5F-4A2A-87B3-AD409E3C7EDB}"/>
    <cellStyle name="Comma 4 4 4 3" xfId="5038" xr:uid="{00000000-0005-0000-0000-0000150A0000}"/>
    <cellStyle name="Comma 4 4 4 3 2" xfId="14364" xr:uid="{DC805E88-6DB0-4E5B-B63A-4CC32E7D9E5E}"/>
    <cellStyle name="Comma 4 4 4 3 3" xfId="22805" xr:uid="{45F18385-DE63-4BDF-B76B-99E7CEA08D8C}"/>
    <cellStyle name="Comma 4 4 4 3 4" xfId="31245" xr:uid="{F7704694-4366-4C19-B2F9-8D6A7D20507B}"/>
    <cellStyle name="Comma 4 4 4 4" xfId="9229" xr:uid="{5D655A80-2199-4116-9BF2-7327D5827395}"/>
    <cellStyle name="Comma 4 4 4 5" xfId="10147" xr:uid="{4FB6F18D-A7AA-4C88-BE2B-046D10DBB2EF}"/>
    <cellStyle name="Comma 4 4 4 6" xfId="18588" xr:uid="{FADED1A6-1998-4E58-9C21-D227C1144B18}"/>
    <cellStyle name="Comma 4 4 4 7" xfId="27028" xr:uid="{433E3F65-83EA-4F6C-94C2-CDBAA39C179D}"/>
    <cellStyle name="Comma 4 4 5" xfId="1143" xr:uid="{00000000-0005-0000-0000-0000160A0000}"/>
    <cellStyle name="Comma 4 4 5 2" xfId="3374" xr:uid="{00000000-0005-0000-0000-0000170A0000}"/>
    <cellStyle name="Comma 4 4 5 2 2" xfId="7596" xr:uid="{00000000-0005-0000-0000-0000180A0000}"/>
    <cellStyle name="Comma 4 4 5 2 2 2" xfId="16922" xr:uid="{556A9DD7-C0C6-4E22-BD53-68BAF080BBDE}"/>
    <cellStyle name="Comma 4 4 5 2 2 3" xfId="25363" xr:uid="{6ADF5F15-55A6-4540-8433-17FEE436A784}"/>
    <cellStyle name="Comma 4 4 5 2 2 4" xfId="33803" xr:uid="{D2A3E50F-9687-4CFD-B9CA-8E78D253D546}"/>
    <cellStyle name="Comma 4 4 5 2 3" xfId="12705" xr:uid="{02159E8A-1AAB-4431-8CEA-9703A2110E1D}"/>
    <cellStyle name="Comma 4 4 5 2 4" xfId="21146" xr:uid="{69B29B9F-B4A8-435C-938A-EFF164DAAFCB}"/>
    <cellStyle name="Comma 4 4 5 2 5" xfId="29586" xr:uid="{03087494-C737-43D9-B7CE-FC0BBA0E5854}"/>
    <cellStyle name="Comma 4 4 5 3" xfId="5451" xr:uid="{00000000-0005-0000-0000-0000190A0000}"/>
    <cellStyle name="Comma 4 4 5 3 2" xfId="14777" xr:uid="{C95AB57F-8726-4236-8964-4DBCE7A260C0}"/>
    <cellStyle name="Comma 4 4 5 3 3" xfId="23218" xr:uid="{360E1AB2-A3C7-4928-B472-32038F24FA36}"/>
    <cellStyle name="Comma 4 4 5 3 4" xfId="31658" xr:uid="{ED88C075-64DF-4EE0-925B-1C6DC8FAE459}"/>
    <cellStyle name="Comma 4 4 5 4" xfId="10560" xr:uid="{259958A1-F478-49FC-A1A7-2A45B5F144CD}"/>
    <cellStyle name="Comma 4 4 5 5" xfId="19001" xr:uid="{9E2F5073-0870-44BC-9756-8C4B180573FA}"/>
    <cellStyle name="Comma 4 4 5 6" xfId="27441" xr:uid="{299327F3-0B8F-4C7E-85DF-0665B90AFEAF}"/>
    <cellStyle name="Comma 4 4 6" xfId="1557" xr:uid="{00000000-0005-0000-0000-00001A0A0000}"/>
    <cellStyle name="Comma 4 4 6 2" xfId="3787" xr:uid="{00000000-0005-0000-0000-00001B0A0000}"/>
    <cellStyle name="Comma 4 4 6 2 2" xfId="8009" xr:uid="{00000000-0005-0000-0000-00001C0A0000}"/>
    <cellStyle name="Comma 4 4 6 2 2 2" xfId="17335" xr:uid="{7562A00A-90B9-4692-8F16-AABFB1AA1CC7}"/>
    <cellStyle name="Comma 4 4 6 2 2 3" xfId="25776" xr:uid="{D818B8E9-96A8-47DA-96C6-F32DABDA802F}"/>
    <cellStyle name="Comma 4 4 6 2 2 4" xfId="34216" xr:uid="{BEED0E80-7247-4C2E-A24C-8990ECDA0BB6}"/>
    <cellStyle name="Comma 4 4 6 2 3" xfId="13118" xr:uid="{B866C301-5204-401F-A562-5A66854B09B6}"/>
    <cellStyle name="Comma 4 4 6 2 4" xfId="21559" xr:uid="{E4A2B6BE-A3C1-4572-9D26-71CE37413E7F}"/>
    <cellStyle name="Comma 4 4 6 2 5" xfId="29999" xr:uid="{1D0ADAEA-3DD5-4672-9ED3-E98197E153E8}"/>
    <cellStyle name="Comma 4 4 6 3" xfId="5864" xr:uid="{00000000-0005-0000-0000-00001D0A0000}"/>
    <cellStyle name="Comma 4 4 6 3 2" xfId="15190" xr:uid="{CC049FC8-2F8C-4BE1-ACC6-D22846400916}"/>
    <cellStyle name="Comma 4 4 6 3 3" xfId="23631" xr:uid="{E3BC47EF-610C-41C9-8457-22C5CD8F30CB}"/>
    <cellStyle name="Comma 4 4 6 3 4" xfId="32071" xr:uid="{6151F05C-6205-4F8E-828B-D28E43779DCC}"/>
    <cellStyle name="Comma 4 4 6 4" xfId="10973" xr:uid="{C80FA619-1D70-4D6A-81D9-1F4F7A2EB144}"/>
    <cellStyle name="Comma 4 4 6 5" xfId="19414" xr:uid="{AEDAF1FA-1FD2-435C-850B-F4DA391F4FBF}"/>
    <cellStyle name="Comma 4 4 6 6" xfId="27854" xr:uid="{6C98C41C-B5C9-4747-B311-7D625D52DCE0}"/>
    <cellStyle name="Comma 4 4 7" xfId="1971" xr:uid="{00000000-0005-0000-0000-00001E0A0000}"/>
    <cellStyle name="Comma 4 4 7 2" xfId="4200" xr:uid="{00000000-0005-0000-0000-00001F0A0000}"/>
    <cellStyle name="Comma 4 4 7 2 2" xfId="8422" xr:uid="{00000000-0005-0000-0000-0000200A0000}"/>
    <cellStyle name="Comma 4 4 7 2 2 2" xfId="17748" xr:uid="{C827F0FB-D02D-4F74-9EF6-0E4A6105B3BB}"/>
    <cellStyle name="Comma 4 4 7 2 2 3" xfId="26189" xr:uid="{A56D8DFE-38CC-421C-B1DE-291C6023243C}"/>
    <cellStyle name="Comma 4 4 7 2 2 4" xfId="34629" xr:uid="{38707DE5-C9CA-4B7B-BF6F-7A009915B3A9}"/>
    <cellStyle name="Comma 4 4 7 2 3" xfId="13531" xr:uid="{ACC5B2C6-489C-45D9-A1DC-CE7AC26E6295}"/>
    <cellStyle name="Comma 4 4 7 2 4" xfId="21972" xr:uid="{52969015-AFBA-4613-B968-EEF2C66E66DB}"/>
    <cellStyle name="Comma 4 4 7 2 5" xfId="30412" xr:uid="{98A2A0E1-5C3E-4FE9-9DE1-6AE7B1DD9BB7}"/>
    <cellStyle name="Comma 4 4 7 3" xfId="6277" xr:uid="{00000000-0005-0000-0000-0000210A0000}"/>
    <cellStyle name="Comma 4 4 7 3 2" xfId="15603" xr:uid="{213F4705-272F-42EB-A1A0-1C49F7A31050}"/>
    <cellStyle name="Comma 4 4 7 3 3" xfId="24044" xr:uid="{3B397B5B-2956-4750-8665-1B8F0FDFE87B}"/>
    <cellStyle name="Comma 4 4 7 3 4" xfId="32484" xr:uid="{0FE97D8B-C448-4B04-AFB1-1224619989ED}"/>
    <cellStyle name="Comma 4 4 7 4" xfId="11386" xr:uid="{0C578A6C-21CD-4F06-8291-BCC304EAB187}"/>
    <cellStyle name="Comma 4 4 7 5" xfId="19827" xr:uid="{5BE1C64B-B0BC-46F5-9419-7BD260098277}"/>
    <cellStyle name="Comma 4 4 7 6" xfId="28267" xr:uid="{E321A82D-EB0B-467A-8E28-A816897FD2EA}"/>
    <cellStyle name="Comma 4 4 8" xfId="2406" xr:uid="{00000000-0005-0000-0000-0000220A0000}"/>
    <cellStyle name="Comma 4 4 8 2" xfId="6690" xr:uid="{00000000-0005-0000-0000-0000230A0000}"/>
    <cellStyle name="Comma 4 4 8 2 2" xfId="16016" xr:uid="{4F6FC71C-49C6-469E-83C2-5596821CBA93}"/>
    <cellStyle name="Comma 4 4 8 2 3" xfId="24457" xr:uid="{0FE4215E-0546-449E-A244-659AF74982EF}"/>
    <cellStyle name="Comma 4 4 8 2 4" xfId="32897" xr:uid="{BDA5E0C4-7190-4F29-9DFE-2C85FB7AB77D}"/>
    <cellStyle name="Comma 4 4 8 3" xfId="11799" xr:uid="{B7444B41-DC5A-460D-A589-3DAF5BC2348A}"/>
    <cellStyle name="Comma 4 4 8 4" xfId="20240" xr:uid="{7EF12704-FDC3-436A-94C0-4B1B007BED76}"/>
    <cellStyle name="Comma 4 4 8 5" xfId="28680" xr:uid="{828D7995-B1C5-45A1-9929-598B3A6BE3CD}"/>
    <cellStyle name="Comma 4 4 9" xfId="2702" xr:uid="{00000000-0005-0000-0000-0000240A0000}"/>
    <cellStyle name="Comma 4 5" xfId="157" xr:uid="{00000000-0005-0000-0000-0000250A0000}"/>
    <cellStyle name="Comma 4 5 10" xfId="4628" xr:uid="{00000000-0005-0000-0000-0000260A0000}"/>
    <cellStyle name="Comma 4 5 10 2" xfId="13954" xr:uid="{373E5A7C-FC7B-42F5-BF38-76C93588212F}"/>
    <cellStyle name="Comma 4 5 10 3" xfId="22395" xr:uid="{4703D4CF-68FA-41A4-AF9D-C1C633A8A35D}"/>
    <cellStyle name="Comma 4 5 10 4" xfId="30835" xr:uid="{431D8E9D-9556-40C7-81B6-73CF044F0061}"/>
    <cellStyle name="Comma 4 5 11" xfId="8849" xr:uid="{344CCE08-63E3-41E8-B38A-00347480820F}"/>
    <cellStyle name="Comma 4 5 12" xfId="9737" xr:uid="{42AEAC7B-545F-45FE-823E-34A2C8EB89F2}"/>
    <cellStyle name="Comma 4 5 13" xfId="18178" xr:uid="{3D834244-7814-46CB-AD6F-CD0AE7AD27BC}"/>
    <cellStyle name="Comma 4 5 14" xfId="26618" xr:uid="{2B372C18-FC32-46A7-B380-52321AAE079A}"/>
    <cellStyle name="Comma 4 5 2" xfId="158" xr:uid="{00000000-0005-0000-0000-0000270A0000}"/>
    <cellStyle name="Comma 4 5 2 10" xfId="9056" xr:uid="{C7C2153B-7EAA-4A13-9C28-1151ACD100A8}"/>
    <cellStyle name="Comma 4 5 2 11" xfId="9738" xr:uid="{DC00E3D9-E34E-4FE3-BA9F-4B016389661F}"/>
    <cellStyle name="Comma 4 5 2 12" xfId="18179" xr:uid="{089581C5-3164-4846-B09B-5DFEC61AE099}"/>
    <cellStyle name="Comma 4 5 2 13" xfId="26619" xr:uid="{D7226698-A71D-4006-A230-3A2E9A8307FD}"/>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5772F559-CD2B-4358-80DC-F2BD03D8D263}"/>
    <cellStyle name="Comma 4 5 2 2 2 2 3" xfId="24955" xr:uid="{D0F3D67E-C50B-4A16-A41B-DC06FC7AF75F}"/>
    <cellStyle name="Comma 4 5 2 2 2 2 4" xfId="33395" xr:uid="{914BB4F2-9FF7-479B-ABBA-CE8A2506CF7F}"/>
    <cellStyle name="Comma 4 5 2 2 2 3" xfId="12297" xr:uid="{3A81B1BB-2CB5-49AC-8904-E69795D1B2D3}"/>
    <cellStyle name="Comma 4 5 2 2 2 4" xfId="20738" xr:uid="{50EA7F97-65F7-4601-A581-D19560FEF0A6}"/>
    <cellStyle name="Comma 4 5 2 2 2 5" xfId="29178" xr:uid="{0A95874C-F22F-417C-B2CF-E78282F2AFF9}"/>
    <cellStyle name="Comma 4 5 2 2 3" xfId="5043" xr:uid="{00000000-0005-0000-0000-00002B0A0000}"/>
    <cellStyle name="Comma 4 5 2 2 3 2" xfId="14369" xr:uid="{77902806-554D-4F5E-A6F2-23C3C0C95AFE}"/>
    <cellStyle name="Comma 4 5 2 2 3 3" xfId="22810" xr:uid="{8DB9A9FF-98CF-456E-A8A0-D1AC66692097}"/>
    <cellStyle name="Comma 4 5 2 2 3 4" xfId="31250" xr:uid="{88BB5934-63B8-4EFB-89C8-758124C5FF4C}"/>
    <cellStyle name="Comma 4 5 2 2 4" xfId="9481" xr:uid="{47C88F6D-21B1-4457-908C-FFAB8FF83BD1}"/>
    <cellStyle name="Comma 4 5 2 2 5" xfId="10152" xr:uid="{62E8846A-8476-4264-8F00-C2F79DE83DB2}"/>
    <cellStyle name="Comma 4 5 2 2 6" xfId="18593" xr:uid="{88132758-49B9-426C-BBEF-21C219B2C86C}"/>
    <cellStyle name="Comma 4 5 2 2 7" xfId="27033" xr:uid="{AE209067-E797-4D1F-B032-2160D10222EF}"/>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EBAE9429-9ED4-4669-BBF8-E5DAB18EED7A}"/>
    <cellStyle name="Comma 4 5 2 3 2 2 3" xfId="25368" xr:uid="{11399F79-8EE4-4E95-81A8-E2F181C81FCE}"/>
    <cellStyle name="Comma 4 5 2 3 2 2 4" xfId="33808" xr:uid="{3E1B884C-0F2C-4700-BA44-2276EA07737F}"/>
    <cellStyle name="Comma 4 5 2 3 2 3" xfId="12710" xr:uid="{04D465F3-672B-436C-8614-1C74A7B5B21B}"/>
    <cellStyle name="Comma 4 5 2 3 2 4" xfId="21151" xr:uid="{BC234728-0F43-4AC5-9ACF-823097CB590A}"/>
    <cellStyle name="Comma 4 5 2 3 2 5" xfId="29591" xr:uid="{A2FE8C55-878C-4B93-B6CB-2557713C8F43}"/>
    <cellStyle name="Comma 4 5 2 3 3" xfId="5456" xr:uid="{00000000-0005-0000-0000-00002F0A0000}"/>
    <cellStyle name="Comma 4 5 2 3 3 2" xfId="14782" xr:uid="{E12F2FB7-66B3-4173-9475-3C858BE3C9E0}"/>
    <cellStyle name="Comma 4 5 2 3 3 3" xfId="23223" xr:uid="{03ABDE1E-D9F3-40CD-B75B-69A174D20354}"/>
    <cellStyle name="Comma 4 5 2 3 3 4" xfId="31663" xr:uid="{4A1B4160-F0A8-4CD8-8CC7-123FC7002578}"/>
    <cellStyle name="Comma 4 5 2 3 4" xfId="10565" xr:uid="{7A14BE8C-6E26-4DCC-9EDE-16CBCF83A501}"/>
    <cellStyle name="Comma 4 5 2 3 5" xfId="19006" xr:uid="{6756E895-6101-4F4F-B4F7-F666BBF7DB0D}"/>
    <cellStyle name="Comma 4 5 2 3 6" xfId="27446" xr:uid="{8F7BBC23-3737-491E-BC31-3412D9F3DE96}"/>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4652D4CC-D26A-4753-8EF4-858EC12AC2A0}"/>
    <cellStyle name="Comma 4 5 2 4 2 2 3" xfId="25781" xr:uid="{3C888DF0-58A3-4B7E-95AC-5135921320AD}"/>
    <cellStyle name="Comma 4 5 2 4 2 2 4" xfId="34221" xr:uid="{387A443D-39B0-47CC-91B0-02F93575E523}"/>
    <cellStyle name="Comma 4 5 2 4 2 3" xfId="13123" xr:uid="{891948F0-B52C-45F4-B4D7-620250892C13}"/>
    <cellStyle name="Comma 4 5 2 4 2 4" xfId="21564" xr:uid="{FC520F48-3335-4607-9AE0-C98DEA94B826}"/>
    <cellStyle name="Comma 4 5 2 4 2 5" xfId="30004" xr:uid="{EEB7E350-8297-4C79-A5E6-1EEB0B9C3F8B}"/>
    <cellStyle name="Comma 4 5 2 4 3" xfId="5869" xr:uid="{00000000-0005-0000-0000-0000330A0000}"/>
    <cellStyle name="Comma 4 5 2 4 3 2" xfId="15195" xr:uid="{E6329565-409F-4CDD-9CA0-1935813A0878}"/>
    <cellStyle name="Comma 4 5 2 4 3 3" xfId="23636" xr:uid="{D3DFCABE-7387-42E6-AF92-83D9148A00DC}"/>
    <cellStyle name="Comma 4 5 2 4 3 4" xfId="32076" xr:uid="{D8694D56-0F56-4636-A06B-97BDE75B5603}"/>
    <cellStyle name="Comma 4 5 2 4 4" xfId="10978" xr:uid="{F7B31CA6-5941-413F-AAFD-7F2B7F74DB27}"/>
    <cellStyle name="Comma 4 5 2 4 5" xfId="19419" xr:uid="{99D4D7D5-A009-4397-8B74-E3DFA82D697B}"/>
    <cellStyle name="Comma 4 5 2 4 6" xfId="27859" xr:uid="{1F3AD872-98D1-4112-B267-5613A4EC7A17}"/>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0D5532F0-1DAF-45D2-9B31-41926E8A9DC1}"/>
    <cellStyle name="Comma 4 5 2 5 2 2 3" xfId="26194" xr:uid="{F677558B-E0DD-45FE-B17B-9605C79EF02C}"/>
    <cellStyle name="Comma 4 5 2 5 2 2 4" xfId="34634" xr:uid="{3E40297D-C36F-4489-B0C1-8047999026C1}"/>
    <cellStyle name="Comma 4 5 2 5 2 3" xfId="13536" xr:uid="{ABA2D0F6-8329-42C3-9FA6-0431A575DF0E}"/>
    <cellStyle name="Comma 4 5 2 5 2 4" xfId="21977" xr:uid="{BC627F8B-29EE-4FB9-8992-E8A52D620660}"/>
    <cellStyle name="Comma 4 5 2 5 2 5" xfId="30417" xr:uid="{CC7DCFD1-C651-4B71-B771-ACE38F9F45BB}"/>
    <cellStyle name="Comma 4 5 2 5 3" xfId="6282" xr:uid="{00000000-0005-0000-0000-0000370A0000}"/>
    <cellStyle name="Comma 4 5 2 5 3 2" xfId="15608" xr:uid="{5BC135FB-3869-4359-A27B-3C4F9F83E897}"/>
    <cellStyle name="Comma 4 5 2 5 3 3" xfId="24049" xr:uid="{353E64E8-6005-454D-AE9B-A2007FBA7618}"/>
    <cellStyle name="Comma 4 5 2 5 3 4" xfId="32489" xr:uid="{3102882C-2D94-4E49-9734-583E2A6CAC8E}"/>
    <cellStyle name="Comma 4 5 2 5 4" xfId="11391" xr:uid="{262F76AC-C13B-4717-9B97-AC54F2FF30C2}"/>
    <cellStyle name="Comma 4 5 2 5 5" xfId="19832" xr:uid="{C0DF4164-9403-43DB-AC6E-E7147C36D501}"/>
    <cellStyle name="Comma 4 5 2 5 6" xfId="28272" xr:uid="{B12937C3-83AF-49AC-857D-63BEFBF0A24E}"/>
    <cellStyle name="Comma 4 5 2 6" xfId="2411" xr:uid="{00000000-0005-0000-0000-0000380A0000}"/>
    <cellStyle name="Comma 4 5 2 6 2" xfId="6695" xr:uid="{00000000-0005-0000-0000-0000390A0000}"/>
    <cellStyle name="Comma 4 5 2 6 2 2" xfId="16021" xr:uid="{FFFA90C2-D948-458C-8B7F-41F09E3492AC}"/>
    <cellStyle name="Comma 4 5 2 6 2 3" xfId="24462" xr:uid="{E06F76EE-8887-4F8D-8FA0-9644082A181E}"/>
    <cellStyle name="Comma 4 5 2 6 2 4" xfId="32902" xr:uid="{293ABCF8-05EF-49A5-9587-F0E2F5FF9B34}"/>
    <cellStyle name="Comma 4 5 2 6 3" xfId="11804" xr:uid="{F3642EEB-BA69-4827-8020-96ACDA6740EB}"/>
    <cellStyle name="Comma 4 5 2 6 4" xfId="20245" xr:uid="{F4A00768-496E-450A-B16A-3681EA3B4177}"/>
    <cellStyle name="Comma 4 5 2 6 5" xfId="28685" xr:uid="{2008024D-157A-4D20-9964-29B642DF587A}"/>
    <cellStyle name="Comma 4 5 2 7" xfId="2707" xr:uid="{00000000-0005-0000-0000-00003A0A0000}"/>
    <cellStyle name="Comma 4 5 2 8" xfId="2789" xr:uid="{00000000-0005-0000-0000-00003B0A0000}"/>
    <cellStyle name="Comma 4 5 2 8 2" xfId="7012" xr:uid="{00000000-0005-0000-0000-00003C0A0000}"/>
    <cellStyle name="Comma 4 5 2 8 2 2" xfId="16338" xr:uid="{CF004AAD-3B76-43B1-A92A-235B53050F42}"/>
    <cellStyle name="Comma 4 5 2 8 2 3" xfId="24779" xr:uid="{17B54409-BF8F-4950-99C2-99870C0F7782}"/>
    <cellStyle name="Comma 4 5 2 8 2 4" xfId="33219" xr:uid="{79BEB9CD-3CDB-4D61-9A9E-9009294A4AE5}"/>
    <cellStyle name="Comma 4 5 2 8 3" xfId="12121" xr:uid="{B5832CE8-75FC-4E06-87E0-6EF79311B238}"/>
    <cellStyle name="Comma 4 5 2 8 4" xfId="20562" xr:uid="{57DC0BED-2299-41EC-86BA-03D20FBB67D0}"/>
    <cellStyle name="Comma 4 5 2 8 5" xfId="29002" xr:uid="{31218E7A-63AA-48DD-946B-478CA4E64A54}"/>
    <cellStyle name="Comma 4 5 2 9" xfId="4629" xr:uid="{00000000-0005-0000-0000-00003D0A0000}"/>
    <cellStyle name="Comma 4 5 2 9 2" xfId="13955" xr:uid="{719D03EB-9F41-40A7-B8F2-0691B843B9FD}"/>
    <cellStyle name="Comma 4 5 2 9 3" xfId="22396" xr:uid="{1DB42257-01D8-432F-8769-85DF8777FD7B}"/>
    <cellStyle name="Comma 4 5 2 9 4" xfId="30836" xr:uid="{C817A245-3CFD-4D57-9B8E-96BA484EA66F}"/>
    <cellStyle name="Comma 4 5 3" xfId="694" xr:uid="{00000000-0005-0000-0000-00003E0A0000}"/>
    <cellStyle name="Comma 4 5 3 2" xfId="2965" xr:uid="{00000000-0005-0000-0000-00003F0A0000}"/>
    <cellStyle name="Comma 4 5 3 2 2" xfId="7187" xr:uid="{00000000-0005-0000-0000-0000400A0000}"/>
    <cellStyle name="Comma 4 5 3 2 2 2" xfId="16513" xr:uid="{F3B1E3C4-0F9A-4C78-8316-0EC98A26E717}"/>
    <cellStyle name="Comma 4 5 3 2 2 3" xfId="24954" xr:uid="{70B93302-A880-4D4C-81DF-0380E5C231A6}"/>
    <cellStyle name="Comma 4 5 3 2 2 4" xfId="33394" xr:uid="{8A144B86-AD8D-42C3-97B2-CCFEC29E52A6}"/>
    <cellStyle name="Comma 4 5 3 2 3" xfId="12296" xr:uid="{F60E5D0A-57A0-4C98-803E-B0D103387B87}"/>
    <cellStyle name="Comma 4 5 3 2 4" xfId="20737" xr:uid="{6EA2AE08-3322-463D-8D1F-0913EDD7B348}"/>
    <cellStyle name="Comma 4 5 3 2 5" xfId="29177" xr:uid="{EB786B69-D501-4000-A80E-642CE19518D6}"/>
    <cellStyle name="Comma 4 5 3 3" xfId="5042" xr:uid="{00000000-0005-0000-0000-0000410A0000}"/>
    <cellStyle name="Comma 4 5 3 3 2" xfId="14368" xr:uid="{36C9DE3E-A7C5-46E6-A92B-5DCE26468A3C}"/>
    <cellStyle name="Comma 4 5 3 3 3" xfId="22809" xr:uid="{9FCD9A4B-3220-4BAF-BEDE-48A96944B659}"/>
    <cellStyle name="Comma 4 5 3 3 4" xfId="31249" xr:uid="{E248556C-1C82-41E6-BD87-0C65BD421384}"/>
    <cellStyle name="Comma 4 5 3 4" xfId="9274" xr:uid="{04AC3EF2-4A78-4DC5-BAB4-87936023C7E5}"/>
    <cellStyle name="Comma 4 5 3 5" xfId="10151" xr:uid="{55D3FF51-4C3B-4608-81BD-8E655D862921}"/>
    <cellStyle name="Comma 4 5 3 6" xfId="18592" xr:uid="{FF32B74A-73A4-469E-BD00-DF0C0EEA3E90}"/>
    <cellStyle name="Comma 4 5 3 7" xfId="27032" xr:uid="{B7D9D0C3-40BC-4B88-A5BC-CC92A7E29BC7}"/>
    <cellStyle name="Comma 4 5 4" xfId="1147" xr:uid="{00000000-0005-0000-0000-0000420A0000}"/>
    <cellStyle name="Comma 4 5 4 2" xfId="3378" xr:uid="{00000000-0005-0000-0000-0000430A0000}"/>
    <cellStyle name="Comma 4 5 4 2 2" xfId="7600" xr:uid="{00000000-0005-0000-0000-0000440A0000}"/>
    <cellStyle name="Comma 4 5 4 2 2 2" xfId="16926" xr:uid="{B6B1F182-B88D-41B5-BC57-8363CD8807FE}"/>
    <cellStyle name="Comma 4 5 4 2 2 3" xfId="25367" xr:uid="{D7D2358C-76AC-4EF0-8B3A-E6C3C271FA64}"/>
    <cellStyle name="Comma 4 5 4 2 2 4" xfId="33807" xr:uid="{1D59D083-254D-4302-A725-3278620DD4C9}"/>
    <cellStyle name="Comma 4 5 4 2 3" xfId="12709" xr:uid="{7D6CF082-7AAD-4F07-AF40-5C1FF45AA523}"/>
    <cellStyle name="Comma 4 5 4 2 4" xfId="21150" xr:uid="{CD0D16D7-582C-48F1-9F6F-1EB2F0B96D3C}"/>
    <cellStyle name="Comma 4 5 4 2 5" xfId="29590" xr:uid="{4E8BD2E4-D6A3-4363-B6A8-12B4B7CAB953}"/>
    <cellStyle name="Comma 4 5 4 3" xfId="5455" xr:uid="{00000000-0005-0000-0000-0000450A0000}"/>
    <cellStyle name="Comma 4 5 4 3 2" xfId="14781" xr:uid="{328EF5C6-A060-4E93-A02A-B0B310680394}"/>
    <cellStyle name="Comma 4 5 4 3 3" xfId="23222" xr:uid="{ED1E48C2-4179-4222-B01F-3824E2EAD4E1}"/>
    <cellStyle name="Comma 4 5 4 3 4" xfId="31662" xr:uid="{12A64C39-03C6-4CFF-8958-5D285C243379}"/>
    <cellStyle name="Comma 4 5 4 4" xfId="10564" xr:uid="{A0C8E229-2F2B-4EB3-94E6-41ADCC1BD12B}"/>
    <cellStyle name="Comma 4 5 4 5" xfId="19005" xr:uid="{E356ED4E-445B-49E2-85D2-2AA852127E49}"/>
    <cellStyle name="Comma 4 5 4 6" xfId="27445" xr:uid="{5F084EA1-FA14-4E15-B017-9DD548A55962}"/>
    <cellStyle name="Comma 4 5 5" xfId="1561" xr:uid="{00000000-0005-0000-0000-0000460A0000}"/>
    <cellStyle name="Comma 4 5 5 2" xfId="3791" xr:uid="{00000000-0005-0000-0000-0000470A0000}"/>
    <cellStyle name="Comma 4 5 5 2 2" xfId="8013" xr:uid="{00000000-0005-0000-0000-0000480A0000}"/>
    <cellStyle name="Comma 4 5 5 2 2 2" xfId="17339" xr:uid="{0AB20743-8376-42F7-8E17-04E19BC36488}"/>
    <cellStyle name="Comma 4 5 5 2 2 3" xfId="25780" xr:uid="{5DB1228E-1119-43F5-A2BE-FF8EA429975C}"/>
    <cellStyle name="Comma 4 5 5 2 2 4" xfId="34220" xr:uid="{87CBD31A-39DD-45BA-A28A-3A9E1CDCC830}"/>
    <cellStyle name="Comma 4 5 5 2 3" xfId="13122" xr:uid="{22841E1C-AE26-48FC-8E7B-AEDD91DD857D}"/>
    <cellStyle name="Comma 4 5 5 2 4" xfId="21563" xr:uid="{2CBBF634-E5BA-491D-9298-7967BD96495C}"/>
    <cellStyle name="Comma 4 5 5 2 5" xfId="30003" xr:uid="{B6953C51-F292-4B4E-9B54-3C5E0B85DB18}"/>
    <cellStyle name="Comma 4 5 5 3" xfId="5868" xr:uid="{00000000-0005-0000-0000-0000490A0000}"/>
    <cellStyle name="Comma 4 5 5 3 2" xfId="15194" xr:uid="{3DD62DBD-2826-4E68-91E0-29A233795C23}"/>
    <cellStyle name="Comma 4 5 5 3 3" xfId="23635" xr:uid="{DA033192-B0FD-4AE4-A3F9-8CF43C21D69D}"/>
    <cellStyle name="Comma 4 5 5 3 4" xfId="32075" xr:uid="{BB274CFF-3E35-4A2A-844B-B690545203FA}"/>
    <cellStyle name="Comma 4 5 5 4" xfId="10977" xr:uid="{C00C7819-2CEA-40B2-9137-498624363323}"/>
    <cellStyle name="Comma 4 5 5 5" xfId="19418" xr:uid="{76510079-D13B-4069-B5AC-F33870E09837}"/>
    <cellStyle name="Comma 4 5 5 6" xfId="27858" xr:uid="{13C5FF9B-89C2-45F8-AD06-5515CD127C9D}"/>
    <cellStyle name="Comma 4 5 6" xfId="1975" xr:uid="{00000000-0005-0000-0000-00004A0A0000}"/>
    <cellStyle name="Comma 4 5 6 2" xfId="4204" xr:uid="{00000000-0005-0000-0000-00004B0A0000}"/>
    <cellStyle name="Comma 4 5 6 2 2" xfId="8426" xr:uid="{00000000-0005-0000-0000-00004C0A0000}"/>
    <cellStyle name="Comma 4 5 6 2 2 2" xfId="17752" xr:uid="{8D47ACC3-DB0B-40DB-8BC5-BFFE16E5ABE1}"/>
    <cellStyle name="Comma 4 5 6 2 2 3" xfId="26193" xr:uid="{051A717E-F684-495D-8391-6FBF1DCA1CA1}"/>
    <cellStyle name="Comma 4 5 6 2 2 4" xfId="34633" xr:uid="{DBC3F6C7-1503-441D-A921-F9DFC8E7889C}"/>
    <cellStyle name="Comma 4 5 6 2 3" xfId="13535" xr:uid="{35D4FE65-7146-4C41-B53A-0B981E1AEFFA}"/>
    <cellStyle name="Comma 4 5 6 2 4" xfId="21976" xr:uid="{0A12BCC5-F114-4952-AD7C-9B42FC008224}"/>
    <cellStyle name="Comma 4 5 6 2 5" xfId="30416" xr:uid="{85771FDE-52D5-4D09-BC9C-F40098B06E37}"/>
    <cellStyle name="Comma 4 5 6 3" xfId="6281" xr:uid="{00000000-0005-0000-0000-00004D0A0000}"/>
    <cellStyle name="Comma 4 5 6 3 2" xfId="15607" xr:uid="{92237227-8854-4CDC-B033-3E058DE11BFF}"/>
    <cellStyle name="Comma 4 5 6 3 3" xfId="24048" xr:uid="{8D353976-F92E-4A14-B567-11585D230A00}"/>
    <cellStyle name="Comma 4 5 6 3 4" xfId="32488" xr:uid="{658A301F-6D38-4EB7-8252-539D47188400}"/>
    <cellStyle name="Comma 4 5 6 4" xfId="11390" xr:uid="{EF84CA56-CCEC-405C-9AD1-1832CCE7FF04}"/>
    <cellStyle name="Comma 4 5 6 5" xfId="19831" xr:uid="{5BD6B670-23C1-4187-9A62-7242BE0A1956}"/>
    <cellStyle name="Comma 4 5 6 6" xfId="28271" xr:uid="{6BECBC78-81D6-4626-B9DC-411F2E7D880A}"/>
    <cellStyle name="Comma 4 5 7" xfId="2410" xr:uid="{00000000-0005-0000-0000-00004E0A0000}"/>
    <cellStyle name="Comma 4 5 7 2" xfId="6694" xr:uid="{00000000-0005-0000-0000-00004F0A0000}"/>
    <cellStyle name="Comma 4 5 7 2 2" xfId="16020" xr:uid="{A865A095-F080-49B9-808D-4416D1D2928D}"/>
    <cellStyle name="Comma 4 5 7 2 3" xfId="24461" xr:uid="{D0C5C4CC-9D4C-4A4C-9D7E-3D52BB2BB486}"/>
    <cellStyle name="Comma 4 5 7 2 4" xfId="32901" xr:uid="{4ADBE34A-236D-492C-81B0-8C683341F361}"/>
    <cellStyle name="Comma 4 5 7 3" xfId="11803" xr:uid="{1AE0588E-4E38-4C9E-8489-142BF4E49BD7}"/>
    <cellStyle name="Comma 4 5 7 4" xfId="20244" xr:uid="{9CAAF617-9C8B-4269-8A4A-E867D19B64A3}"/>
    <cellStyle name="Comma 4 5 7 5" xfId="28684" xr:uid="{F530EAE8-A25B-40C3-985A-0836F2D0B319}"/>
    <cellStyle name="Comma 4 5 8" xfId="2706" xr:uid="{00000000-0005-0000-0000-0000500A0000}"/>
    <cellStyle name="Comma 4 5 9" xfId="2788" xr:uid="{00000000-0005-0000-0000-0000510A0000}"/>
    <cellStyle name="Comma 4 5 9 2" xfId="7011" xr:uid="{00000000-0005-0000-0000-0000520A0000}"/>
    <cellStyle name="Comma 4 5 9 2 2" xfId="16337" xr:uid="{2E029EB0-6D96-4302-8C49-DB4C6BD07A59}"/>
    <cellStyle name="Comma 4 5 9 2 3" xfId="24778" xr:uid="{49E19665-8812-4F6F-BD27-2BB47B517A49}"/>
    <cellStyle name="Comma 4 5 9 2 4" xfId="33218" xr:uid="{42E7476E-905C-4177-B734-D9E627FA534A}"/>
    <cellStyle name="Comma 4 5 9 3" xfId="12120" xr:uid="{B11EDCC1-B8A5-4987-B201-BDB0951E7B33}"/>
    <cellStyle name="Comma 4 5 9 4" xfId="20561" xr:uid="{6CA4EDD1-A1E6-4C8E-B28A-4324D7276119}"/>
    <cellStyle name="Comma 4 5 9 5" xfId="29001" xr:uid="{BE9D7F52-A7BB-4378-80CB-2C37DC5EFA87}"/>
    <cellStyle name="Comma 4 6" xfId="159" xr:uid="{00000000-0005-0000-0000-0000530A0000}"/>
    <cellStyle name="Comma 4 6 10" xfId="8965" xr:uid="{FDA33E7D-96B8-46F2-87D8-5CB6C30A4CC6}"/>
    <cellStyle name="Comma 4 6 11" xfId="9739" xr:uid="{CB91062D-34D5-4593-84D5-27C9D415DA1D}"/>
    <cellStyle name="Comma 4 6 12" xfId="18180" xr:uid="{E48A247F-3C02-43F3-96E9-A1F6EB195564}"/>
    <cellStyle name="Comma 4 6 13" xfId="26620" xr:uid="{757E71C9-28A7-4A0B-9DA9-9FD8F47913B0}"/>
    <cellStyle name="Comma 4 6 2" xfId="696" xr:uid="{00000000-0005-0000-0000-0000540A0000}"/>
    <cellStyle name="Comma 4 6 2 2" xfId="2967" xr:uid="{00000000-0005-0000-0000-0000550A0000}"/>
    <cellStyle name="Comma 4 6 2 2 2" xfId="7189" xr:uid="{00000000-0005-0000-0000-0000560A0000}"/>
    <cellStyle name="Comma 4 6 2 2 2 2" xfId="16515" xr:uid="{3DDE6FB6-BC2E-4100-A12C-E00F71711DB7}"/>
    <cellStyle name="Comma 4 6 2 2 2 3" xfId="24956" xr:uid="{ACA0D5E2-1779-4F2F-8C00-17C5AB40346A}"/>
    <cellStyle name="Comma 4 6 2 2 2 4" xfId="33396" xr:uid="{CEC70A01-2DC5-488B-8809-7CE64A15571A}"/>
    <cellStyle name="Comma 4 6 2 2 3" xfId="12298" xr:uid="{4E9B8309-E101-4E90-B6C1-A03FB0520223}"/>
    <cellStyle name="Comma 4 6 2 2 4" xfId="20739" xr:uid="{73C58953-3AEE-4EE4-B2FF-05BE5573EE30}"/>
    <cellStyle name="Comma 4 6 2 2 5" xfId="29179" xr:uid="{261EB56D-F075-47EE-9B64-F29705DCCF2C}"/>
    <cellStyle name="Comma 4 6 2 3" xfId="5044" xr:uid="{00000000-0005-0000-0000-0000570A0000}"/>
    <cellStyle name="Comma 4 6 2 3 2" xfId="14370" xr:uid="{E35B9D7C-F23E-4D6D-B08D-A1CDD396C31C}"/>
    <cellStyle name="Comma 4 6 2 3 3" xfId="22811" xr:uid="{D7F191D7-27A8-4CD9-A047-203C0D9601CB}"/>
    <cellStyle name="Comma 4 6 2 3 4" xfId="31251" xr:uid="{2129EED7-1063-4235-B319-9781F575A11B}"/>
    <cellStyle name="Comma 4 6 2 4" xfId="9390" xr:uid="{F8012948-A58F-476A-B4CF-A63C8F36D5B6}"/>
    <cellStyle name="Comma 4 6 2 5" xfId="10153" xr:uid="{DE3DCF63-DFF6-4807-97B3-4D68965E1E74}"/>
    <cellStyle name="Comma 4 6 2 6" xfId="18594" xr:uid="{B999170B-EB57-4C83-BDF8-B5298BA5D7FE}"/>
    <cellStyle name="Comma 4 6 2 7" xfId="27034" xr:uid="{35F6C4A2-B4CE-4966-9FA1-CA58E3FD42DA}"/>
    <cellStyle name="Comma 4 6 3" xfId="1149" xr:uid="{00000000-0005-0000-0000-0000580A0000}"/>
    <cellStyle name="Comma 4 6 3 2" xfId="3380" xr:uid="{00000000-0005-0000-0000-0000590A0000}"/>
    <cellStyle name="Comma 4 6 3 2 2" xfId="7602" xr:uid="{00000000-0005-0000-0000-00005A0A0000}"/>
    <cellStyle name="Comma 4 6 3 2 2 2" xfId="16928" xr:uid="{A55CF50D-A352-4312-9585-6F4748AD6E73}"/>
    <cellStyle name="Comma 4 6 3 2 2 3" xfId="25369" xr:uid="{50DBC373-0FF8-40FB-96E6-99FA5BF695D8}"/>
    <cellStyle name="Comma 4 6 3 2 2 4" xfId="33809" xr:uid="{3454ED3F-0D7B-417A-9AE5-30B738034B6C}"/>
    <cellStyle name="Comma 4 6 3 2 3" xfId="12711" xr:uid="{BED22F1E-A323-4C28-AE8E-44D09DA3D130}"/>
    <cellStyle name="Comma 4 6 3 2 4" xfId="21152" xr:uid="{E2A16F7D-00E7-47CD-BF7C-EAEDE91B3B39}"/>
    <cellStyle name="Comma 4 6 3 2 5" xfId="29592" xr:uid="{2AD909D7-7BCA-470D-91E0-71969D211B95}"/>
    <cellStyle name="Comma 4 6 3 3" xfId="5457" xr:uid="{00000000-0005-0000-0000-00005B0A0000}"/>
    <cellStyle name="Comma 4 6 3 3 2" xfId="14783" xr:uid="{F87D8770-B449-4C01-BB12-2A505878C400}"/>
    <cellStyle name="Comma 4 6 3 3 3" xfId="23224" xr:uid="{CAE15C82-CD9F-4B48-ADDE-361DE9C12682}"/>
    <cellStyle name="Comma 4 6 3 3 4" xfId="31664" xr:uid="{4E258DE0-63CA-463B-9E1D-FAD9576B08ED}"/>
    <cellStyle name="Comma 4 6 3 4" xfId="10566" xr:uid="{CDE07B13-EFA1-464F-96E0-1800C8AC10ED}"/>
    <cellStyle name="Comma 4 6 3 5" xfId="19007" xr:uid="{B5F49857-C637-431D-A2C5-47C051BC322C}"/>
    <cellStyle name="Comma 4 6 3 6" xfId="27447" xr:uid="{9E20AD2E-371E-4996-9C80-6F323BAE40A5}"/>
    <cellStyle name="Comma 4 6 4" xfId="1563" xr:uid="{00000000-0005-0000-0000-00005C0A0000}"/>
    <cellStyle name="Comma 4 6 4 2" xfId="3793" xr:uid="{00000000-0005-0000-0000-00005D0A0000}"/>
    <cellStyle name="Comma 4 6 4 2 2" xfId="8015" xr:uid="{00000000-0005-0000-0000-00005E0A0000}"/>
    <cellStyle name="Comma 4 6 4 2 2 2" xfId="17341" xr:uid="{690DD94C-F571-4A97-94AE-892FFE3AC459}"/>
    <cellStyle name="Comma 4 6 4 2 2 3" xfId="25782" xr:uid="{31C18BF6-894C-47CE-A235-32B0B7FED2B1}"/>
    <cellStyle name="Comma 4 6 4 2 2 4" xfId="34222" xr:uid="{D0D17988-C707-4DB5-AF9E-AD392CEC139B}"/>
    <cellStyle name="Comma 4 6 4 2 3" xfId="13124" xr:uid="{A8166118-7259-41B8-95DB-E3361C9922C4}"/>
    <cellStyle name="Comma 4 6 4 2 4" xfId="21565" xr:uid="{DA15A1AB-000C-4212-BBC4-C316DBF7E716}"/>
    <cellStyle name="Comma 4 6 4 2 5" xfId="30005" xr:uid="{717480EB-B7C7-49C5-9F9C-B0C1F2EFDA85}"/>
    <cellStyle name="Comma 4 6 4 3" xfId="5870" xr:uid="{00000000-0005-0000-0000-00005F0A0000}"/>
    <cellStyle name="Comma 4 6 4 3 2" xfId="15196" xr:uid="{CF426D7E-B72E-4ADA-A2F0-EC8E33FB135B}"/>
    <cellStyle name="Comma 4 6 4 3 3" xfId="23637" xr:uid="{7F8F4D4D-B681-4640-9303-CE2D1C4E4406}"/>
    <cellStyle name="Comma 4 6 4 3 4" xfId="32077" xr:uid="{74593640-2136-4038-B10C-F0E042CC1D54}"/>
    <cellStyle name="Comma 4 6 4 4" xfId="10979" xr:uid="{73B4F2E8-10B9-4B10-9445-AD0676330FC7}"/>
    <cellStyle name="Comma 4 6 4 5" xfId="19420" xr:uid="{E7FB4184-50C1-4D94-8C40-6D266AD94455}"/>
    <cellStyle name="Comma 4 6 4 6" xfId="27860" xr:uid="{FDB91FDE-6714-4D9C-833E-1579493D4E02}"/>
    <cellStyle name="Comma 4 6 5" xfId="1977" xr:uid="{00000000-0005-0000-0000-0000600A0000}"/>
    <cellStyle name="Comma 4 6 5 2" xfId="4206" xr:uid="{00000000-0005-0000-0000-0000610A0000}"/>
    <cellStyle name="Comma 4 6 5 2 2" xfId="8428" xr:uid="{00000000-0005-0000-0000-0000620A0000}"/>
    <cellStyle name="Comma 4 6 5 2 2 2" xfId="17754" xr:uid="{5510C0E4-6C64-4751-BFAA-510CBC9C61F6}"/>
    <cellStyle name="Comma 4 6 5 2 2 3" xfId="26195" xr:uid="{8689DA21-9A45-4F51-BFDF-1634CB45A044}"/>
    <cellStyle name="Comma 4 6 5 2 2 4" xfId="34635" xr:uid="{BCD1EFD4-0693-47E2-AD20-2FAC324BD7DF}"/>
    <cellStyle name="Comma 4 6 5 2 3" xfId="13537" xr:uid="{44597C3E-60C5-4F00-8DF6-4EC99C0AED45}"/>
    <cellStyle name="Comma 4 6 5 2 4" xfId="21978" xr:uid="{1A6AD3BC-1220-4491-913F-342D522F4EB6}"/>
    <cellStyle name="Comma 4 6 5 2 5" xfId="30418" xr:uid="{B1ADE51D-875F-48B2-B87B-42ABA2214140}"/>
    <cellStyle name="Comma 4 6 5 3" xfId="6283" xr:uid="{00000000-0005-0000-0000-0000630A0000}"/>
    <cellStyle name="Comma 4 6 5 3 2" xfId="15609" xr:uid="{78D46B4D-683A-40D3-A455-7AF8860E18DC}"/>
    <cellStyle name="Comma 4 6 5 3 3" xfId="24050" xr:uid="{974E567B-46A7-4FBA-80C0-720AC12F73CA}"/>
    <cellStyle name="Comma 4 6 5 3 4" xfId="32490" xr:uid="{34D9DEA8-51B8-4A7F-A9AB-23792E3A2029}"/>
    <cellStyle name="Comma 4 6 5 4" xfId="11392" xr:uid="{D8F58D55-C942-4B42-AC00-CD221C0256AC}"/>
    <cellStyle name="Comma 4 6 5 5" xfId="19833" xr:uid="{403A3A80-0567-43E5-ABCF-86EA5188CD2F}"/>
    <cellStyle name="Comma 4 6 5 6" xfId="28273" xr:uid="{941A5C17-4DBB-4476-BA7F-D2F38BB04984}"/>
    <cellStyle name="Comma 4 6 6" xfId="2412" xr:uid="{00000000-0005-0000-0000-0000640A0000}"/>
    <cellStyle name="Comma 4 6 6 2" xfId="6696" xr:uid="{00000000-0005-0000-0000-0000650A0000}"/>
    <cellStyle name="Comma 4 6 6 2 2" xfId="16022" xr:uid="{9EBC6A24-0C2C-4C3C-A0F8-682275C1B0D1}"/>
    <cellStyle name="Comma 4 6 6 2 3" xfId="24463" xr:uid="{95318B67-F1AA-421F-A38D-26CCBDED34A2}"/>
    <cellStyle name="Comma 4 6 6 2 4" xfId="32903" xr:uid="{02D4CD48-DD75-417E-9E20-7A27589CA313}"/>
    <cellStyle name="Comma 4 6 6 3" xfId="11805" xr:uid="{F4267344-08C2-4E7D-8498-B3A0A2E22471}"/>
    <cellStyle name="Comma 4 6 6 4" xfId="20246" xr:uid="{B637F5F8-1F38-456D-AC27-A4503185916A}"/>
    <cellStyle name="Comma 4 6 6 5" xfId="28686" xr:uid="{77AC9BB4-4540-46B2-90BE-DDF300D21DBE}"/>
    <cellStyle name="Comma 4 6 7" xfId="2708" xr:uid="{00000000-0005-0000-0000-0000660A0000}"/>
    <cellStyle name="Comma 4 6 8" xfId="2790" xr:uid="{00000000-0005-0000-0000-0000670A0000}"/>
    <cellStyle name="Comma 4 6 8 2" xfId="7013" xr:uid="{00000000-0005-0000-0000-0000680A0000}"/>
    <cellStyle name="Comma 4 6 8 2 2" xfId="16339" xr:uid="{FF08D0D2-2DA4-4486-9CDA-55493544C4F4}"/>
    <cellStyle name="Comma 4 6 8 2 3" xfId="24780" xr:uid="{08447557-E4A2-4D73-BC23-BE62CEB17CC3}"/>
    <cellStyle name="Comma 4 6 8 2 4" xfId="33220" xr:uid="{B0DC3DAB-E2D9-445B-84D2-1D74FCD15127}"/>
    <cellStyle name="Comma 4 6 8 3" xfId="12122" xr:uid="{7E338A24-5D8B-44E0-AE7A-C8CAD752C2F2}"/>
    <cellStyle name="Comma 4 6 8 4" xfId="20563" xr:uid="{54604CB8-3123-4FFD-B131-E6CCC5AA8E71}"/>
    <cellStyle name="Comma 4 6 8 5" xfId="29003" xr:uid="{38C114AB-3D99-459A-968B-1F26A165FFDF}"/>
    <cellStyle name="Comma 4 6 9" xfId="4630" xr:uid="{00000000-0005-0000-0000-0000690A0000}"/>
    <cellStyle name="Comma 4 6 9 2" xfId="13956" xr:uid="{45784980-FD2D-4501-A0D1-F0840A68EB6F}"/>
    <cellStyle name="Comma 4 6 9 3" xfId="22397" xr:uid="{CC4AD0E3-FA2C-4A47-9899-C448CA721D70}"/>
    <cellStyle name="Comma 4 6 9 4" xfId="30837" xr:uid="{D403A42E-F6F2-4C2C-8933-7884D9BC62CF}"/>
    <cellStyle name="Comma 4 7" xfId="160" xr:uid="{00000000-0005-0000-0000-00006A0A0000}"/>
    <cellStyle name="Comma 4 7 10" xfId="9168" xr:uid="{C5EF0C72-87BD-43A9-8A23-92F9D9423F50}"/>
    <cellStyle name="Comma 4 7 11" xfId="9740" xr:uid="{FC698989-37C6-4757-ACA9-AA9E8BD08DE1}"/>
    <cellStyle name="Comma 4 7 12" xfId="18181" xr:uid="{D6749982-28F9-4B46-848C-14D587FF4A6C}"/>
    <cellStyle name="Comma 4 7 13" xfId="26621" xr:uid="{773913BD-E170-4E36-90BB-57713D000B28}"/>
    <cellStyle name="Comma 4 7 2" xfId="697" xr:uid="{00000000-0005-0000-0000-00006B0A0000}"/>
    <cellStyle name="Comma 4 7 2 2" xfId="2968" xr:uid="{00000000-0005-0000-0000-00006C0A0000}"/>
    <cellStyle name="Comma 4 7 2 2 2" xfId="7190" xr:uid="{00000000-0005-0000-0000-00006D0A0000}"/>
    <cellStyle name="Comma 4 7 2 2 2 2" xfId="16516" xr:uid="{9B20ECBF-1850-4AFC-A62A-76F328A4795B}"/>
    <cellStyle name="Comma 4 7 2 2 2 3" xfId="24957" xr:uid="{32ED5A9A-9BAD-4D0C-BC78-805C6A61C342}"/>
    <cellStyle name="Comma 4 7 2 2 2 4" xfId="33397" xr:uid="{FA4E76F7-9C1A-4814-98CD-5CC0A5F5C3CA}"/>
    <cellStyle name="Comma 4 7 2 2 3" xfId="12299" xr:uid="{8E8164CE-0833-4F8E-95CB-EC5699B748B7}"/>
    <cellStyle name="Comma 4 7 2 2 4" xfId="20740" xr:uid="{9097F888-A8EB-4186-978F-5A65D1428C59}"/>
    <cellStyle name="Comma 4 7 2 2 5" xfId="29180" xr:uid="{D0A4213A-01F8-49B9-AAA8-FFC437FAAE74}"/>
    <cellStyle name="Comma 4 7 2 3" xfId="5045" xr:uid="{00000000-0005-0000-0000-00006E0A0000}"/>
    <cellStyle name="Comma 4 7 2 3 2" xfId="14371" xr:uid="{696C544C-9627-4A64-9818-222D3B46FE63}"/>
    <cellStyle name="Comma 4 7 2 3 3" xfId="22812" xr:uid="{82B461EC-91B2-4015-AB2C-F2A6B2ADF5CD}"/>
    <cellStyle name="Comma 4 7 2 3 4" xfId="31252" xr:uid="{E9EA1A82-DDE9-4355-A151-9FCC041F7ECC}"/>
    <cellStyle name="Comma 4 7 2 4" xfId="9596" xr:uid="{F4A1C070-02C1-4F2A-89F2-15465D9BEBB2}"/>
    <cellStyle name="Comma 4 7 2 5" xfId="10154" xr:uid="{A0CB943D-3867-426C-A630-BDB8F1427082}"/>
    <cellStyle name="Comma 4 7 2 6" xfId="18595" xr:uid="{BB8E2112-804E-4A8A-A87A-364305604803}"/>
    <cellStyle name="Comma 4 7 2 7" xfId="27035" xr:uid="{43C6D6C0-29A1-4D37-8539-0C29021EC07E}"/>
    <cellStyle name="Comma 4 7 3" xfId="1150" xr:uid="{00000000-0005-0000-0000-00006F0A0000}"/>
    <cellStyle name="Comma 4 7 3 2" xfId="3381" xr:uid="{00000000-0005-0000-0000-0000700A0000}"/>
    <cellStyle name="Comma 4 7 3 2 2" xfId="7603" xr:uid="{00000000-0005-0000-0000-0000710A0000}"/>
    <cellStyle name="Comma 4 7 3 2 2 2" xfId="16929" xr:uid="{C437B724-1F48-4FC4-9629-34899E99738B}"/>
    <cellStyle name="Comma 4 7 3 2 2 3" xfId="25370" xr:uid="{C9645175-E465-4B30-9426-B74CAD397E65}"/>
    <cellStyle name="Comma 4 7 3 2 2 4" xfId="33810" xr:uid="{06AB1BC5-AF49-46AD-94DD-D42906E0EA74}"/>
    <cellStyle name="Comma 4 7 3 2 3" xfId="12712" xr:uid="{1BCF0B18-5316-4D4C-83C6-91C8D320192F}"/>
    <cellStyle name="Comma 4 7 3 2 4" xfId="21153" xr:uid="{B953CE70-B536-47FF-86B2-F9EB66B5BEFC}"/>
    <cellStyle name="Comma 4 7 3 2 5" xfId="29593" xr:uid="{4CAD36CA-B01E-4D9A-9133-B6C2386F4C6B}"/>
    <cellStyle name="Comma 4 7 3 3" xfId="5458" xr:uid="{00000000-0005-0000-0000-0000720A0000}"/>
    <cellStyle name="Comma 4 7 3 3 2" xfId="14784" xr:uid="{5BEF0C30-7E10-4639-845A-B7670D575B2F}"/>
    <cellStyle name="Comma 4 7 3 3 3" xfId="23225" xr:uid="{B9CB5139-EA1E-4A82-ABA3-C1B59EF4066F}"/>
    <cellStyle name="Comma 4 7 3 3 4" xfId="31665" xr:uid="{0E2E3C03-BF54-41E7-B6CE-2175CF18A834}"/>
    <cellStyle name="Comma 4 7 3 4" xfId="10567" xr:uid="{C4A7629C-EE64-4112-9CED-AC90187F3F08}"/>
    <cellStyle name="Comma 4 7 3 5" xfId="19008" xr:uid="{F926DEBB-8B18-4E07-A611-DF842FECAACC}"/>
    <cellStyle name="Comma 4 7 3 6" xfId="27448" xr:uid="{D5E538BE-B0E8-4BD9-BA1E-C9CA778C05C2}"/>
    <cellStyle name="Comma 4 7 4" xfId="1564" xr:uid="{00000000-0005-0000-0000-0000730A0000}"/>
    <cellStyle name="Comma 4 7 4 2" xfId="3794" xr:uid="{00000000-0005-0000-0000-0000740A0000}"/>
    <cellStyle name="Comma 4 7 4 2 2" xfId="8016" xr:uid="{00000000-0005-0000-0000-0000750A0000}"/>
    <cellStyle name="Comma 4 7 4 2 2 2" xfId="17342" xr:uid="{5793F339-F5AB-4BBF-A48E-AE1DCFBF4F94}"/>
    <cellStyle name="Comma 4 7 4 2 2 3" xfId="25783" xr:uid="{062DEC92-1DAF-45F4-BC30-9BD290493DE0}"/>
    <cellStyle name="Comma 4 7 4 2 2 4" xfId="34223" xr:uid="{8D371DE4-1133-4F48-8C86-BEECF793CDA4}"/>
    <cellStyle name="Comma 4 7 4 2 3" xfId="13125" xr:uid="{00EB24A1-6628-4A6A-A928-D5BBA0435C89}"/>
    <cellStyle name="Comma 4 7 4 2 4" xfId="21566" xr:uid="{42EFDF5D-D39F-40DD-9597-F8B4A23A712A}"/>
    <cellStyle name="Comma 4 7 4 2 5" xfId="30006" xr:uid="{D10C8D78-E630-457A-8087-5C31018D31B6}"/>
    <cellStyle name="Comma 4 7 4 3" xfId="5871" xr:uid="{00000000-0005-0000-0000-0000760A0000}"/>
    <cellStyle name="Comma 4 7 4 3 2" xfId="15197" xr:uid="{8C58BAF7-F81A-4EE4-8948-4C7EC0FAF9DE}"/>
    <cellStyle name="Comma 4 7 4 3 3" xfId="23638" xr:uid="{8407A513-31F3-4794-BDCF-91FC182F4226}"/>
    <cellStyle name="Comma 4 7 4 3 4" xfId="32078" xr:uid="{10AED868-5E2D-4E09-AA38-61CA9A998620}"/>
    <cellStyle name="Comma 4 7 4 4" xfId="10980" xr:uid="{498FB5ED-CB9B-43DE-9AA3-3A27285C5E07}"/>
    <cellStyle name="Comma 4 7 4 5" xfId="19421" xr:uid="{C47D32CB-43E3-4072-9170-DC963BB20FEF}"/>
    <cellStyle name="Comma 4 7 4 6" xfId="27861" xr:uid="{C93F29FD-6B3C-425B-ADE7-33EA8EAC84B1}"/>
    <cellStyle name="Comma 4 7 5" xfId="1978" xr:uid="{00000000-0005-0000-0000-0000770A0000}"/>
    <cellStyle name="Comma 4 7 5 2" xfId="4207" xr:uid="{00000000-0005-0000-0000-0000780A0000}"/>
    <cellStyle name="Comma 4 7 5 2 2" xfId="8429" xr:uid="{00000000-0005-0000-0000-0000790A0000}"/>
    <cellStyle name="Comma 4 7 5 2 2 2" xfId="17755" xr:uid="{3AB8E9B3-7E4F-4100-AC38-B232B15C32BC}"/>
    <cellStyle name="Comma 4 7 5 2 2 3" xfId="26196" xr:uid="{6CF1C40E-D0E6-4033-92A6-4C0FB67AE5BF}"/>
    <cellStyle name="Comma 4 7 5 2 2 4" xfId="34636" xr:uid="{F58B7EDE-DE5F-4984-A0AE-D1AC0919557D}"/>
    <cellStyle name="Comma 4 7 5 2 3" xfId="13538" xr:uid="{9D4DC058-4011-4AD2-AEB1-7452B3B8E5D6}"/>
    <cellStyle name="Comma 4 7 5 2 4" xfId="21979" xr:uid="{B394371A-1BD0-4F3F-B3D5-97DA09D4740B}"/>
    <cellStyle name="Comma 4 7 5 2 5" xfId="30419" xr:uid="{F9AFAC7C-C2DE-4BCA-8051-F90CDE67816D}"/>
    <cellStyle name="Comma 4 7 5 3" xfId="6284" xr:uid="{00000000-0005-0000-0000-00007A0A0000}"/>
    <cellStyle name="Comma 4 7 5 3 2" xfId="15610" xr:uid="{6D317F67-7852-46C2-9418-6E2B9345F6A6}"/>
    <cellStyle name="Comma 4 7 5 3 3" xfId="24051" xr:uid="{8F386B19-71D6-4909-8046-2059A39AF536}"/>
    <cellStyle name="Comma 4 7 5 3 4" xfId="32491" xr:uid="{9929347F-60F9-499B-8556-0F9B5E766F2A}"/>
    <cellStyle name="Comma 4 7 5 4" xfId="11393" xr:uid="{E0DF11DD-7506-4448-9FA9-003D8708E548}"/>
    <cellStyle name="Comma 4 7 5 5" xfId="19834" xr:uid="{AF9A429B-0B74-4D67-81EA-1533D401B843}"/>
    <cellStyle name="Comma 4 7 5 6" xfId="28274" xr:uid="{821A255C-FDA0-42BB-8858-78A6965D6E1F}"/>
    <cellStyle name="Comma 4 7 6" xfId="2413" xr:uid="{00000000-0005-0000-0000-00007B0A0000}"/>
    <cellStyle name="Comma 4 7 6 2" xfId="6697" xr:uid="{00000000-0005-0000-0000-00007C0A0000}"/>
    <cellStyle name="Comma 4 7 6 2 2" xfId="16023" xr:uid="{F718E6AB-0C72-4950-8C88-A114FB4C281F}"/>
    <cellStyle name="Comma 4 7 6 2 3" xfId="24464" xr:uid="{05FD169A-B73B-476D-8E6A-54C57D64ADE7}"/>
    <cellStyle name="Comma 4 7 6 2 4" xfId="32904" xr:uid="{67606CB0-24AB-477F-B813-BC054EB2FD42}"/>
    <cellStyle name="Comma 4 7 6 3" xfId="11806" xr:uid="{124B895B-1190-4D90-9B7E-79F30E5484E2}"/>
    <cellStyle name="Comma 4 7 6 4" xfId="20247" xr:uid="{4E6FB8EF-56BD-41BD-8847-F7E2533003AE}"/>
    <cellStyle name="Comma 4 7 6 5" xfId="28687" xr:uid="{209BF057-668A-481B-84B6-8C3B9810D7FE}"/>
    <cellStyle name="Comma 4 7 7" xfId="2709" xr:uid="{00000000-0005-0000-0000-00007D0A0000}"/>
    <cellStyle name="Comma 4 7 8" xfId="2791" xr:uid="{00000000-0005-0000-0000-00007E0A0000}"/>
    <cellStyle name="Comma 4 7 8 2" xfId="7014" xr:uid="{00000000-0005-0000-0000-00007F0A0000}"/>
    <cellStyle name="Comma 4 7 8 2 2" xfId="16340" xr:uid="{D9D1507A-7388-42F7-879F-52AE550AD023}"/>
    <cellStyle name="Comma 4 7 8 2 3" xfId="24781" xr:uid="{EB688644-3B7E-4E20-8297-E3781936AB99}"/>
    <cellStyle name="Comma 4 7 8 2 4" xfId="33221" xr:uid="{98421146-255E-4996-A499-31918C88448F}"/>
    <cellStyle name="Comma 4 7 8 3" xfId="12123" xr:uid="{840807EE-456D-48C3-9BBD-1DD6AC15DA3D}"/>
    <cellStyle name="Comma 4 7 8 4" xfId="20564" xr:uid="{983D8310-F50A-4038-A941-C9F3D711BE72}"/>
    <cellStyle name="Comma 4 7 8 5" xfId="29004" xr:uid="{1B67D2D6-3CA8-4F93-82EA-55BFBDD5DE72}"/>
    <cellStyle name="Comma 4 7 9" xfId="4631" xr:uid="{00000000-0005-0000-0000-0000800A0000}"/>
    <cellStyle name="Comma 4 7 9 2" xfId="13957" xr:uid="{E0A6F686-7DB0-49CA-93DA-15D83E5622CE}"/>
    <cellStyle name="Comma 4 7 9 3" xfId="22398" xr:uid="{169BE364-6D6E-4B7D-9775-8CD09E91B0E3}"/>
    <cellStyle name="Comma 4 7 9 4" xfId="30838" xr:uid="{863EEA7B-FB57-49DC-892F-1EF69C5E9F09}"/>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omma 7 4" xfId="13825" xr:uid="{69BBA1D8-8810-43AC-938F-41E6CA67A565}"/>
    <cellStyle name="Comma 7 5" xfId="22266" xr:uid="{6D87D877-DAF0-4BD8-9E5A-58440DEBDE22}"/>
    <cellStyle name="Comma 7 6" xfId="30706" xr:uid="{47C9DAF4-A161-4145-A2C7-0EACD2BA3A57}"/>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99BE647E-C7B4-4A0A-9763-00954B82EFFC}"/>
    <cellStyle name="Currency 14 2 3" xfId="26483" xr:uid="{84B30E58-0E74-4FD6-9478-7E7EDEAC065C}"/>
    <cellStyle name="Currency 14 2 4" xfId="34923" xr:uid="{0003AA0E-F612-4313-8D51-8668B06F8648}"/>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3" xfId="18051" xr:uid="{8A565247-4016-4A14-BDCD-B9581594079B}"/>
    <cellStyle name="Currency 14 3 2 2 4" xfId="26492" xr:uid="{99CD23A5-BDF7-4848-AD02-35289F87EE1C}"/>
    <cellStyle name="Currency 14 3 2 2 5" xfId="34932" xr:uid="{3ADAB2AC-BF06-4BFA-9414-3347BEF9FFED}"/>
    <cellStyle name="Currency 14 3 2 3" xfId="18048" xr:uid="{0BEE2B79-AF30-464D-89BB-A8BD94AC5240}"/>
    <cellStyle name="Currency 14 3 2 4" xfId="26489" xr:uid="{6C0A5196-22A4-4495-A16F-AC9E91AEDE58}"/>
    <cellStyle name="Currency 14 3 2 5" xfId="34929" xr:uid="{624B522C-6A85-4B9B-856D-6DBCE586DE10}"/>
    <cellStyle name="Currency 14 3 3" xfId="18045" xr:uid="{A726C9F8-14B1-408D-B92E-281A518E97AB}"/>
    <cellStyle name="Currency 14 3 4" xfId="26486" xr:uid="{F5310804-2417-4072-8EBC-9C572E326EB0}"/>
    <cellStyle name="Currency 14 3 5" xfId="34926" xr:uid="{1F92CD3E-E4A5-42F1-8EFE-F1D5CDB68A09}"/>
    <cellStyle name="Currency 14 4" xfId="13828" xr:uid="{FE43D6E1-105F-41E6-8524-EBCD43A47754}"/>
    <cellStyle name="Currency 14 5" xfId="22269" xr:uid="{FD80E9F9-CBBD-4F5A-AEA0-9B5E52834030}"/>
    <cellStyle name="Currency 14 6" xfId="30709" xr:uid="{4B4C7512-457D-4C19-B800-B57C659EDD88}"/>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F402E962-6F68-4068-BE8B-0ABB07A1CAC1}"/>
    <cellStyle name="Currency 3 2 2 10 2 3" xfId="24782" xr:uid="{8F5B2452-752F-4E86-9F3A-3455A281C7CF}"/>
    <cellStyle name="Currency 3 2 2 10 2 4" xfId="33222" xr:uid="{7593F379-6B3C-47C4-AC06-CA25743838E4}"/>
    <cellStyle name="Currency 3 2 2 10 3" xfId="12124" xr:uid="{1CDEFBFC-777A-47C1-A474-3BA1BBAA943F}"/>
    <cellStyle name="Currency 3 2 2 10 4" xfId="20565" xr:uid="{A2E4ED85-6726-4B25-AF70-B40A9DBD600E}"/>
    <cellStyle name="Currency 3 2 2 10 5" xfId="29005" xr:uid="{B098CD2B-B33D-4BFA-9108-F59B8061A24D}"/>
    <cellStyle name="Currency 3 2 2 11" xfId="4632" xr:uid="{00000000-0005-0000-0000-0000A50A0000}"/>
    <cellStyle name="Currency 3 2 2 11 2" xfId="13958" xr:uid="{FB86AB0A-4C1F-46EF-B3E3-87764834BA51}"/>
    <cellStyle name="Currency 3 2 2 11 3" xfId="22399" xr:uid="{017B851E-0FF6-40A0-874C-7374A3E71202}"/>
    <cellStyle name="Currency 3 2 2 11 4" xfId="30839" xr:uid="{78608B78-A87A-48ED-ADA3-5B89D6C4E2B1}"/>
    <cellStyle name="Currency 3 2 2 12" xfId="8808" xr:uid="{5CD24693-181E-456A-9199-DC057509AC96}"/>
    <cellStyle name="Currency 3 2 2 13" xfId="9741" xr:uid="{DADCDBBA-B6F6-448E-80F6-E46FAADF5FB2}"/>
    <cellStyle name="Currency 3 2 2 14" xfId="18182" xr:uid="{F55D1C3B-5D97-4D34-9DF8-B64AAB153917}"/>
    <cellStyle name="Currency 3 2 2 15" xfId="26622" xr:uid="{0F65E459-7BA6-48DC-8022-9CC518A98F41}"/>
    <cellStyle name="Currency 3 2 2 2" xfId="179" xr:uid="{00000000-0005-0000-0000-0000A60A0000}"/>
    <cellStyle name="Currency 3 2 2 2 10" xfId="4633" xr:uid="{00000000-0005-0000-0000-0000A70A0000}"/>
    <cellStyle name="Currency 3 2 2 2 10 2" xfId="13959" xr:uid="{CC302C66-B588-4767-AD83-E700FCD053FD}"/>
    <cellStyle name="Currency 3 2 2 2 10 3" xfId="22400" xr:uid="{87C468B0-ECCC-476B-AD3C-4F4F6DA7C294}"/>
    <cellStyle name="Currency 3 2 2 2 10 4" xfId="30840" xr:uid="{113C21F9-47BA-4344-96E1-4B4BBB258C99}"/>
    <cellStyle name="Currency 3 2 2 2 11" xfId="8911" xr:uid="{177A45F7-B130-49DA-829A-AA3BF41B848C}"/>
    <cellStyle name="Currency 3 2 2 2 12" xfId="9742" xr:uid="{C86C7E78-D264-4B48-86D2-8E6BDE47B858}"/>
    <cellStyle name="Currency 3 2 2 2 13" xfId="18183" xr:uid="{1C6EFD08-5EB7-4500-8665-62CD744D1F15}"/>
    <cellStyle name="Currency 3 2 2 2 14" xfId="26623" xr:uid="{1799EB58-6E56-4F32-9FEF-A85E3E297C24}"/>
    <cellStyle name="Currency 3 2 2 2 2" xfId="180" xr:uid="{00000000-0005-0000-0000-0000A80A0000}"/>
    <cellStyle name="Currency 3 2 2 2 2 10" xfId="9118" xr:uid="{4DDBDF88-B997-49F5-AF34-322CC93508E5}"/>
    <cellStyle name="Currency 3 2 2 2 2 11" xfId="9743" xr:uid="{D6B19151-5070-44F8-B563-BCE531808C80}"/>
    <cellStyle name="Currency 3 2 2 2 2 12" xfId="18184" xr:uid="{3D06D441-83D9-45E0-872A-5F873DECFE10}"/>
    <cellStyle name="Currency 3 2 2 2 2 13" xfId="26624" xr:uid="{FEBD1C01-1DA8-4E0A-9E40-1FD356A3D25F}"/>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DFA30F74-EF66-44A1-B560-A18B21120A58}"/>
    <cellStyle name="Currency 3 2 2 2 2 2 2 2 3" xfId="24960" xr:uid="{62562D4C-0C99-4C90-99F5-96CFB03012EB}"/>
    <cellStyle name="Currency 3 2 2 2 2 2 2 2 4" xfId="33400" xr:uid="{B8D2C1BD-E9B7-42BC-BCD3-EBA4CCF804DF}"/>
    <cellStyle name="Currency 3 2 2 2 2 2 2 3" xfId="12302" xr:uid="{08E0B943-12F1-4F90-B558-E11A74C5283A}"/>
    <cellStyle name="Currency 3 2 2 2 2 2 2 4" xfId="20743" xr:uid="{3A839585-9AD2-4D29-AA12-0C08D7469BDB}"/>
    <cellStyle name="Currency 3 2 2 2 2 2 2 5" xfId="29183" xr:uid="{6A664378-D505-47B7-B1C4-81CC817DEDFB}"/>
    <cellStyle name="Currency 3 2 2 2 2 2 3" xfId="5048" xr:uid="{00000000-0005-0000-0000-0000AC0A0000}"/>
    <cellStyle name="Currency 3 2 2 2 2 2 3 2" xfId="14374" xr:uid="{C16863DE-BB11-498B-853B-2D73AF90A167}"/>
    <cellStyle name="Currency 3 2 2 2 2 2 3 3" xfId="22815" xr:uid="{747E7B17-B320-43CC-ADC0-8BB00465ADB5}"/>
    <cellStyle name="Currency 3 2 2 2 2 2 3 4" xfId="31255" xr:uid="{5DE222D0-EB3B-45D6-B750-52D394A9B883}"/>
    <cellStyle name="Currency 3 2 2 2 2 2 4" xfId="9543" xr:uid="{08990697-BAC1-4B06-A86B-C554A35267E6}"/>
    <cellStyle name="Currency 3 2 2 2 2 2 5" xfId="10157" xr:uid="{B4F364AF-3A3E-46E6-9B22-CA241FD8AE0F}"/>
    <cellStyle name="Currency 3 2 2 2 2 2 6" xfId="18598" xr:uid="{3F9A14C3-F979-4DA9-8B8D-C8CDE0B0D7B3}"/>
    <cellStyle name="Currency 3 2 2 2 2 2 7" xfId="27038" xr:uid="{F36F04F8-A8ED-4960-9A71-85977CE65BC5}"/>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5448AD02-A725-4004-A4C3-2B974F260C93}"/>
    <cellStyle name="Currency 3 2 2 2 2 3 2 2 3" xfId="25373" xr:uid="{29AB452E-79CB-46E4-A806-33D62FD546F4}"/>
    <cellStyle name="Currency 3 2 2 2 2 3 2 2 4" xfId="33813" xr:uid="{ECFBA73B-A3B6-40B3-9176-DA85C268D194}"/>
    <cellStyle name="Currency 3 2 2 2 2 3 2 3" xfId="12715" xr:uid="{A3DA644D-8B90-469B-8715-8C64273A116C}"/>
    <cellStyle name="Currency 3 2 2 2 2 3 2 4" xfId="21156" xr:uid="{8A3EB1A8-FF89-4C0C-B306-6D1302CB482B}"/>
    <cellStyle name="Currency 3 2 2 2 2 3 2 5" xfId="29596" xr:uid="{64BD74C7-56A5-4CD8-A4C1-EB3AE00D8DA1}"/>
    <cellStyle name="Currency 3 2 2 2 2 3 3" xfId="5461" xr:uid="{00000000-0005-0000-0000-0000B00A0000}"/>
    <cellStyle name="Currency 3 2 2 2 2 3 3 2" xfId="14787" xr:uid="{561B9C67-862A-46A2-940F-3462B2958EF8}"/>
    <cellStyle name="Currency 3 2 2 2 2 3 3 3" xfId="23228" xr:uid="{3F0991C9-0307-45F6-A499-0271B95CE6F3}"/>
    <cellStyle name="Currency 3 2 2 2 2 3 3 4" xfId="31668" xr:uid="{D27C4869-FD64-4EB6-8E2D-57DB8B2A4009}"/>
    <cellStyle name="Currency 3 2 2 2 2 3 4" xfId="10570" xr:uid="{1794E513-CCD4-4FD0-8DAC-CA0AE5C36276}"/>
    <cellStyle name="Currency 3 2 2 2 2 3 5" xfId="19011" xr:uid="{18739BDF-4AEB-40E1-8E32-383D3477C160}"/>
    <cellStyle name="Currency 3 2 2 2 2 3 6" xfId="27451" xr:uid="{377EF780-0454-40C3-A1F2-DC2C5862FBC1}"/>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EEC68BE6-5CB6-400C-B6DC-94766F0508CD}"/>
    <cellStyle name="Currency 3 2 2 2 2 4 2 2 3" xfId="25786" xr:uid="{89154D19-B011-4EBB-A836-FD034FF180B3}"/>
    <cellStyle name="Currency 3 2 2 2 2 4 2 2 4" xfId="34226" xr:uid="{7EC26D1D-2985-4C56-AFA1-1E97D66A9896}"/>
    <cellStyle name="Currency 3 2 2 2 2 4 2 3" xfId="13128" xr:uid="{12D40AEC-61F6-45C5-80AC-68588D6EFD5B}"/>
    <cellStyle name="Currency 3 2 2 2 2 4 2 4" xfId="21569" xr:uid="{7A407C0E-7603-40A9-9CE5-4934BC270C48}"/>
    <cellStyle name="Currency 3 2 2 2 2 4 2 5" xfId="30009" xr:uid="{C94E0224-27A4-4985-9841-6E6331414D2E}"/>
    <cellStyle name="Currency 3 2 2 2 2 4 3" xfId="5874" xr:uid="{00000000-0005-0000-0000-0000B40A0000}"/>
    <cellStyle name="Currency 3 2 2 2 2 4 3 2" xfId="15200" xr:uid="{030BAD6C-9637-4DCC-AF00-93E323BA80EB}"/>
    <cellStyle name="Currency 3 2 2 2 2 4 3 3" xfId="23641" xr:uid="{387E131B-5EFA-4117-9AC0-97A598683A57}"/>
    <cellStyle name="Currency 3 2 2 2 2 4 3 4" xfId="32081" xr:uid="{023E9682-684D-46EA-A855-33828232ED60}"/>
    <cellStyle name="Currency 3 2 2 2 2 4 4" xfId="10983" xr:uid="{18A92376-2B68-4844-9CC4-4E0164DCF4EE}"/>
    <cellStyle name="Currency 3 2 2 2 2 4 5" xfId="19424" xr:uid="{71CC4371-D7F6-4392-AA84-C4C21D4556A6}"/>
    <cellStyle name="Currency 3 2 2 2 2 4 6" xfId="27864" xr:uid="{C12C7E57-839C-494D-A642-D09CBA3C108A}"/>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E81C851C-4439-49B7-850D-5F89496AE98D}"/>
    <cellStyle name="Currency 3 2 2 2 2 5 2 2 3" xfId="26199" xr:uid="{BF7D6E83-06F5-4F67-8FF8-F9CEF4FB2C18}"/>
    <cellStyle name="Currency 3 2 2 2 2 5 2 2 4" xfId="34639" xr:uid="{A569DFFA-72DD-45D1-8B26-00F7DB7BBF07}"/>
    <cellStyle name="Currency 3 2 2 2 2 5 2 3" xfId="13541" xr:uid="{84BBD1D9-3811-4473-B821-F7323F5C5366}"/>
    <cellStyle name="Currency 3 2 2 2 2 5 2 4" xfId="21982" xr:uid="{5BC1B8A4-9D1E-4F81-9F75-A264C28398C0}"/>
    <cellStyle name="Currency 3 2 2 2 2 5 2 5" xfId="30422" xr:uid="{EDC08644-63A2-4392-888C-2D8C3EC1FABB}"/>
    <cellStyle name="Currency 3 2 2 2 2 5 3" xfId="6287" xr:uid="{00000000-0005-0000-0000-0000B80A0000}"/>
    <cellStyle name="Currency 3 2 2 2 2 5 3 2" xfId="15613" xr:uid="{73494F70-DED8-4191-B308-17F4818804F5}"/>
    <cellStyle name="Currency 3 2 2 2 2 5 3 3" xfId="24054" xr:uid="{3899BFEF-797C-48DE-9DE1-E986E03B03C3}"/>
    <cellStyle name="Currency 3 2 2 2 2 5 3 4" xfId="32494" xr:uid="{DFC93D86-3922-4785-9A8F-035B3BD5BD99}"/>
    <cellStyle name="Currency 3 2 2 2 2 5 4" xfId="11396" xr:uid="{C9D20F14-44F8-4DBC-B38A-1D8AC8CDFC37}"/>
    <cellStyle name="Currency 3 2 2 2 2 5 5" xfId="19837" xr:uid="{98581042-D496-4B9A-845C-5DD8FF025DBA}"/>
    <cellStyle name="Currency 3 2 2 2 2 5 6" xfId="28277" xr:uid="{500F617F-3EAF-45A2-A9EC-19168F53500F}"/>
    <cellStyle name="Currency 3 2 2 2 2 6" xfId="2416" xr:uid="{00000000-0005-0000-0000-0000B90A0000}"/>
    <cellStyle name="Currency 3 2 2 2 2 6 2" xfId="6700" xr:uid="{00000000-0005-0000-0000-0000BA0A0000}"/>
    <cellStyle name="Currency 3 2 2 2 2 6 2 2" xfId="16026" xr:uid="{9982668A-D382-4FB3-983F-E7DC1D00AF74}"/>
    <cellStyle name="Currency 3 2 2 2 2 6 2 3" xfId="24467" xr:uid="{620B00F5-806E-4506-848B-E1D96136A4F4}"/>
    <cellStyle name="Currency 3 2 2 2 2 6 2 4" xfId="32907" xr:uid="{434D8CE6-AED8-4B43-9FAB-C1B2DA5BDB8D}"/>
    <cellStyle name="Currency 3 2 2 2 2 6 3" xfId="11809" xr:uid="{E9B87ED0-0DCF-493F-8A99-9CA4C32FBB2B}"/>
    <cellStyle name="Currency 3 2 2 2 2 6 4" xfId="20250" xr:uid="{29BBA051-6D17-4B34-803E-7CDF9A2513F0}"/>
    <cellStyle name="Currency 3 2 2 2 2 6 5" xfId="28690" xr:uid="{3E6D2799-6D58-4C9B-A694-B3A60FDD533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2569DA52-EDEA-44AF-96E6-C5F6AF7AAD49}"/>
    <cellStyle name="Currency 3 2 2 2 2 8 2 3" xfId="24784" xr:uid="{21EF4FAF-06AC-41BE-8B94-284258802808}"/>
    <cellStyle name="Currency 3 2 2 2 2 8 2 4" xfId="33224" xr:uid="{415BBA6C-0404-44DA-BDF3-6F5CCF54C073}"/>
    <cellStyle name="Currency 3 2 2 2 2 8 3" xfId="12126" xr:uid="{A606CA92-AEE9-47CF-8782-266239705C79}"/>
    <cellStyle name="Currency 3 2 2 2 2 8 4" xfId="20567" xr:uid="{A033572E-98E5-4973-ADB1-AA11E0E9F337}"/>
    <cellStyle name="Currency 3 2 2 2 2 8 5" xfId="29007" xr:uid="{465ACF1D-AE67-4647-A2B6-E40F9A961798}"/>
    <cellStyle name="Currency 3 2 2 2 2 9" xfId="4634" xr:uid="{00000000-0005-0000-0000-0000BE0A0000}"/>
    <cellStyle name="Currency 3 2 2 2 2 9 2" xfId="13960" xr:uid="{D3E62757-6391-48A1-914B-935D696E3070}"/>
    <cellStyle name="Currency 3 2 2 2 2 9 3" xfId="22401" xr:uid="{85262CB7-4A04-4B30-93B8-70BEAA7F4B10}"/>
    <cellStyle name="Currency 3 2 2 2 2 9 4" xfId="30841" xr:uid="{BF8FC6DC-75C2-4CF7-A96D-0CCF0B9B7158}"/>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B1E4B26E-1E0C-4BFD-B3DD-1F922D6CC8A0}"/>
    <cellStyle name="Currency 3 2 2 2 3 2 2 3" xfId="24959" xr:uid="{013DDA83-E1D2-4D43-9519-1539F3A88E82}"/>
    <cellStyle name="Currency 3 2 2 2 3 2 2 4" xfId="33399" xr:uid="{67210EFC-37BD-49B8-85D1-4568B55522F5}"/>
    <cellStyle name="Currency 3 2 2 2 3 2 3" xfId="12301" xr:uid="{D0BBA16E-B58A-423A-9F0B-DD13B3131123}"/>
    <cellStyle name="Currency 3 2 2 2 3 2 4" xfId="20742" xr:uid="{1B2B193C-0CD9-4018-BFEC-0D118D7953E7}"/>
    <cellStyle name="Currency 3 2 2 2 3 2 5" xfId="29182" xr:uid="{E039BDC2-D2E2-47B5-983B-EF8986FB6C2C}"/>
    <cellStyle name="Currency 3 2 2 2 3 3" xfId="5047" xr:uid="{00000000-0005-0000-0000-0000C20A0000}"/>
    <cellStyle name="Currency 3 2 2 2 3 3 2" xfId="14373" xr:uid="{A2B9E608-357F-4A32-AF1C-4C2F1E40E6C2}"/>
    <cellStyle name="Currency 3 2 2 2 3 3 3" xfId="22814" xr:uid="{C0092743-7ADD-4D66-9703-4AEAC987D175}"/>
    <cellStyle name="Currency 3 2 2 2 3 3 4" xfId="31254" xr:uid="{97CC55FF-920B-4292-8205-6E931943977A}"/>
    <cellStyle name="Currency 3 2 2 2 3 4" xfId="9336" xr:uid="{F86D5454-A503-484B-B8F3-81FF219E49D0}"/>
    <cellStyle name="Currency 3 2 2 2 3 5" xfId="10156" xr:uid="{E872764F-987E-4154-9A7F-65279BEDF52B}"/>
    <cellStyle name="Currency 3 2 2 2 3 6" xfId="18597" xr:uid="{AE420BA3-E90B-46E2-93E9-B1EEB0333D4C}"/>
    <cellStyle name="Currency 3 2 2 2 3 7" xfId="27037" xr:uid="{DD9429C1-30F2-411A-88E7-230C2A334BB8}"/>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C427D535-EADA-49E3-82C5-E879C7C7E158}"/>
    <cellStyle name="Currency 3 2 2 2 4 2 2 3" xfId="25372" xr:uid="{02CEAAB2-17D1-45FF-8444-5E0B81D77E8E}"/>
    <cellStyle name="Currency 3 2 2 2 4 2 2 4" xfId="33812" xr:uid="{8FFED58E-E086-4643-91DF-CF787A8EC8AB}"/>
    <cellStyle name="Currency 3 2 2 2 4 2 3" xfId="12714" xr:uid="{9AA9245A-2757-432C-9D6D-8B41FA40C847}"/>
    <cellStyle name="Currency 3 2 2 2 4 2 4" xfId="21155" xr:uid="{663DA220-4DAB-4799-9442-103B790AD473}"/>
    <cellStyle name="Currency 3 2 2 2 4 2 5" xfId="29595" xr:uid="{A3F142A6-7A9C-4462-AA07-72DCDBBFA5CC}"/>
    <cellStyle name="Currency 3 2 2 2 4 3" xfId="5460" xr:uid="{00000000-0005-0000-0000-0000C60A0000}"/>
    <cellStyle name="Currency 3 2 2 2 4 3 2" xfId="14786" xr:uid="{2E94F765-5C3A-4E98-A060-0F22424BCC06}"/>
    <cellStyle name="Currency 3 2 2 2 4 3 3" xfId="23227" xr:uid="{C42AC1CD-36D1-4D01-B766-FD29F87FF243}"/>
    <cellStyle name="Currency 3 2 2 2 4 3 4" xfId="31667" xr:uid="{E15BD628-4BC3-4A63-B502-7C2B6E6FF92F}"/>
    <cellStyle name="Currency 3 2 2 2 4 4" xfId="10569" xr:uid="{8CE57ADB-4C42-48AC-B5B4-C05DCC70DDF6}"/>
    <cellStyle name="Currency 3 2 2 2 4 5" xfId="19010" xr:uid="{20B03B91-CAD2-4BB4-8EAB-5991A597CC88}"/>
    <cellStyle name="Currency 3 2 2 2 4 6" xfId="27450" xr:uid="{70BFDF9B-0107-41C2-850D-287FD051CE0A}"/>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26574E00-D750-4E4E-BD2F-66FDB39CF6C4}"/>
    <cellStyle name="Currency 3 2 2 2 5 2 2 3" xfId="25785" xr:uid="{D4764BA8-EE67-4A41-AC7B-55E4022EDD82}"/>
    <cellStyle name="Currency 3 2 2 2 5 2 2 4" xfId="34225" xr:uid="{E3E107DD-DDFA-4E0E-A9D9-7490C65C3485}"/>
    <cellStyle name="Currency 3 2 2 2 5 2 3" xfId="13127" xr:uid="{F442EBB6-0A7F-4B85-A559-315C1655FE9F}"/>
    <cellStyle name="Currency 3 2 2 2 5 2 4" xfId="21568" xr:uid="{B255262C-AB62-490F-86C4-7C01B31854AB}"/>
    <cellStyle name="Currency 3 2 2 2 5 2 5" xfId="30008" xr:uid="{2F0DF39D-EAEB-4366-9B9A-033A08DCE171}"/>
    <cellStyle name="Currency 3 2 2 2 5 3" xfId="5873" xr:uid="{00000000-0005-0000-0000-0000CA0A0000}"/>
    <cellStyle name="Currency 3 2 2 2 5 3 2" xfId="15199" xr:uid="{7C002CC8-982B-4227-88E2-49E8DE904FA0}"/>
    <cellStyle name="Currency 3 2 2 2 5 3 3" xfId="23640" xr:uid="{2FE0E5EC-4A50-4D95-992B-795AACA476D2}"/>
    <cellStyle name="Currency 3 2 2 2 5 3 4" xfId="32080" xr:uid="{FBB5AFD1-62CA-4340-97D0-33B73B1AE33D}"/>
    <cellStyle name="Currency 3 2 2 2 5 4" xfId="10982" xr:uid="{96FC7F89-F888-4E89-83AD-716800F9E950}"/>
    <cellStyle name="Currency 3 2 2 2 5 5" xfId="19423" xr:uid="{472674CC-068E-47AA-9C77-B87C0D3FF944}"/>
    <cellStyle name="Currency 3 2 2 2 5 6" xfId="27863" xr:uid="{2853364B-89F8-41FD-B57C-23C4B904A1F9}"/>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AAB92A21-4E26-4EF9-8F7F-F63FF5D27BC6}"/>
    <cellStyle name="Currency 3 2 2 2 6 2 2 3" xfId="26198" xr:uid="{4688F946-026B-4F00-9AE3-0CC238BE5156}"/>
    <cellStyle name="Currency 3 2 2 2 6 2 2 4" xfId="34638" xr:uid="{25BF0338-C1CA-4943-8937-334AB1A44B1D}"/>
    <cellStyle name="Currency 3 2 2 2 6 2 3" xfId="13540" xr:uid="{1527D858-1A09-46AC-BBEC-F5736FD170AF}"/>
    <cellStyle name="Currency 3 2 2 2 6 2 4" xfId="21981" xr:uid="{FCAEDB26-5B86-4694-8C5A-050460033AC0}"/>
    <cellStyle name="Currency 3 2 2 2 6 2 5" xfId="30421" xr:uid="{5818A94E-6539-4948-8138-819E04302C34}"/>
    <cellStyle name="Currency 3 2 2 2 6 3" xfId="6286" xr:uid="{00000000-0005-0000-0000-0000CE0A0000}"/>
    <cellStyle name="Currency 3 2 2 2 6 3 2" xfId="15612" xr:uid="{34FD4340-B286-4B34-AFDA-92BFC67982F7}"/>
    <cellStyle name="Currency 3 2 2 2 6 3 3" xfId="24053" xr:uid="{5DBE8FE2-DD8C-49CB-A14D-8F7BB161DB17}"/>
    <cellStyle name="Currency 3 2 2 2 6 3 4" xfId="32493" xr:uid="{FA5443A7-2A38-40DA-9081-8868D8B32EBF}"/>
    <cellStyle name="Currency 3 2 2 2 6 4" xfId="11395" xr:uid="{DC0C4F25-696D-4E6F-8C1C-A7CD847872DE}"/>
    <cellStyle name="Currency 3 2 2 2 6 5" xfId="19836" xr:uid="{ED188BC7-BAE5-4EC7-80FC-74584E50655F}"/>
    <cellStyle name="Currency 3 2 2 2 6 6" xfId="28276" xr:uid="{49618E16-6324-428B-9C1F-06ACB7CC3DCD}"/>
    <cellStyle name="Currency 3 2 2 2 7" xfId="2415" xr:uid="{00000000-0005-0000-0000-0000CF0A0000}"/>
    <cellStyle name="Currency 3 2 2 2 7 2" xfId="6699" xr:uid="{00000000-0005-0000-0000-0000D00A0000}"/>
    <cellStyle name="Currency 3 2 2 2 7 2 2" xfId="16025" xr:uid="{CF4501E5-D88C-4D0C-95D6-9D8116E6F18A}"/>
    <cellStyle name="Currency 3 2 2 2 7 2 3" xfId="24466" xr:uid="{49D03494-0121-45F1-AA23-1B00BB8C2396}"/>
    <cellStyle name="Currency 3 2 2 2 7 2 4" xfId="32906" xr:uid="{57D83D0B-8172-4DE1-A6CE-AE1DC592ECBE}"/>
    <cellStyle name="Currency 3 2 2 2 7 3" xfId="11808" xr:uid="{0A4B92A2-BFB1-4E2C-BCA7-0DE5DAB9CA55}"/>
    <cellStyle name="Currency 3 2 2 2 7 4" xfId="20249" xr:uid="{56A8395A-9186-491E-AFA0-36B8983E6FD4}"/>
    <cellStyle name="Currency 3 2 2 2 7 5" xfId="28689" xr:uid="{7EA36B8E-F89F-46FB-BF99-D2B7CDBC52B7}"/>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0A8F78E5-C9E9-43B0-9890-C540834044D8}"/>
    <cellStyle name="Currency 3 2 2 2 9 2 3" xfId="24783" xr:uid="{0B468A93-7ABB-4A76-ACBB-C9988DFD875E}"/>
    <cellStyle name="Currency 3 2 2 2 9 2 4" xfId="33223" xr:uid="{6ADB0D46-74CD-4B07-8FF5-729BC0A2A6A4}"/>
    <cellStyle name="Currency 3 2 2 2 9 3" xfId="12125" xr:uid="{CD40CEF9-00A0-4C42-8D5B-6B94B8DB6D8D}"/>
    <cellStyle name="Currency 3 2 2 2 9 4" xfId="20566" xr:uid="{0CD26CD0-2597-454F-A94F-E7F7926749FA}"/>
    <cellStyle name="Currency 3 2 2 2 9 5" xfId="29006" xr:uid="{AD4D0EC9-737F-4859-8B3C-CDAFBDA99E4F}"/>
    <cellStyle name="Currency 3 2 2 3" xfId="181" xr:uid="{00000000-0005-0000-0000-0000D40A0000}"/>
    <cellStyle name="Currency 3 2 2 3 10" xfId="9015" xr:uid="{A1C3FAFC-6FB9-45C5-A279-C90E61794A63}"/>
    <cellStyle name="Currency 3 2 2 3 11" xfId="9744" xr:uid="{64E557EC-7DC7-4921-A45D-E556CE5B20E6}"/>
    <cellStyle name="Currency 3 2 2 3 12" xfId="18185" xr:uid="{A88B4DA1-512B-4A74-AF00-D86709E8FC92}"/>
    <cellStyle name="Currency 3 2 2 3 13" xfId="26625" xr:uid="{CD42C1B1-54CE-4DCE-A0E0-7FE37A3FCC9A}"/>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4B59248D-AB88-4AAF-8831-43516B03218E}"/>
    <cellStyle name="Currency 3 2 2 3 2 2 2 3" xfId="24961" xr:uid="{CB2F9A35-C104-4402-B4FB-F4D2B4DED131}"/>
    <cellStyle name="Currency 3 2 2 3 2 2 2 4" xfId="33401" xr:uid="{3330D5DF-397F-4C72-8A9F-70BA19F2598E}"/>
    <cellStyle name="Currency 3 2 2 3 2 2 3" xfId="12303" xr:uid="{6314EF98-70CA-4A26-9CF7-5246A954FAC8}"/>
    <cellStyle name="Currency 3 2 2 3 2 2 4" xfId="20744" xr:uid="{87D1FA5A-D9E1-4CCD-A000-256BCE8E6B2B}"/>
    <cellStyle name="Currency 3 2 2 3 2 2 5" xfId="29184" xr:uid="{E991D7D5-ABBD-44B4-A7AF-774794600906}"/>
    <cellStyle name="Currency 3 2 2 3 2 3" xfId="5049" xr:uid="{00000000-0005-0000-0000-0000D80A0000}"/>
    <cellStyle name="Currency 3 2 2 3 2 3 2" xfId="14375" xr:uid="{F91CA5BE-D707-4330-B72A-944D63835784}"/>
    <cellStyle name="Currency 3 2 2 3 2 3 3" xfId="22816" xr:uid="{EAEA6BDA-7A7B-4403-811C-92B43E388A13}"/>
    <cellStyle name="Currency 3 2 2 3 2 3 4" xfId="31256" xr:uid="{6148F091-1E94-453F-A48B-7DF2CC5DE03A}"/>
    <cellStyle name="Currency 3 2 2 3 2 4" xfId="9440" xr:uid="{774D5512-BCA5-4224-A909-3336A63369C8}"/>
    <cellStyle name="Currency 3 2 2 3 2 5" xfId="10158" xr:uid="{E67CCD53-BAE9-47FF-BC2C-0F2140BB1978}"/>
    <cellStyle name="Currency 3 2 2 3 2 6" xfId="18599" xr:uid="{2050D7CD-373B-4C5D-9320-F39A4B6BD409}"/>
    <cellStyle name="Currency 3 2 2 3 2 7" xfId="27039" xr:uid="{A80B71C3-7A97-48D6-B92B-BF61AD6F306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91DF4D22-9FFF-4AE4-8484-CE26CCAF4B39}"/>
    <cellStyle name="Currency 3 2 2 3 3 2 2 3" xfId="25374" xr:uid="{202E981E-C2E7-4A8A-9467-E10A023957E9}"/>
    <cellStyle name="Currency 3 2 2 3 3 2 2 4" xfId="33814" xr:uid="{2EE156FD-30D0-4E04-B8A2-1A1C75442F46}"/>
    <cellStyle name="Currency 3 2 2 3 3 2 3" xfId="12716" xr:uid="{EB06572E-824E-4B7C-8110-5DEF65BEE757}"/>
    <cellStyle name="Currency 3 2 2 3 3 2 4" xfId="21157" xr:uid="{3D25C685-A9AD-46F2-B61A-688AB8EC2777}"/>
    <cellStyle name="Currency 3 2 2 3 3 2 5" xfId="29597" xr:uid="{999815C6-1798-430A-B104-1C9E913ABD05}"/>
    <cellStyle name="Currency 3 2 2 3 3 3" xfId="5462" xr:uid="{00000000-0005-0000-0000-0000DC0A0000}"/>
    <cellStyle name="Currency 3 2 2 3 3 3 2" xfId="14788" xr:uid="{48108D15-9BA1-4FD7-B700-DB43F024C98E}"/>
    <cellStyle name="Currency 3 2 2 3 3 3 3" xfId="23229" xr:uid="{A8B55B67-E47A-462A-88A9-FCE58EBA4D5D}"/>
    <cellStyle name="Currency 3 2 2 3 3 3 4" xfId="31669" xr:uid="{59044DD2-83C4-4832-8A71-E9E0D913C9E7}"/>
    <cellStyle name="Currency 3 2 2 3 3 4" xfId="10571" xr:uid="{534F4C3C-0941-4D9C-83A9-CB6FF60CF674}"/>
    <cellStyle name="Currency 3 2 2 3 3 5" xfId="19012" xr:uid="{C36AB675-8269-4C99-A239-6B8988EBCD2C}"/>
    <cellStyle name="Currency 3 2 2 3 3 6" xfId="27452" xr:uid="{FA7E6C75-AF46-4EB9-81C5-94E84CDA38D9}"/>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4636B0A9-1F2E-47D8-BCF7-D39E52A839AE}"/>
    <cellStyle name="Currency 3 2 2 3 4 2 2 3" xfId="25787" xr:uid="{07D0C784-9BEA-4248-9758-2A9DBC05D635}"/>
    <cellStyle name="Currency 3 2 2 3 4 2 2 4" xfId="34227" xr:uid="{45AEB540-51BE-49AC-9E19-44616DC9751A}"/>
    <cellStyle name="Currency 3 2 2 3 4 2 3" xfId="13129" xr:uid="{AF65BE93-82FE-4B57-B2F7-9926B058B2AA}"/>
    <cellStyle name="Currency 3 2 2 3 4 2 4" xfId="21570" xr:uid="{2290A666-F7E6-44C6-8581-4FC62BA356F6}"/>
    <cellStyle name="Currency 3 2 2 3 4 2 5" xfId="30010" xr:uid="{E85B20B7-0A20-45A7-BB0B-04E4D60E9042}"/>
    <cellStyle name="Currency 3 2 2 3 4 3" xfId="5875" xr:uid="{00000000-0005-0000-0000-0000E00A0000}"/>
    <cellStyle name="Currency 3 2 2 3 4 3 2" xfId="15201" xr:uid="{58C70B19-68EC-4C85-95C2-02CE38FE6471}"/>
    <cellStyle name="Currency 3 2 2 3 4 3 3" xfId="23642" xr:uid="{79EF62CD-D196-4F86-9626-305A325D86D9}"/>
    <cellStyle name="Currency 3 2 2 3 4 3 4" xfId="32082" xr:uid="{63499535-6193-4C48-A25C-C97E6B909515}"/>
    <cellStyle name="Currency 3 2 2 3 4 4" xfId="10984" xr:uid="{8CC4B83F-B641-4A17-B4F0-209BEBE5926D}"/>
    <cellStyle name="Currency 3 2 2 3 4 5" xfId="19425" xr:uid="{B637D15F-F33E-4051-9376-991241C84234}"/>
    <cellStyle name="Currency 3 2 2 3 4 6" xfId="27865" xr:uid="{E78363B9-1927-476A-836D-229C3C55798D}"/>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9968C685-FC82-4B50-A49C-50B238E168A0}"/>
    <cellStyle name="Currency 3 2 2 3 5 2 2 3" xfId="26200" xr:uid="{371325E7-57CC-4C08-9CB4-DC36599350B3}"/>
    <cellStyle name="Currency 3 2 2 3 5 2 2 4" xfId="34640" xr:uid="{59C03DC8-82E4-49CE-B554-81E3154DE520}"/>
    <cellStyle name="Currency 3 2 2 3 5 2 3" xfId="13542" xr:uid="{8CA80FCD-0158-474B-B181-BE1C4DCA3EA5}"/>
    <cellStyle name="Currency 3 2 2 3 5 2 4" xfId="21983" xr:uid="{EB045E51-05F4-4C43-A423-91E24A8926FE}"/>
    <cellStyle name="Currency 3 2 2 3 5 2 5" xfId="30423" xr:uid="{FEED7195-CE71-46A2-8766-3E65297A1FCE}"/>
    <cellStyle name="Currency 3 2 2 3 5 3" xfId="6288" xr:uid="{00000000-0005-0000-0000-0000E40A0000}"/>
    <cellStyle name="Currency 3 2 2 3 5 3 2" xfId="15614" xr:uid="{BEB91F28-43D3-4D4E-8060-47B54DCEE60C}"/>
    <cellStyle name="Currency 3 2 2 3 5 3 3" xfId="24055" xr:uid="{6AC6EEC1-682A-458A-A82B-9E13B89E46D0}"/>
    <cellStyle name="Currency 3 2 2 3 5 3 4" xfId="32495" xr:uid="{5A5F3118-E727-4E93-8E83-A7009E50146B}"/>
    <cellStyle name="Currency 3 2 2 3 5 4" xfId="11397" xr:uid="{034CD443-09BF-4DC8-BBE6-C8293B0DFD4D}"/>
    <cellStyle name="Currency 3 2 2 3 5 5" xfId="19838" xr:uid="{36032243-B999-4BC8-862B-3F2A4065231D}"/>
    <cellStyle name="Currency 3 2 2 3 5 6" xfId="28278" xr:uid="{2285284B-8F2E-494C-990B-EB6590CA0A3A}"/>
    <cellStyle name="Currency 3 2 2 3 6" xfId="2417" xr:uid="{00000000-0005-0000-0000-0000E50A0000}"/>
    <cellStyle name="Currency 3 2 2 3 6 2" xfId="6701" xr:uid="{00000000-0005-0000-0000-0000E60A0000}"/>
    <cellStyle name="Currency 3 2 2 3 6 2 2" xfId="16027" xr:uid="{13C152CF-FA46-49DF-914D-7BBA08AA1355}"/>
    <cellStyle name="Currency 3 2 2 3 6 2 3" xfId="24468" xr:uid="{68E7E3FD-514A-40F3-8573-C903DB6868B6}"/>
    <cellStyle name="Currency 3 2 2 3 6 2 4" xfId="32908" xr:uid="{DBC2EAB0-32E5-42CB-9D75-C5071E662D87}"/>
    <cellStyle name="Currency 3 2 2 3 6 3" xfId="11810" xr:uid="{BE79DC04-2C25-4B12-A064-D9EB16509A6B}"/>
    <cellStyle name="Currency 3 2 2 3 6 4" xfId="20251" xr:uid="{1A1354CA-311E-49C1-BDDD-9F2BE23626B5}"/>
    <cellStyle name="Currency 3 2 2 3 6 5" xfId="28691" xr:uid="{5C855455-DC53-4B06-B373-F8F1C14BDC72}"/>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15EA76C4-CF6B-4479-9C55-3CB1C9E4C424}"/>
    <cellStyle name="Currency 3 2 2 3 8 2 3" xfId="24785" xr:uid="{7C015D64-E44A-455C-93D0-6A40E4AB4EA2}"/>
    <cellStyle name="Currency 3 2 2 3 8 2 4" xfId="33225" xr:uid="{D07990AB-6A9E-43BB-A2D3-C28E4860745D}"/>
    <cellStyle name="Currency 3 2 2 3 8 3" xfId="12127" xr:uid="{C45B097A-31D4-4DBF-B84D-5C713D0B32A8}"/>
    <cellStyle name="Currency 3 2 2 3 8 4" xfId="20568" xr:uid="{EE0679BD-B206-46BA-BA5D-17B6FD45B54F}"/>
    <cellStyle name="Currency 3 2 2 3 8 5" xfId="29008" xr:uid="{EF59AAAA-7A95-40DA-9EC1-0E89AF5252B1}"/>
    <cellStyle name="Currency 3 2 2 3 9" xfId="4635" xr:uid="{00000000-0005-0000-0000-0000EA0A0000}"/>
    <cellStyle name="Currency 3 2 2 3 9 2" xfId="13961" xr:uid="{105A9514-13FC-4CFC-A944-DD0DDF709D4A}"/>
    <cellStyle name="Currency 3 2 2 3 9 3" xfId="22402" xr:uid="{59F5B67C-0C53-448A-8E5F-27540D790A50}"/>
    <cellStyle name="Currency 3 2 2 3 9 4" xfId="30842" xr:uid="{62B415D8-ED55-48A3-9651-E4C1DF522023}"/>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D21FBF1D-47CE-4F4C-8E03-66D5925A87C3}"/>
    <cellStyle name="Currency 3 2 2 4 2 2 3" xfId="24958" xr:uid="{FB915D24-657E-4723-9DC7-D80FE3EFD2F9}"/>
    <cellStyle name="Currency 3 2 2 4 2 2 4" xfId="33398" xr:uid="{A0B48EE8-EE39-4CD5-BAEA-C6A0B3581423}"/>
    <cellStyle name="Currency 3 2 2 4 2 3" xfId="12300" xr:uid="{770925B4-689C-4463-8433-BBA7E58E7B46}"/>
    <cellStyle name="Currency 3 2 2 4 2 4" xfId="20741" xr:uid="{4BB928D7-8A7F-4D0E-9106-FF2005177115}"/>
    <cellStyle name="Currency 3 2 2 4 2 5" xfId="29181" xr:uid="{05542F6F-CC02-4B98-A542-051EB35BBF9B}"/>
    <cellStyle name="Currency 3 2 2 4 3" xfId="5046" xr:uid="{00000000-0005-0000-0000-0000EE0A0000}"/>
    <cellStyle name="Currency 3 2 2 4 3 2" xfId="14372" xr:uid="{2A446328-5701-4D33-B358-2E9E0F8B2419}"/>
    <cellStyle name="Currency 3 2 2 4 3 3" xfId="22813" xr:uid="{4056773C-2CD5-4FB0-95DA-D1A360583AA1}"/>
    <cellStyle name="Currency 3 2 2 4 3 4" xfId="31253" xr:uid="{47C37F69-5A23-4440-9519-3139DAEFBE08}"/>
    <cellStyle name="Currency 3 2 2 4 4" xfId="9233" xr:uid="{A90843BF-65B1-48E5-9C93-A2651D7B4B13}"/>
    <cellStyle name="Currency 3 2 2 4 5" xfId="10155" xr:uid="{9369E5BD-BFF1-45AF-BE12-CBA9BC345067}"/>
    <cellStyle name="Currency 3 2 2 4 6" xfId="18596" xr:uid="{1C57DD14-7DA5-4F22-AE15-D75D02E5DA56}"/>
    <cellStyle name="Currency 3 2 2 4 7" xfId="27036" xr:uid="{CB125E2A-743C-42A1-9DC9-E34E46497E80}"/>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CDD6C177-3A0B-4A44-8F2B-8CCA12E0E820}"/>
    <cellStyle name="Currency 3 2 2 5 2 2 3" xfId="25371" xr:uid="{47EB0C2F-00E4-42F5-832B-82B58A9D78AA}"/>
    <cellStyle name="Currency 3 2 2 5 2 2 4" xfId="33811" xr:uid="{693007DD-294B-4B37-886F-3DD9B629E3EB}"/>
    <cellStyle name="Currency 3 2 2 5 2 3" xfId="12713" xr:uid="{B7F7AF61-C45D-4BC9-AA23-6B13F1BEFCAB}"/>
    <cellStyle name="Currency 3 2 2 5 2 4" xfId="21154" xr:uid="{BFD36B62-256B-4B75-BF53-F5DD2A290BA1}"/>
    <cellStyle name="Currency 3 2 2 5 2 5" xfId="29594" xr:uid="{081668F5-5349-403E-A48C-080D2738BB31}"/>
    <cellStyle name="Currency 3 2 2 5 3" xfId="5459" xr:uid="{00000000-0005-0000-0000-0000F20A0000}"/>
    <cellStyle name="Currency 3 2 2 5 3 2" xfId="14785" xr:uid="{7E6884C1-9AFD-44BF-8B9F-A1FC13A838C6}"/>
    <cellStyle name="Currency 3 2 2 5 3 3" xfId="23226" xr:uid="{C75283E8-0FC2-4EE5-934A-5DB758DC097A}"/>
    <cellStyle name="Currency 3 2 2 5 3 4" xfId="31666" xr:uid="{81BD42F2-471D-4EE6-9157-61D765BEAD93}"/>
    <cellStyle name="Currency 3 2 2 5 4" xfId="10568" xr:uid="{13FF9CC5-42EB-433F-AAF5-7CB29405E60F}"/>
    <cellStyle name="Currency 3 2 2 5 5" xfId="19009" xr:uid="{F3706643-7960-4CB4-974E-9F648658C7A6}"/>
    <cellStyle name="Currency 3 2 2 5 6" xfId="27449" xr:uid="{ACBE3E45-75EE-4EBF-A27B-1A187BDD0E05}"/>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6EE3F289-4695-4B9B-93F2-94E982C1261E}"/>
    <cellStyle name="Currency 3 2 2 6 2 2 3" xfId="25784" xr:uid="{F290FC93-804D-4D8A-B6D2-53207F191ED4}"/>
    <cellStyle name="Currency 3 2 2 6 2 2 4" xfId="34224" xr:uid="{17D301E6-8926-4BB4-9C81-79E30D2255F9}"/>
    <cellStyle name="Currency 3 2 2 6 2 3" xfId="13126" xr:uid="{245D5EF7-7087-4838-944B-2524715248A9}"/>
    <cellStyle name="Currency 3 2 2 6 2 4" xfId="21567" xr:uid="{22378530-6286-41BB-88AE-B48794D67810}"/>
    <cellStyle name="Currency 3 2 2 6 2 5" xfId="30007" xr:uid="{FAA53C85-6FEE-4BD0-9935-06761DE461B3}"/>
    <cellStyle name="Currency 3 2 2 6 3" xfId="5872" xr:uid="{00000000-0005-0000-0000-0000F60A0000}"/>
    <cellStyle name="Currency 3 2 2 6 3 2" xfId="15198" xr:uid="{493DA622-2CD2-491B-A5A7-49C9463D6E39}"/>
    <cellStyle name="Currency 3 2 2 6 3 3" xfId="23639" xr:uid="{2A8FEC59-4A59-47CA-B3BA-4A5A9E20281A}"/>
    <cellStyle name="Currency 3 2 2 6 3 4" xfId="32079" xr:uid="{720058F9-E94D-42A3-89FD-9347CC0D98CB}"/>
    <cellStyle name="Currency 3 2 2 6 4" xfId="10981" xr:uid="{FE76D02C-8170-4345-8A04-D11C03E8F561}"/>
    <cellStyle name="Currency 3 2 2 6 5" xfId="19422" xr:uid="{E83C6F8C-B71C-4FC2-9D5A-DEB995A24D0A}"/>
    <cellStyle name="Currency 3 2 2 6 6" xfId="27862" xr:uid="{1D529158-9DC6-4BA8-8D0D-E01578922D93}"/>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9BDD6F38-8994-4777-A34D-BDAA48D66297}"/>
    <cellStyle name="Currency 3 2 2 7 2 2 3" xfId="26197" xr:uid="{2A6063F8-639D-403D-96C1-00CDF1A781AA}"/>
    <cellStyle name="Currency 3 2 2 7 2 2 4" xfId="34637" xr:uid="{E3C407F4-850C-4AA3-B11B-BA47C3EA15CC}"/>
    <cellStyle name="Currency 3 2 2 7 2 3" xfId="13539" xr:uid="{3CB3F987-6656-4995-B0C7-B0A3F9596D6D}"/>
    <cellStyle name="Currency 3 2 2 7 2 4" xfId="21980" xr:uid="{5BDE17B2-6242-4CBE-AC00-C0E80DC4CF51}"/>
    <cellStyle name="Currency 3 2 2 7 2 5" xfId="30420" xr:uid="{619A886C-6278-4529-88C7-B2DBDBA84697}"/>
    <cellStyle name="Currency 3 2 2 7 3" xfId="6285" xr:uid="{00000000-0005-0000-0000-0000FA0A0000}"/>
    <cellStyle name="Currency 3 2 2 7 3 2" xfId="15611" xr:uid="{F36A1E33-1D98-4CAB-AC1E-0D463D268FFE}"/>
    <cellStyle name="Currency 3 2 2 7 3 3" xfId="24052" xr:uid="{6FD43D29-9781-4AF9-97B8-EC36B751404A}"/>
    <cellStyle name="Currency 3 2 2 7 3 4" xfId="32492" xr:uid="{32F4B65B-65DC-4AC6-879A-84CDAF9632BA}"/>
    <cellStyle name="Currency 3 2 2 7 4" xfId="11394" xr:uid="{64C4A343-8156-4E25-A03C-0D27962A0FBC}"/>
    <cellStyle name="Currency 3 2 2 7 5" xfId="19835" xr:uid="{DDD2EE6D-98C4-4599-B51B-F8628AACCA26}"/>
    <cellStyle name="Currency 3 2 2 7 6" xfId="28275" xr:uid="{B0097EA7-C645-45B8-86EC-922210F94310}"/>
    <cellStyle name="Currency 3 2 2 8" xfId="2414" xr:uid="{00000000-0005-0000-0000-0000FB0A0000}"/>
    <cellStyle name="Currency 3 2 2 8 2" xfId="6698" xr:uid="{00000000-0005-0000-0000-0000FC0A0000}"/>
    <cellStyle name="Currency 3 2 2 8 2 2" xfId="16024" xr:uid="{F35B7C28-3F15-4487-B421-CE6E9D29E0B9}"/>
    <cellStyle name="Currency 3 2 2 8 2 3" xfId="24465" xr:uid="{128C2BE1-EDAE-41D2-87B5-B5148641A777}"/>
    <cellStyle name="Currency 3 2 2 8 2 4" xfId="32905" xr:uid="{4B0133D8-2DD6-4CB2-9E21-BC31749E2636}"/>
    <cellStyle name="Currency 3 2 2 8 3" xfId="11807" xr:uid="{CA28DAA5-B186-40F7-AB82-4D606B6178F2}"/>
    <cellStyle name="Currency 3 2 2 8 4" xfId="20248" xr:uid="{62E0F7B9-2F74-44AD-98D2-2D70A220AC03}"/>
    <cellStyle name="Currency 3 2 2 8 5" xfId="28688" xr:uid="{AFA33208-956D-43BD-A705-C0D5BA9B8592}"/>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01BA20FB-4604-47F0-A2BF-F6F5E7A8BE79}"/>
    <cellStyle name="Currency 3 2 3 10 3" xfId="22403" xr:uid="{34E0F6E3-6585-4180-AD6F-BADBDCAA1294}"/>
    <cellStyle name="Currency 3 2 3 10 4" xfId="30843" xr:uid="{F0616B23-6D3F-46FA-87E8-37B9C23F0A2F}"/>
    <cellStyle name="Currency 3 2 3 11" xfId="8893" xr:uid="{8CE28714-D587-402C-9A17-1A08799662D4}"/>
    <cellStyle name="Currency 3 2 3 12" xfId="9745" xr:uid="{3284DFAB-D85F-4A9B-A639-2BE890BED20D}"/>
    <cellStyle name="Currency 3 2 3 13" xfId="18186" xr:uid="{AEF37FAF-20FE-4910-A65A-0A0C42AF6EC3}"/>
    <cellStyle name="Currency 3 2 3 14" xfId="26626" xr:uid="{B1EE9969-D761-4C3C-B853-811D26BBDCBC}"/>
    <cellStyle name="Currency 3 2 3 2" xfId="183" xr:uid="{00000000-0005-0000-0000-0000000B0000}"/>
    <cellStyle name="Currency 3 2 3 2 10" xfId="9100" xr:uid="{CEBE1F40-0923-46C6-AB84-DD4DAB20CD81}"/>
    <cellStyle name="Currency 3 2 3 2 11" xfId="9746" xr:uid="{EC3D5A6B-B9C0-469A-A13D-C5015A916225}"/>
    <cellStyle name="Currency 3 2 3 2 12" xfId="18187" xr:uid="{EE529654-F663-492D-82C6-90A53F24B54F}"/>
    <cellStyle name="Currency 3 2 3 2 13" xfId="26627" xr:uid="{919C32A3-5DD1-47ED-8698-6BDEAD35942C}"/>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141564A2-D061-49AE-BE75-F9AC81B72B90}"/>
    <cellStyle name="Currency 3 2 3 2 2 2 2 3" xfId="24963" xr:uid="{A018F322-223F-48C1-B852-0218E3ABD6C0}"/>
    <cellStyle name="Currency 3 2 3 2 2 2 2 4" xfId="33403" xr:uid="{3236359B-E21B-45D8-8C69-32BF33E12931}"/>
    <cellStyle name="Currency 3 2 3 2 2 2 3" xfId="12305" xr:uid="{4D578736-99A0-4154-ABCB-B98B093C1136}"/>
    <cellStyle name="Currency 3 2 3 2 2 2 4" xfId="20746" xr:uid="{EBA51B3E-D7F3-4D94-9639-9692BC12D10F}"/>
    <cellStyle name="Currency 3 2 3 2 2 2 5" xfId="29186" xr:uid="{08E3BC18-3435-46F9-BCD6-BF91FD6749E6}"/>
    <cellStyle name="Currency 3 2 3 2 2 3" xfId="5051" xr:uid="{00000000-0005-0000-0000-0000040B0000}"/>
    <cellStyle name="Currency 3 2 3 2 2 3 2" xfId="14377" xr:uid="{9177EFE3-FD4A-464C-B1A8-F0595464CE56}"/>
    <cellStyle name="Currency 3 2 3 2 2 3 3" xfId="22818" xr:uid="{FA7F511D-E1AD-4771-9010-104150D1FCC5}"/>
    <cellStyle name="Currency 3 2 3 2 2 3 4" xfId="31258" xr:uid="{EE920FA0-3DD8-4431-8B64-0045EEC8F695}"/>
    <cellStyle name="Currency 3 2 3 2 2 4" xfId="9525" xr:uid="{759374BA-DDD8-4F33-9655-B300986F8700}"/>
    <cellStyle name="Currency 3 2 3 2 2 5" xfId="10160" xr:uid="{553F4166-2D1C-4C10-BDD9-1BC3CF8A0B3C}"/>
    <cellStyle name="Currency 3 2 3 2 2 6" xfId="18601" xr:uid="{E998D418-154B-4AB9-80E5-E8E09143BDE5}"/>
    <cellStyle name="Currency 3 2 3 2 2 7" xfId="27041" xr:uid="{F9ABA30C-11C5-4389-B8E4-CF4584A85B3E}"/>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98637585-1433-4D3B-98BB-F49F823DBEE9}"/>
    <cellStyle name="Currency 3 2 3 2 3 2 2 3" xfId="25376" xr:uid="{D81880A6-1AC9-4B4D-ABD4-7F6D5980DCEC}"/>
    <cellStyle name="Currency 3 2 3 2 3 2 2 4" xfId="33816" xr:uid="{8A9A6B0A-8230-4D67-A06F-AD3B4FD7C03D}"/>
    <cellStyle name="Currency 3 2 3 2 3 2 3" xfId="12718" xr:uid="{5B1D009C-B123-47A0-B2C6-A74E425CD3B6}"/>
    <cellStyle name="Currency 3 2 3 2 3 2 4" xfId="21159" xr:uid="{A52EEE10-5BE4-4EB2-A837-39C9B339D111}"/>
    <cellStyle name="Currency 3 2 3 2 3 2 5" xfId="29599" xr:uid="{734751B5-5999-431B-8678-1A76F2667B1D}"/>
    <cellStyle name="Currency 3 2 3 2 3 3" xfId="5464" xr:uid="{00000000-0005-0000-0000-0000080B0000}"/>
    <cellStyle name="Currency 3 2 3 2 3 3 2" xfId="14790" xr:uid="{A859A5AC-FD4F-4ED2-A8B3-7076A2888C91}"/>
    <cellStyle name="Currency 3 2 3 2 3 3 3" xfId="23231" xr:uid="{EAC72F76-8DE8-4B02-852E-AB644F01744E}"/>
    <cellStyle name="Currency 3 2 3 2 3 3 4" xfId="31671" xr:uid="{FEEF3B60-A1DF-44B4-A4C3-1EE4E98F8FA9}"/>
    <cellStyle name="Currency 3 2 3 2 3 4" xfId="10573" xr:uid="{7C278DD8-1F2D-4CDE-BDC4-1A23F7BBD4F9}"/>
    <cellStyle name="Currency 3 2 3 2 3 5" xfId="19014" xr:uid="{BF319424-4DA1-40FC-9C3A-A800C72221A0}"/>
    <cellStyle name="Currency 3 2 3 2 3 6" xfId="27454" xr:uid="{CA2E8344-9244-44E1-8536-3FEB651E376A}"/>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8A61C402-9EE5-46CE-8C02-3DAB994BFFE7}"/>
    <cellStyle name="Currency 3 2 3 2 4 2 2 3" xfId="25789" xr:uid="{84E5D252-D4A5-43C8-9A1D-4C4228E6713E}"/>
    <cellStyle name="Currency 3 2 3 2 4 2 2 4" xfId="34229" xr:uid="{4F8BED78-1FCF-4324-AA64-BE35C3D87A35}"/>
    <cellStyle name="Currency 3 2 3 2 4 2 3" xfId="13131" xr:uid="{CE7AC89B-476A-4972-8EBB-766AE6FE63C3}"/>
    <cellStyle name="Currency 3 2 3 2 4 2 4" xfId="21572" xr:uid="{0F2F6707-E2F7-4A85-B4CE-E151CF3D086F}"/>
    <cellStyle name="Currency 3 2 3 2 4 2 5" xfId="30012" xr:uid="{6BA398D9-5DDB-4D35-966C-3A1605501CF6}"/>
    <cellStyle name="Currency 3 2 3 2 4 3" xfId="5877" xr:uid="{00000000-0005-0000-0000-00000C0B0000}"/>
    <cellStyle name="Currency 3 2 3 2 4 3 2" xfId="15203" xr:uid="{507741B9-097B-4855-A880-497779DC0CBA}"/>
    <cellStyle name="Currency 3 2 3 2 4 3 3" xfId="23644" xr:uid="{EA5B34EB-B42D-413F-B167-43DA6F2EE665}"/>
    <cellStyle name="Currency 3 2 3 2 4 3 4" xfId="32084" xr:uid="{4E22AEC4-2D98-419E-98AC-00557ADE9C71}"/>
    <cellStyle name="Currency 3 2 3 2 4 4" xfId="10986" xr:uid="{B017FDB4-D0C6-4D59-9BD1-A57B8B502ECD}"/>
    <cellStyle name="Currency 3 2 3 2 4 5" xfId="19427" xr:uid="{FF632C65-5AD1-444B-8937-4667C803B2A6}"/>
    <cellStyle name="Currency 3 2 3 2 4 6" xfId="27867" xr:uid="{86F4348D-00DA-4747-96CC-0AC05465E5A2}"/>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CF643499-0B99-499D-9AF6-40341E26EF08}"/>
    <cellStyle name="Currency 3 2 3 2 5 2 2 3" xfId="26202" xr:uid="{A2610190-3139-491A-8003-DF99E1AAD241}"/>
    <cellStyle name="Currency 3 2 3 2 5 2 2 4" xfId="34642" xr:uid="{6ED13919-1DE2-43FB-95C7-D70F11A1F579}"/>
    <cellStyle name="Currency 3 2 3 2 5 2 3" xfId="13544" xr:uid="{64042040-E84F-4513-817F-639AB984CB3A}"/>
    <cellStyle name="Currency 3 2 3 2 5 2 4" xfId="21985" xr:uid="{4BF60217-EEC5-4083-B39A-8695FD74B69E}"/>
    <cellStyle name="Currency 3 2 3 2 5 2 5" xfId="30425" xr:uid="{60DAB365-B821-4CC1-B067-8A38F473B548}"/>
    <cellStyle name="Currency 3 2 3 2 5 3" xfId="6290" xr:uid="{00000000-0005-0000-0000-0000100B0000}"/>
    <cellStyle name="Currency 3 2 3 2 5 3 2" xfId="15616" xr:uid="{82D87504-7C66-4840-A365-D9D046FC7671}"/>
    <cellStyle name="Currency 3 2 3 2 5 3 3" xfId="24057" xr:uid="{56751860-FDB5-44B1-A85A-AD5ECD6FF459}"/>
    <cellStyle name="Currency 3 2 3 2 5 3 4" xfId="32497" xr:uid="{BFEEABB4-BE9C-48DB-927C-A5DFED3D5761}"/>
    <cellStyle name="Currency 3 2 3 2 5 4" xfId="11399" xr:uid="{DF50D636-9EAB-4B3C-88EB-F684C319D233}"/>
    <cellStyle name="Currency 3 2 3 2 5 5" xfId="19840" xr:uid="{10A19728-7D55-4153-AFC6-3FAAD74D9A4A}"/>
    <cellStyle name="Currency 3 2 3 2 5 6" xfId="28280" xr:uid="{A33EC7DE-1FC5-4435-8DBB-7BA4EED69EEB}"/>
    <cellStyle name="Currency 3 2 3 2 6" xfId="2419" xr:uid="{00000000-0005-0000-0000-0000110B0000}"/>
    <cellStyle name="Currency 3 2 3 2 6 2" xfId="6703" xr:uid="{00000000-0005-0000-0000-0000120B0000}"/>
    <cellStyle name="Currency 3 2 3 2 6 2 2" xfId="16029" xr:uid="{C9CB6EBA-9BBD-4E61-9AA5-9748B23F0665}"/>
    <cellStyle name="Currency 3 2 3 2 6 2 3" xfId="24470" xr:uid="{2CC6DF6A-9FA3-4535-983C-0992F86E7759}"/>
    <cellStyle name="Currency 3 2 3 2 6 2 4" xfId="32910" xr:uid="{DCF9DB36-3B9F-4D9B-B08E-BC25E28A3672}"/>
    <cellStyle name="Currency 3 2 3 2 6 3" xfId="11812" xr:uid="{5D6247CB-48AE-42C3-BF48-1B0A2AC25A7F}"/>
    <cellStyle name="Currency 3 2 3 2 6 4" xfId="20253" xr:uid="{97AAB2DE-457D-46A3-AFF7-2E09A3EABBE9}"/>
    <cellStyle name="Currency 3 2 3 2 6 5" xfId="28693" xr:uid="{ABE4EF04-4DC2-4D3A-8F8E-AB2E8A9EB024}"/>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61672694-C6E4-403C-A557-8023E117E079}"/>
    <cellStyle name="Currency 3 2 3 2 8 2 3" xfId="24787" xr:uid="{1944B181-0C2D-4575-B5DC-D6EA18C32A67}"/>
    <cellStyle name="Currency 3 2 3 2 8 2 4" xfId="33227" xr:uid="{14C3B99C-EF1D-48AC-91A1-06FDD36D9EDA}"/>
    <cellStyle name="Currency 3 2 3 2 8 3" xfId="12129" xr:uid="{CFAAEF97-43B3-4238-8D45-13C03625BC5B}"/>
    <cellStyle name="Currency 3 2 3 2 8 4" xfId="20570" xr:uid="{0AD66A8D-3CBF-420B-9F50-E33049376830}"/>
    <cellStyle name="Currency 3 2 3 2 8 5" xfId="29010" xr:uid="{81B42040-5D39-4077-B00D-1D89403A093D}"/>
    <cellStyle name="Currency 3 2 3 2 9" xfId="4637" xr:uid="{00000000-0005-0000-0000-0000160B0000}"/>
    <cellStyle name="Currency 3 2 3 2 9 2" xfId="13963" xr:uid="{C1ECA0BA-2372-4B7D-B036-9EB6A4C60FEC}"/>
    <cellStyle name="Currency 3 2 3 2 9 3" xfId="22404" xr:uid="{5608F9B1-A993-48A9-BFD4-000D9AFCAEE0}"/>
    <cellStyle name="Currency 3 2 3 2 9 4" xfId="30844" xr:uid="{4168A1DA-FC58-4ADC-A5D1-AC54E75F0E34}"/>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B4B67D0E-565C-4AAE-8727-AFEF1F69D3D9}"/>
    <cellStyle name="Currency 3 2 3 3 2 2 3" xfId="24962" xr:uid="{F0FAB41D-FD82-48DB-826B-FC21F335C363}"/>
    <cellStyle name="Currency 3 2 3 3 2 2 4" xfId="33402" xr:uid="{59BFBB07-6E6E-4618-B2ED-B5DAA5C4CB33}"/>
    <cellStyle name="Currency 3 2 3 3 2 3" xfId="12304" xr:uid="{31B33DD7-CCD0-4767-A6F9-0328AF5865DA}"/>
    <cellStyle name="Currency 3 2 3 3 2 4" xfId="20745" xr:uid="{42C03D1A-43D0-4570-86B0-E73B314057B7}"/>
    <cellStyle name="Currency 3 2 3 3 2 5" xfId="29185" xr:uid="{AFAA1328-3F04-4C8D-826E-808B8D96F358}"/>
    <cellStyle name="Currency 3 2 3 3 3" xfId="5050" xr:uid="{00000000-0005-0000-0000-00001A0B0000}"/>
    <cellStyle name="Currency 3 2 3 3 3 2" xfId="14376" xr:uid="{0F414F3E-0AEB-47D8-9330-5BF461ECB5B6}"/>
    <cellStyle name="Currency 3 2 3 3 3 3" xfId="22817" xr:uid="{E6743487-66B2-4B03-A993-01BAC8B455FB}"/>
    <cellStyle name="Currency 3 2 3 3 3 4" xfId="31257" xr:uid="{35981954-7149-4837-AA6D-B2F327905B4C}"/>
    <cellStyle name="Currency 3 2 3 3 4" xfId="9318" xr:uid="{AA73873E-8E72-4FDE-A22E-F5D80E2A87B1}"/>
    <cellStyle name="Currency 3 2 3 3 5" xfId="10159" xr:uid="{72A4EEA6-6841-42E0-B352-BC14E89FD6FE}"/>
    <cellStyle name="Currency 3 2 3 3 6" xfId="18600" xr:uid="{EC47F8B9-A04B-424E-B0EE-5752FA30EA05}"/>
    <cellStyle name="Currency 3 2 3 3 7" xfId="27040" xr:uid="{EAC38563-ABF1-4B13-8B07-54801E164BA4}"/>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4ADBE669-D32D-4ED4-BF67-914C57237CC1}"/>
    <cellStyle name="Currency 3 2 3 4 2 2 3" xfId="25375" xr:uid="{0BBCC1CB-9442-4B7B-BC87-522D5065A088}"/>
    <cellStyle name="Currency 3 2 3 4 2 2 4" xfId="33815" xr:uid="{A98CB8B6-33A4-4CB9-BE10-44BF64988CBB}"/>
    <cellStyle name="Currency 3 2 3 4 2 3" xfId="12717" xr:uid="{99E1FF86-97D0-401D-8475-408274E20560}"/>
    <cellStyle name="Currency 3 2 3 4 2 4" xfId="21158" xr:uid="{839D990C-CE41-474A-9905-48369BA1F514}"/>
    <cellStyle name="Currency 3 2 3 4 2 5" xfId="29598" xr:uid="{97FE0A91-5729-4920-A16F-C8D33F5C3E64}"/>
    <cellStyle name="Currency 3 2 3 4 3" xfId="5463" xr:uid="{00000000-0005-0000-0000-00001E0B0000}"/>
    <cellStyle name="Currency 3 2 3 4 3 2" xfId="14789" xr:uid="{08AB4B49-44C7-4B10-9C3E-3DB2AD3160AA}"/>
    <cellStyle name="Currency 3 2 3 4 3 3" xfId="23230" xr:uid="{E7840E15-32E2-4FE1-97FC-82E961C20A63}"/>
    <cellStyle name="Currency 3 2 3 4 3 4" xfId="31670" xr:uid="{A8A9BD81-1CBD-48AE-8332-A8ADE7BD9B17}"/>
    <cellStyle name="Currency 3 2 3 4 4" xfId="10572" xr:uid="{CA12EC99-FBEC-40E0-A71F-9DFF75ABB6D1}"/>
    <cellStyle name="Currency 3 2 3 4 5" xfId="19013" xr:uid="{87B14B75-0B67-41C5-A9B1-E55A6BD93BCD}"/>
    <cellStyle name="Currency 3 2 3 4 6" xfId="27453" xr:uid="{C532F5B4-454B-4308-B5EC-5EC877D68BB3}"/>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32F503A6-EE4B-4050-B994-6427C2FD80F1}"/>
    <cellStyle name="Currency 3 2 3 5 2 2 3" xfId="25788" xr:uid="{4B301108-C0F3-47D3-A520-36127E0FD376}"/>
    <cellStyle name="Currency 3 2 3 5 2 2 4" xfId="34228" xr:uid="{33D1FD5A-8E83-4576-A40F-0C0FAF25F32E}"/>
    <cellStyle name="Currency 3 2 3 5 2 3" xfId="13130" xr:uid="{25EEF508-FAE8-4973-B20C-DA9A8E7A0758}"/>
    <cellStyle name="Currency 3 2 3 5 2 4" xfId="21571" xr:uid="{1A37522F-2A55-4ECD-9A49-179387D8DC52}"/>
    <cellStyle name="Currency 3 2 3 5 2 5" xfId="30011" xr:uid="{14D38CE1-1427-483C-9A3E-F86600FFE6F0}"/>
    <cellStyle name="Currency 3 2 3 5 3" xfId="5876" xr:uid="{00000000-0005-0000-0000-0000220B0000}"/>
    <cellStyle name="Currency 3 2 3 5 3 2" xfId="15202" xr:uid="{BDD771E9-F536-4E5B-ADF3-EB410E9F227B}"/>
    <cellStyle name="Currency 3 2 3 5 3 3" xfId="23643" xr:uid="{0534408E-2E55-4DA4-8615-E28831715E34}"/>
    <cellStyle name="Currency 3 2 3 5 3 4" xfId="32083" xr:uid="{B86710C7-7E89-4B71-9D2D-81A94F7647B6}"/>
    <cellStyle name="Currency 3 2 3 5 4" xfId="10985" xr:uid="{7D402548-1C81-42B0-937E-BA4374C097F6}"/>
    <cellStyle name="Currency 3 2 3 5 5" xfId="19426" xr:uid="{0F4053BA-5E22-4879-9D10-DC18B7E7A939}"/>
    <cellStyle name="Currency 3 2 3 5 6" xfId="27866" xr:uid="{739DE1D5-2D91-4D58-8124-0CA50BE0150C}"/>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DFFB8CE8-6C11-48F4-BE57-912F40D7BE54}"/>
    <cellStyle name="Currency 3 2 3 6 2 2 3" xfId="26201" xr:uid="{32BFD735-46B5-4F92-9D32-10F87A31DF5D}"/>
    <cellStyle name="Currency 3 2 3 6 2 2 4" xfId="34641" xr:uid="{8E99FE42-0659-407F-B8BC-F6FCB0E1DFF2}"/>
    <cellStyle name="Currency 3 2 3 6 2 3" xfId="13543" xr:uid="{E92BD51F-AA74-49BD-A8DB-061AEED4B601}"/>
    <cellStyle name="Currency 3 2 3 6 2 4" xfId="21984" xr:uid="{455FE118-AF53-4377-A839-849DE9E5D6F5}"/>
    <cellStyle name="Currency 3 2 3 6 2 5" xfId="30424" xr:uid="{AEFF2481-95A8-49EA-AAD0-3995B48E4884}"/>
    <cellStyle name="Currency 3 2 3 6 3" xfId="6289" xr:uid="{00000000-0005-0000-0000-0000260B0000}"/>
    <cellStyle name="Currency 3 2 3 6 3 2" xfId="15615" xr:uid="{5BDBAD6F-E117-43E2-B09D-47D421240F38}"/>
    <cellStyle name="Currency 3 2 3 6 3 3" xfId="24056" xr:uid="{452130FD-7571-4A9B-8984-5E3C15E36686}"/>
    <cellStyle name="Currency 3 2 3 6 3 4" xfId="32496" xr:uid="{DAC6F8D5-D971-421B-B7F0-4C45A06ADE06}"/>
    <cellStyle name="Currency 3 2 3 6 4" xfId="11398" xr:uid="{A3A19633-4EDB-4DB3-A4EF-92F675187C26}"/>
    <cellStyle name="Currency 3 2 3 6 5" xfId="19839" xr:uid="{61D10DD9-A46B-4F40-912B-6139EB4F290A}"/>
    <cellStyle name="Currency 3 2 3 6 6" xfId="28279" xr:uid="{3E63FFA7-5E6F-48EF-A6A4-77B81619B235}"/>
    <cellStyle name="Currency 3 2 3 7" xfId="2418" xr:uid="{00000000-0005-0000-0000-0000270B0000}"/>
    <cellStyle name="Currency 3 2 3 7 2" xfId="6702" xr:uid="{00000000-0005-0000-0000-0000280B0000}"/>
    <cellStyle name="Currency 3 2 3 7 2 2" xfId="16028" xr:uid="{2DCFFC81-9613-4654-A328-9AC4AC11A124}"/>
    <cellStyle name="Currency 3 2 3 7 2 3" xfId="24469" xr:uid="{727FB956-DF0C-489B-B7C5-8E3CC5F1EB1D}"/>
    <cellStyle name="Currency 3 2 3 7 2 4" xfId="32909" xr:uid="{2FFAA51E-DA3F-457F-9B2F-38316C4D7745}"/>
    <cellStyle name="Currency 3 2 3 7 3" xfId="11811" xr:uid="{046CFC39-FEC1-4A42-B482-4C008858A010}"/>
    <cellStyle name="Currency 3 2 3 7 4" xfId="20252" xr:uid="{09345FCE-1434-4E2B-A5C9-CF9069C755AA}"/>
    <cellStyle name="Currency 3 2 3 7 5" xfId="28692" xr:uid="{6E92D064-00B3-4F50-8FCA-E8E854BE6CD9}"/>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6A459842-A98B-43D7-B66E-FA24DD494A1B}"/>
    <cellStyle name="Currency 3 2 3 9 2 3" xfId="24786" xr:uid="{8F7BD60C-7785-4CA7-AC55-0CE1270C09E9}"/>
    <cellStyle name="Currency 3 2 3 9 2 4" xfId="33226" xr:uid="{687109DC-1FF2-4C66-90FD-7ECBFA75C5F5}"/>
    <cellStyle name="Currency 3 2 3 9 3" xfId="12128" xr:uid="{FEC66CF9-9F6F-4D99-AD0C-FC30852AB39C}"/>
    <cellStyle name="Currency 3 2 3 9 4" xfId="20569" xr:uid="{78DBBE28-DE77-4765-8100-04331A6AB7FC}"/>
    <cellStyle name="Currency 3 2 3 9 5" xfId="29009" xr:uid="{3EA14D45-2664-4596-A541-C4A8F196BF55}"/>
    <cellStyle name="Currency 3 2 4" xfId="184" xr:uid="{00000000-0005-0000-0000-00002C0B0000}"/>
    <cellStyle name="Currency 3 2 4 10" xfId="8997" xr:uid="{DF9FC022-A382-4135-990F-F43A472E13BA}"/>
    <cellStyle name="Currency 3 2 4 11" xfId="9747" xr:uid="{FCB984C9-923C-4434-AE6A-5CD0575EFB76}"/>
    <cellStyle name="Currency 3 2 4 12" xfId="18188" xr:uid="{AA7726B0-375C-4008-8852-F30C3F380765}"/>
    <cellStyle name="Currency 3 2 4 13" xfId="26628" xr:uid="{A5B9215A-7309-4C99-8918-8F94BABE7804}"/>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075AA2D0-7BC0-4285-A273-5301157F0C0D}"/>
    <cellStyle name="Currency 3 2 4 2 2 2 3" xfId="24964" xr:uid="{C02B5524-4D2A-4E85-8838-79596BFC6AFB}"/>
    <cellStyle name="Currency 3 2 4 2 2 2 4" xfId="33404" xr:uid="{B822024D-EEE5-4CBD-AE56-D816C955F0F4}"/>
    <cellStyle name="Currency 3 2 4 2 2 3" xfId="12306" xr:uid="{BD196CC4-740A-45E6-85F7-CD1E9A3C3B4C}"/>
    <cellStyle name="Currency 3 2 4 2 2 4" xfId="20747" xr:uid="{D9CE5A59-F775-4B29-B9AC-7301A9D95B93}"/>
    <cellStyle name="Currency 3 2 4 2 2 5" xfId="29187" xr:uid="{25579ECF-4C7B-4206-AD0C-3DDC93C975F4}"/>
    <cellStyle name="Currency 3 2 4 2 3" xfId="5052" xr:uid="{00000000-0005-0000-0000-0000300B0000}"/>
    <cellStyle name="Currency 3 2 4 2 3 2" xfId="14378" xr:uid="{2E77A133-F488-4E7F-AC66-02AA2E9D9F01}"/>
    <cellStyle name="Currency 3 2 4 2 3 3" xfId="22819" xr:uid="{1F07B3C0-671B-4CC6-8A47-FB54C441DC88}"/>
    <cellStyle name="Currency 3 2 4 2 3 4" xfId="31259" xr:uid="{64B72CB3-51C7-4DE2-86BB-51BAC0731DDA}"/>
    <cellStyle name="Currency 3 2 4 2 4" xfId="9422" xr:uid="{3049B7CE-611E-437A-AD0B-2E3AA5E2E50D}"/>
    <cellStyle name="Currency 3 2 4 2 5" xfId="10161" xr:uid="{0A7489AD-60E2-4C37-8101-5AFDE68BE85B}"/>
    <cellStyle name="Currency 3 2 4 2 6" xfId="18602" xr:uid="{878EBD49-1083-4A54-9B23-D0B3F5C57B77}"/>
    <cellStyle name="Currency 3 2 4 2 7" xfId="27042" xr:uid="{67EF8861-DB41-41C5-9FA0-688844830C08}"/>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33B3651B-5ECA-4CF2-B562-A69E21393B71}"/>
    <cellStyle name="Currency 3 2 4 3 2 2 3" xfId="25377" xr:uid="{D29157B6-92E5-4662-834B-4E5D34C31DE4}"/>
    <cellStyle name="Currency 3 2 4 3 2 2 4" xfId="33817" xr:uid="{74FCE576-F5C7-43EA-8523-4A0BDD0EC72D}"/>
    <cellStyle name="Currency 3 2 4 3 2 3" xfId="12719" xr:uid="{16C85E9F-A3F8-4641-AFBF-2815AF686570}"/>
    <cellStyle name="Currency 3 2 4 3 2 4" xfId="21160" xr:uid="{A1B3B46B-1EAB-46D9-813B-35235E5A0841}"/>
    <cellStyle name="Currency 3 2 4 3 2 5" xfId="29600" xr:uid="{2BBDF7BD-082F-475B-9064-1A56C55A8C86}"/>
    <cellStyle name="Currency 3 2 4 3 3" xfId="5465" xr:uid="{00000000-0005-0000-0000-0000340B0000}"/>
    <cellStyle name="Currency 3 2 4 3 3 2" xfId="14791" xr:uid="{58FF3658-FD50-401D-BAD9-5F74FDBC5DB7}"/>
    <cellStyle name="Currency 3 2 4 3 3 3" xfId="23232" xr:uid="{6B1BA921-D36D-430E-9C19-A192374B78D6}"/>
    <cellStyle name="Currency 3 2 4 3 3 4" xfId="31672" xr:uid="{DEEB6003-9637-46D9-8EEA-AC2EE1638C94}"/>
    <cellStyle name="Currency 3 2 4 3 4" xfId="10574" xr:uid="{DC52C67A-A49F-47BC-BFDE-88731CC2F11A}"/>
    <cellStyle name="Currency 3 2 4 3 5" xfId="19015" xr:uid="{02E1F763-3962-4C71-AC44-0A006EB395C0}"/>
    <cellStyle name="Currency 3 2 4 3 6" xfId="27455" xr:uid="{D9024E75-B59B-4C9A-BBA8-11DFCBFB2D27}"/>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3117CBF0-75E0-4F3E-8F18-A0A080AFA47E}"/>
    <cellStyle name="Currency 3 2 4 4 2 2 3" xfId="25790" xr:uid="{0A8F425C-F7BE-4E0F-80E2-3F549C498C53}"/>
    <cellStyle name="Currency 3 2 4 4 2 2 4" xfId="34230" xr:uid="{314FF514-5291-4CB9-BD6E-D3E3851655AE}"/>
    <cellStyle name="Currency 3 2 4 4 2 3" xfId="13132" xr:uid="{A547D8B4-D7F4-404E-9B11-F682EE2353D2}"/>
    <cellStyle name="Currency 3 2 4 4 2 4" xfId="21573" xr:uid="{E4E556C7-3C5E-47D5-AB9A-1A2AD48743B2}"/>
    <cellStyle name="Currency 3 2 4 4 2 5" xfId="30013" xr:uid="{4A0BE28C-44C7-4DD0-B786-34017B691C77}"/>
    <cellStyle name="Currency 3 2 4 4 3" xfId="5878" xr:uid="{00000000-0005-0000-0000-0000380B0000}"/>
    <cellStyle name="Currency 3 2 4 4 3 2" xfId="15204" xr:uid="{915C0F40-5243-4A34-AF33-2FC927277F6F}"/>
    <cellStyle name="Currency 3 2 4 4 3 3" xfId="23645" xr:uid="{6622BEC9-6FB2-40B6-8EE3-A8C6B95DA0FC}"/>
    <cellStyle name="Currency 3 2 4 4 3 4" xfId="32085" xr:uid="{36638544-B2F8-48DA-80DB-3C13736AF3AF}"/>
    <cellStyle name="Currency 3 2 4 4 4" xfId="10987" xr:uid="{9EF83504-E828-4F60-B541-544133C64914}"/>
    <cellStyle name="Currency 3 2 4 4 5" xfId="19428" xr:uid="{2001C852-7AFE-417E-B3C2-B53FC76D25F1}"/>
    <cellStyle name="Currency 3 2 4 4 6" xfId="27868" xr:uid="{9895828B-223B-491A-AFA6-E1A73604CBED}"/>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0521A8CD-5DF1-4F9D-ABF7-376A1822E867}"/>
    <cellStyle name="Currency 3 2 4 5 2 2 3" xfId="26203" xr:uid="{69F354AC-757C-4994-B805-44B526C29469}"/>
    <cellStyle name="Currency 3 2 4 5 2 2 4" xfId="34643" xr:uid="{B72FAC34-B149-410E-885F-35EFBD509A86}"/>
    <cellStyle name="Currency 3 2 4 5 2 3" xfId="13545" xr:uid="{671F0E70-D766-4670-B701-31519BDED330}"/>
    <cellStyle name="Currency 3 2 4 5 2 4" xfId="21986" xr:uid="{6893C490-884A-4A0B-A0E3-6D09B0C27DCD}"/>
    <cellStyle name="Currency 3 2 4 5 2 5" xfId="30426" xr:uid="{5527DA01-FA00-456A-B964-1EACEACE6388}"/>
    <cellStyle name="Currency 3 2 4 5 3" xfId="6291" xr:uid="{00000000-0005-0000-0000-00003C0B0000}"/>
    <cellStyle name="Currency 3 2 4 5 3 2" xfId="15617" xr:uid="{C662DEB4-0875-44E2-91ED-FB03FA421B83}"/>
    <cellStyle name="Currency 3 2 4 5 3 3" xfId="24058" xr:uid="{F12C47B9-9024-48FB-A4AB-389F4877013A}"/>
    <cellStyle name="Currency 3 2 4 5 3 4" xfId="32498" xr:uid="{9AF7CDA3-14EA-44D3-BE6E-1F83D266A581}"/>
    <cellStyle name="Currency 3 2 4 5 4" xfId="11400" xr:uid="{538D7BD8-6D06-4281-BF44-B0770017326C}"/>
    <cellStyle name="Currency 3 2 4 5 5" xfId="19841" xr:uid="{E453B07F-338E-4B33-9DBA-2DE12B08B343}"/>
    <cellStyle name="Currency 3 2 4 5 6" xfId="28281" xr:uid="{878E947C-0193-4AC1-AB98-29EA518B5B11}"/>
    <cellStyle name="Currency 3 2 4 6" xfId="2420" xr:uid="{00000000-0005-0000-0000-00003D0B0000}"/>
    <cellStyle name="Currency 3 2 4 6 2" xfId="6704" xr:uid="{00000000-0005-0000-0000-00003E0B0000}"/>
    <cellStyle name="Currency 3 2 4 6 2 2" xfId="16030" xr:uid="{1BE2578A-0FFD-466B-AD23-723A26A4B60B}"/>
    <cellStyle name="Currency 3 2 4 6 2 3" xfId="24471" xr:uid="{D6D33EB4-BD52-44E1-824F-21B6DD60619E}"/>
    <cellStyle name="Currency 3 2 4 6 2 4" xfId="32911" xr:uid="{7779D103-B80C-49B4-8DB2-32933AA1EFB5}"/>
    <cellStyle name="Currency 3 2 4 6 3" xfId="11813" xr:uid="{46A61C6C-1021-4515-A1A6-0FD91F18275E}"/>
    <cellStyle name="Currency 3 2 4 6 4" xfId="20254" xr:uid="{4A278C0F-7D49-4B5F-A675-CFC0009F4CFC}"/>
    <cellStyle name="Currency 3 2 4 6 5" xfId="28694" xr:uid="{B01CE758-D9C4-468B-BF64-DB4BB8A39BF0}"/>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2D624A05-8610-42DF-AEAF-9087EA1E1127}"/>
    <cellStyle name="Currency 3 2 4 8 2 3" xfId="24788" xr:uid="{1282E798-C042-43AE-9073-432008C16B4B}"/>
    <cellStyle name="Currency 3 2 4 8 2 4" xfId="33228" xr:uid="{C695DB30-EA58-4B27-B168-E7DE305342F6}"/>
    <cellStyle name="Currency 3 2 4 8 3" xfId="12130" xr:uid="{E29901F7-05A3-49A1-A90A-7CE5C61B7CFD}"/>
    <cellStyle name="Currency 3 2 4 8 4" xfId="20571" xr:uid="{EBBD0F82-7504-48F9-BBB2-7057CA68988F}"/>
    <cellStyle name="Currency 3 2 4 8 5" xfId="29011" xr:uid="{2558AA06-1147-4369-B1A6-A463E9C5C667}"/>
    <cellStyle name="Currency 3 2 4 9" xfId="4638" xr:uid="{00000000-0005-0000-0000-0000420B0000}"/>
    <cellStyle name="Currency 3 2 4 9 2" xfId="13964" xr:uid="{107F6F0B-8566-4CD4-9C6C-FE738A3DF4AB}"/>
    <cellStyle name="Currency 3 2 4 9 3" xfId="22405" xr:uid="{E8477BD1-419B-48D0-86A8-5B135598A966}"/>
    <cellStyle name="Currency 3 2 4 9 4" xfId="30845" xr:uid="{0EA7D051-96F1-43B1-B5D4-EBA8142C065D}"/>
    <cellStyle name="Currency 3 2 5" xfId="185" xr:uid="{00000000-0005-0000-0000-0000430B0000}"/>
    <cellStyle name="Currency 3 2 5 10" xfId="9214" xr:uid="{3D0A867F-0B9D-4759-A509-3EC1084E197B}"/>
    <cellStyle name="Currency 3 2 5 11" xfId="9748" xr:uid="{C1503098-9E71-407A-9568-FDE4ED78B54A}"/>
    <cellStyle name="Currency 3 2 5 12" xfId="18189" xr:uid="{0B59379F-B9E4-4C33-95C7-89D5CB8BE06B}"/>
    <cellStyle name="Currency 3 2 5 13" xfId="26629" xr:uid="{47863A56-E604-41EB-819F-125AC814D891}"/>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90C0DD9B-32BD-4E03-B596-6212D83325C4}"/>
    <cellStyle name="Currency 3 2 5 2 2 2 3" xfId="24965" xr:uid="{246EBE24-34EC-4FF1-A4BC-EF8AF10BA327}"/>
    <cellStyle name="Currency 3 2 5 2 2 2 4" xfId="33405" xr:uid="{2F26B032-0206-45FA-BCD1-19E3248BEEE1}"/>
    <cellStyle name="Currency 3 2 5 2 2 3" xfId="12307" xr:uid="{C45838B3-7E68-441A-9790-86C8EE01DECF}"/>
    <cellStyle name="Currency 3 2 5 2 2 4" xfId="20748" xr:uid="{0C07AFE2-6190-4E35-B570-A49DB8F77F29}"/>
    <cellStyle name="Currency 3 2 5 2 2 5" xfId="29188" xr:uid="{571B2558-0A3E-41B5-89E3-75E83535ABE4}"/>
    <cellStyle name="Currency 3 2 5 2 3" xfId="5053" xr:uid="{00000000-0005-0000-0000-0000470B0000}"/>
    <cellStyle name="Currency 3 2 5 2 3 2" xfId="14379" xr:uid="{54053A85-67CD-4B39-831B-F363EA1F8C14}"/>
    <cellStyle name="Currency 3 2 5 2 3 3" xfId="22820" xr:uid="{7483C566-96E9-4CC8-8F90-149F7D4D7D93}"/>
    <cellStyle name="Currency 3 2 5 2 3 4" xfId="31260" xr:uid="{3B385AE8-BEF2-4CFD-9C4C-BAE6C5EF349F}"/>
    <cellStyle name="Currency 3 2 5 2 4" xfId="9597" xr:uid="{6E2F978E-96E4-4AD8-B4BD-1BE9D7E96A2F}"/>
    <cellStyle name="Currency 3 2 5 2 5" xfId="10162" xr:uid="{D2D2DE76-5698-4C43-827C-48F92EE6FA91}"/>
    <cellStyle name="Currency 3 2 5 2 6" xfId="18603" xr:uid="{F9116B73-4ADF-49AC-8AFA-F02E6E286685}"/>
    <cellStyle name="Currency 3 2 5 2 7" xfId="27043" xr:uid="{2C3FA482-E2CB-437E-A727-D22FC3C1D707}"/>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D8694CD3-AA2F-4E7F-B3B5-427945F320D4}"/>
    <cellStyle name="Currency 3 2 5 3 2 2 3" xfId="25378" xr:uid="{9E36F069-7E66-4C11-8083-1302FD58A62E}"/>
    <cellStyle name="Currency 3 2 5 3 2 2 4" xfId="33818" xr:uid="{CAA86232-84A4-41DA-BBB2-AECE6186D1DE}"/>
    <cellStyle name="Currency 3 2 5 3 2 3" xfId="12720" xr:uid="{407B7C80-9616-49DF-A84C-802B1EE75E61}"/>
    <cellStyle name="Currency 3 2 5 3 2 4" xfId="21161" xr:uid="{A9EB116D-08F3-45E2-823C-0D85C4CD4C18}"/>
    <cellStyle name="Currency 3 2 5 3 2 5" xfId="29601" xr:uid="{0CD8B7FE-93EF-47E3-AB7B-81E6F19B72BC}"/>
    <cellStyle name="Currency 3 2 5 3 3" xfId="5466" xr:uid="{00000000-0005-0000-0000-00004B0B0000}"/>
    <cellStyle name="Currency 3 2 5 3 3 2" xfId="14792" xr:uid="{174159B9-28C1-45FD-8FE7-522DC1A5BC4E}"/>
    <cellStyle name="Currency 3 2 5 3 3 3" xfId="23233" xr:uid="{898D28F9-3393-4AB4-9B78-9A3F7FA977E7}"/>
    <cellStyle name="Currency 3 2 5 3 3 4" xfId="31673" xr:uid="{3D6F9B75-A7D0-4DB9-8C0A-AFA4766BD245}"/>
    <cellStyle name="Currency 3 2 5 3 4" xfId="10575" xr:uid="{E5D04F93-2E7A-428E-8559-03F6356B8ED4}"/>
    <cellStyle name="Currency 3 2 5 3 5" xfId="19016" xr:uid="{F89AF442-F0B1-4951-8C0C-539F99D0D92D}"/>
    <cellStyle name="Currency 3 2 5 3 6" xfId="27456" xr:uid="{9E2AC6EF-20C8-4880-B1E0-A30AED3FC6F8}"/>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246FAB0A-E72E-41E1-BD2D-8CCF7BA3B713}"/>
    <cellStyle name="Currency 3 2 5 4 2 2 3" xfId="25791" xr:uid="{3F3505E9-1FD8-482E-94DA-1BF10089CD37}"/>
    <cellStyle name="Currency 3 2 5 4 2 2 4" xfId="34231" xr:uid="{DF9F777E-71CA-40AB-A4A5-3D42FCC5DCC5}"/>
    <cellStyle name="Currency 3 2 5 4 2 3" xfId="13133" xr:uid="{48B990B6-9020-49AB-8A17-1DC5CD248157}"/>
    <cellStyle name="Currency 3 2 5 4 2 4" xfId="21574" xr:uid="{A1A15E10-9A02-4A2A-B38E-C7D354ECB0F8}"/>
    <cellStyle name="Currency 3 2 5 4 2 5" xfId="30014" xr:uid="{81202AC0-DFBE-4D06-8F10-38D83B114607}"/>
    <cellStyle name="Currency 3 2 5 4 3" xfId="5879" xr:uid="{00000000-0005-0000-0000-00004F0B0000}"/>
    <cellStyle name="Currency 3 2 5 4 3 2" xfId="15205" xr:uid="{CD3F4199-2712-4893-A309-1904259E0569}"/>
    <cellStyle name="Currency 3 2 5 4 3 3" xfId="23646" xr:uid="{5C57A06B-2BE1-46BC-B4A3-4D75DF1DC19C}"/>
    <cellStyle name="Currency 3 2 5 4 3 4" xfId="32086" xr:uid="{662F9FE3-F694-433F-8A0D-0406386DE3E9}"/>
    <cellStyle name="Currency 3 2 5 4 4" xfId="10988" xr:uid="{5A87C16A-A238-4599-87E2-FCBF85B3BB0F}"/>
    <cellStyle name="Currency 3 2 5 4 5" xfId="19429" xr:uid="{43162772-15BB-46B0-89F4-CD5D24806354}"/>
    <cellStyle name="Currency 3 2 5 4 6" xfId="27869" xr:uid="{1EEFCA9D-1849-488A-AEDB-738E1B3F062D}"/>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085AD644-F55A-4274-8B87-B5331A7778EA}"/>
    <cellStyle name="Currency 3 2 5 5 2 2 3" xfId="26204" xr:uid="{6DF6791A-BC11-4223-BA4A-D8A65360C6BB}"/>
    <cellStyle name="Currency 3 2 5 5 2 2 4" xfId="34644" xr:uid="{FC263147-38F3-48B0-BF82-568274E7A75E}"/>
    <cellStyle name="Currency 3 2 5 5 2 3" xfId="13546" xr:uid="{788499B8-B87C-460D-8D22-B83E2C09D064}"/>
    <cellStyle name="Currency 3 2 5 5 2 4" xfId="21987" xr:uid="{64730E64-C1FA-42C4-8526-B493BD3F0A2F}"/>
    <cellStyle name="Currency 3 2 5 5 2 5" xfId="30427" xr:uid="{50AE31AA-4C7E-40AE-A07D-D6D2C21AB0E5}"/>
    <cellStyle name="Currency 3 2 5 5 3" xfId="6292" xr:uid="{00000000-0005-0000-0000-0000530B0000}"/>
    <cellStyle name="Currency 3 2 5 5 3 2" xfId="15618" xr:uid="{CDC02EB3-6F31-4AD8-A9ED-84A437BE5686}"/>
    <cellStyle name="Currency 3 2 5 5 3 3" xfId="24059" xr:uid="{92751FA2-B483-4279-B64A-14D726EC7F7A}"/>
    <cellStyle name="Currency 3 2 5 5 3 4" xfId="32499" xr:uid="{650FDA79-E2C8-4A44-85D0-3797BB02BFE7}"/>
    <cellStyle name="Currency 3 2 5 5 4" xfId="11401" xr:uid="{EB244BE4-33FB-4902-9F3E-D3EA1A97887D}"/>
    <cellStyle name="Currency 3 2 5 5 5" xfId="19842" xr:uid="{EBCC23C4-EEB5-4B90-B835-A37616B1F329}"/>
    <cellStyle name="Currency 3 2 5 5 6" xfId="28282" xr:uid="{C104B7AC-1FDA-4EE5-9417-51D6CF54783B}"/>
    <cellStyle name="Currency 3 2 5 6" xfId="2421" xr:uid="{00000000-0005-0000-0000-0000540B0000}"/>
    <cellStyle name="Currency 3 2 5 6 2" xfId="6705" xr:uid="{00000000-0005-0000-0000-0000550B0000}"/>
    <cellStyle name="Currency 3 2 5 6 2 2" xfId="16031" xr:uid="{9C4A748A-5346-4B7F-BE43-8998F586FC38}"/>
    <cellStyle name="Currency 3 2 5 6 2 3" xfId="24472" xr:uid="{75C158D4-7CA6-4DEC-B01C-25A96F62AFB4}"/>
    <cellStyle name="Currency 3 2 5 6 2 4" xfId="32912" xr:uid="{3ABC38E3-4714-4D24-8842-390A885A117C}"/>
    <cellStyle name="Currency 3 2 5 6 3" xfId="11814" xr:uid="{A9689BC4-3B68-4C32-8FFC-27385C41FDFD}"/>
    <cellStyle name="Currency 3 2 5 6 4" xfId="20255" xr:uid="{EAB52EA2-40C4-450B-8D38-60FFA4657114}"/>
    <cellStyle name="Currency 3 2 5 6 5" xfId="28695" xr:uid="{EECD039C-C7BB-4D24-8F99-E2D370F51E48}"/>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9E4D6FC4-EA89-4202-A4D2-BEC2026769C9}"/>
    <cellStyle name="Currency 3 2 5 8 2 3" xfId="24789" xr:uid="{95D1DA73-B017-4BAA-9F13-3DCF069F5B61}"/>
    <cellStyle name="Currency 3 2 5 8 2 4" xfId="33229" xr:uid="{99B08F6D-E626-4F0A-9FC0-EFB653C93813}"/>
    <cellStyle name="Currency 3 2 5 8 3" xfId="12131" xr:uid="{67696BF9-5A1D-48EA-99CB-AEEE30355DD2}"/>
    <cellStyle name="Currency 3 2 5 8 4" xfId="20572" xr:uid="{28DCD3E7-6535-493F-899F-DFF1671E1A2A}"/>
    <cellStyle name="Currency 3 2 5 8 5" xfId="29012" xr:uid="{5CAD3070-9DE4-49E8-83D1-1C561E6F5F06}"/>
    <cellStyle name="Currency 3 2 5 9" xfId="4639" xr:uid="{00000000-0005-0000-0000-0000590B0000}"/>
    <cellStyle name="Currency 3 2 5 9 2" xfId="13965" xr:uid="{0EE9BE03-9A6A-4068-BFB6-86D4880034A1}"/>
    <cellStyle name="Currency 3 2 5 9 3" xfId="22406" xr:uid="{9B2ED913-A967-45CA-B883-69582C034639}"/>
    <cellStyle name="Currency 3 2 5 9 4" xfId="30846" xr:uid="{25FFBB86-68D4-434B-A1CA-502E73C906CB}"/>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F2C4FF81-AE9B-46FF-BBBD-02677DDD7982}"/>
    <cellStyle name="Currency 5 2 2 2 10 2 3" xfId="24790" xr:uid="{81484940-A996-4374-ADDE-CDA4D735AA12}"/>
    <cellStyle name="Currency 5 2 2 2 10 2 4" xfId="33230" xr:uid="{5FFD1C39-FE07-4A05-ABDF-97C8877C859E}"/>
    <cellStyle name="Currency 5 2 2 2 10 3" xfId="12132" xr:uid="{270C1C03-B940-4D80-8807-00E25912859A}"/>
    <cellStyle name="Currency 5 2 2 2 10 4" xfId="20573" xr:uid="{687EF1A2-A556-4BD1-AFAF-33AE9B8DB8B0}"/>
    <cellStyle name="Currency 5 2 2 2 10 5" xfId="29013" xr:uid="{13C05D29-5F05-4EF2-89C4-AC603F9BF8CE}"/>
    <cellStyle name="Currency 5 2 2 2 11" xfId="4640" xr:uid="{00000000-0005-0000-0000-00006C0B0000}"/>
    <cellStyle name="Currency 5 2 2 2 11 2" xfId="13966" xr:uid="{601AA94A-3EC7-4DCB-B43B-65B8506CE056}"/>
    <cellStyle name="Currency 5 2 2 2 11 3" xfId="22407" xr:uid="{95A80307-FE9F-4035-9953-A84C889769B5}"/>
    <cellStyle name="Currency 5 2 2 2 11 4" xfId="30847" xr:uid="{A0853274-5F33-4D7A-BBC5-57E53DFD0CA7}"/>
    <cellStyle name="Currency 5 2 2 2 12" xfId="8809" xr:uid="{6E2B58BA-BC61-49BF-A0FE-5BC79A050654}"/>
    <cellStyle name="Currency 5 2 2 2 13" xfId="9749" xr:uid="{3C496063-360F-48D0-8A6E-85EC1341023D}"/>
    <cellStyle name="Currency 5 2 2 2 14" xfId="18190" xr:uid="{EC8ECA34-7F10-4322-AEEB-6CD1B4A24643}"/>
    <cellStyle name="Currency 5 2 2 2 15" xfId="26630" xr:uid="{304837D3-7D9D-4E2A-A442-35BD87179949}"/>
    <cellStyle name="Currency 5 2 2 2 2" xfId="197" xr:uid="{00000000-0005-0000-0000-00006D0B0000}"/>
    <cellStyle name="Currency 5 2 2 2 2 10" xfId="4641" xr:uid="{00000000-0005-0000-0000-00006E0B0000}"/>
    <cellStyle name="Currency 5 2 2 2 2 10 2" xfId="13967" xr:uid="{B04124D3-B8C2-4DD9-B2EF-E2041BF9D608}"/>
    <cellStyle name="Currency 5 2 2 2 2 10 3" xfId="22408" xr:uid="{666B03CE-77B4-4FB0-95D0-406A57AB2AB2}"/>
    <cellStyle name="Currency 5 2 2 2 2 10 4" xfId="30848" xr:uid="{7DBAD5A9-5661-48DC-8A3D-16CD3CB771B5}"/>
    <cellStyle name="Currency 5 2 2 2 2 11" xfId="8912" xr:uid="{4079D27E-F98B-4445-AE20-FFD848158756}"/>
    <cellStyle name="Currency 5 2 2 2 2 12" xfId="9750" xr:uid="{F18F360C-004D-4F30-AA6B-57B6AC6A696C}"/>
    <cellStyle name="Currency 5 2 2 2 2 13" xfId="18191" xr:uid="{A2CDA7F4-CC60-4FA8-87DC-BB69FC81B335}"/>
    <cellStyle name="Currency 5 2 2 2 2 14" xfId="26631" xr:uid="{1AA228F4-BDD3-4E94-9C54-6F8F8780852E}"/>
    <cellStyle name="Currency 5 2 2 2 2 2" xfId="198" xr:uid="{00000000-0005-0000-0000-00006F0B0000}"/>
    <cellStyle name="Currency 5 2 2 2 2 2 10" xfId="9119" xr:uid="{2B97CFE9-E9FD-476D-A341-C695293642F3}"/>
    <cellStyle name="Currency 5 2 2 2 2 2 11" xfId="9751" xr:uid="{DFDE706F-FB98-4770-95B0-45CC2D86C3C7}"/>
    <cellStyle name="Currency 5 2 2 2 2 2 12" xfId="18192" xr:uid="{462D11D3-C902-46BA-90D7-435656A64D35}"/>
    <cellStyle name="Currency 5 2 2 2 2 2 13" xfId="26632" xr:uid="{F7D7DB17-649A-4B7B-88E4-CBAAF28965EB}"/>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D2585F3A-F6FC-40D7-BC24-6D11C42513C8}"/>
    <cellStyle name="Currency 5 2 2 2 2 2 2 2 2 3" xfId="24968" xr:uid="{4F54CC10-4681-466A-8ECF-93AC7EC86A59}"/>
    <cellStyle name="Currency 5 2 2 2 2 2 2 2 2 4" xfId="33408" xr:uid="{F3FD632C-2230-44FD-908D-A6962CF991A3}"/>
    <cellStyle name="Currency 5 2 2 2 2 2 2 2 3" xfId="12310" xr:uid="{D65FFA32-4BA7-4CF9-A6DA-E17D487002D0}"/>
    <cellStyle name="Currency 5 2 2 2 2 2 2 2 4" xfId="20751" xr:uid="{3ADA960D-6DF5-4002-97A4-E91F0B509168}"/>
    <cellStyle name="Currency 5 2 2 2 2 2 2 2 5" xfId="29191" xr:uid="{953C6A35-67AB-4BE6-A390-E31694E73717}"/>
    <cellStyle name="Currency 5 2 2 2 2 2 2 3" xfId="5056" xr:uid="{00000000-0005-0000-0000-0000730B0000}"/>
    <cellStyle name="Currency 5 2 2 2 2 2 2 3 2" xfId="14382" xr:uid="{011226FF-C62D-457E-AC5C-5D28F29CCC29}"/>
    <cellStyle name="Currency 5 2 2 2 2 2 2 3 3" xfId="22823" xr:uid="{93102CD6-93F1-4428-9C9F-559F5D2163BA}"/>
    <cellStyle name="Currency 5 2 2 2 2 2 2 3 4" xfId="31263" xr:uid="{1A7F07B9-8E36-4D8C-81A1-45CC9C8365EB}"/>
    <cellStyle name="Currency 5 2 2 2 2 2 2 4" xfId="9544" xr:uid="{77881B28-843C-4677-B92C-D2A5804BDB97}"/>
    <cellStyle name="Currency 5 2 2 2 2 2 2 5" xfId="10165" xr:uid="{B3D053A5-20A4-407D-BAC3-9F4DB45631CA}"/>
    <cellStyle name="Currency 5 2 2 2 2 2 2 6" xfId="18606" xr:uid="{CFD3D1B9-6B52-40AC-B31E-ABCEA026E7BD}"/>
    <cellStyle name="Currency 5 2 2 2 2 2 2 7" xfId="27046" xr:uid="{B5DE0B39-20D4-4B70-8D2A-868726253719}"/>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A74BA8FA-5697-491F-8AED-E244E576E536}"/>
    <cellStyle name="Currency 5 2 2 2 2 2 3 2 2 3" xfId="25381" xr:uid="{F644C35C-07F7-427A-AF68-3DACD7D8707B}"/>
    <cellStyle name="Currency 5 2 2 2 2 2 3 2 2 4" xfId="33821" xr:uid="{D6A2BE64-0E0C-42B1-A32E-6445C29EC148}"/>
    <cellStyle name="Currency 5 2 2 2 2 2 3 2 3" xfId="12723" xr:uid="{879D0B31-917E-4841-8F7B-47A323DA0CB8}"/>
    <cellStyle name="Currency 5 2 2 2 2 2 3 2 4" xfId="21164" xr:uid="{70C98846-EABE-43B1-A98A-8340F6426F08}"/>
    <cellStyle name="Currency 5 2 2 2 2 2 3 2 5" xfId="29604" xr:uid="{ACC87A64-FE21-4356-AEB4-3071231D2251}"/>
    <cellStyle name="Currency 5 2 2 2 2 2 3 3" xfId="5469" xr:uid="{00000000-0005-0000-0000-0000770B0000}"/>
    <cellStyle name="Currency 5 2 2 2 2 2 3 3 2" xfId="14795" xr:uid="{036C1B56-9853-4A5B-BBB1-FD4844C4B51C}"/>
    <cellStyle name="Currency 5 2 2 2 2 2 3 3 3" xfId="23236" xr:uid="{919710E5-D106-4278-8091-A798CE9B59B0}"/>
    <cellStyle name="Currency 5 2 2 2 2 2 3 3 4" xfId="31676" xr:uid="{E436E57F-3E09-4EE5-A72E-24BF401A1C2A}"/>
    <cellStyle name="Currency 5 2 2 2 2 2 3 4" xfId="10578" xr:uid="{9A790F95-44A5-4C53-9E2A-1B58DA06A0EE}"/>
    <cellStyle name="Currency 5 2 2 2 2 2 3 5" xfId="19019" xr:uid="{5E95CEDC-FE59-468F-BD16-CE2C853FA56A}"/>
    <cellStyle name="Currency 5 2 2 2 2 2 3 6" xfId="27459" xr:uid="{E24F556C-6031-4287-B64F-515FC6352881}"/>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60C7DE1F-8065-4099-AE3F-A2A8BB94F9D6}"/>
    <cellStyle name="Currency 5 2 2 2 2 2 4 2 2 3" xfId="25794" xr:uid="{7D80FD3B-C360-45A5-A788-536A3F94F01A}"/>
    <cellStyle name="Currency 5 2 2 2 2 2 4 2 2 4" xfId="34234" xr:uid="{EBF0094A-E754-47A4-9A75-EFFC811FB0E9}"/>
    <cellStyle name="Currency 5 2 2 2 2 2 4 2 3" xfId="13136" xr:uid="{CCFFC6C0-5E43-4263-B805-071EB74E77AC}"/>
    <cellStyle name="Currency 5 2 2 2 2 2 4 2 4" xfId="21577" xr:uid="{040383C6-8C62-4094-8072-CCD14B9A94C6}"/>
    <cellStyle name="Currency 5 2 2 2 2 2 4 2 5" xfId="30017" xr:uid="{CA1F6588-F3DA-46B6-A2DB-1EA7CC19DDEA}"/>
    <cellStyle name="Currency 5 2 2 2 2 2 4 3" xfId="5882" xr:uid="{00000000-0005-0000-0000-00007B0B0000}"/>
    <cellStyle name="Currency 5 2 2 2 2 2 4 3 2" xfId="15208" xr:uid="{7F93A98A-72AA-4E46-AB9B-44D65D35212B}"/>
    <cellStyle name="Currency 5 2 2 2 2 2 4 3 3" xfId="23649" xr:uid="{A28EED70-7C24-4686-9396-01CF707008D7}"/>
    <cellStyle name="Currency 5 2 2 2 2 2 4 3 4" xfId="32089" xr:uid="{FF2DC513-5622-448C-94AE-5383E4FD80A5}"/>
    <cellStyle name="Currency 5 2 2 2 2 2 4 4" xfId="10991" xr:uid="{BC78D36F-7A0E-4B36-8604-0ACBAA1AC08D}"/>
    <cellStyle name="Currency 5 2 2 2 2 2 4 5" xfId="19432" xr:uid="{F255875F-32AC-4824-9B41-E124D5B33311}"/>
    <cellStyle name="Currency 5 2 2 2 2 2 4 6" xfId="27872" xr:uid="{E64007BD-6B9E-4AA1-8F3F-DC2AEE92F60D}"/>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883AC460-F22A-4AED-B0FD-23B242396131}"/>
    <cellStyle name="Currency 5 2 2 2 2 2 5 2 2 3" xfId="26207" xr:uid="{62EF695C-8A32-4785-82FD-CC5A2A65C394}"/>
    <cellStyle name="Currency 5 2 2 2 2 2 5 2 2 4" xfId="34647" xr:uid="{2F185194-F716-4C52-BC6E-BC60AA229136}"/>
    <cellStyle name="Currency 5 2 2 2 2 2 5 2 3" xfId="13549" xr:uid="{11CCE41C-EBBE-4962-88D9-6F3A50B09AD0}"/>
    <cellStyle name="Currency 5 2 2 2 2 2 5 2 4" xfId="21990" xr:uid="{E15AF32C-91F3-44A1-B245-14A5B6A8F851}"/>
    <cellStyle name="Currency 5 2 2 2 2 2 5 2 5" xfId="30430" xr:uid="{B1D92774-920A-4F2C-B5E5-39D7A9594AAE}"/>
    <cellStyle name="Currency 5 2 2 2 2 2 5 3" xfId="6295" xr:uid="{00000000-0005-0000-0000-00007F0B0000}"/>
    <cellStyle name="Currency 5 2 2 2 2 2 5 3 2" xfId="15621" xr:uid="{BD1F4886-68DF-452F-BD95-5BAA478C76DB}"/>
    <cellStyle name="Currency 5 2 2 2 2 2 5 3 3" xfId="24062" xr:uid="{539C5497-DC57-4847-B639-6B877091C863}"/>
    <cellStyle name="Currency 5 2 2 2 2 2 5 3 4" xfId="32502" xr:uid="{53EE13CE-3192-4661-A6D3-DAEDF528722C}"/>
    <cellStyle name="Currency 5 2 2 2 2 2 5 4" xfId="11404" xr:uid="{234DBE72-8908-4C0E-873D-B241C94E02EF}"/>
    <cellStyle name="Currency 5 2 2 2 2 2 5 5" xfId="19845" xr:uid="{35344B71-E0D1-45BD-8EFD-B938CD5A2010}"/>
    <cellStyle name="Currency 5 2 2 2 2 2 5 6" xfId="28285" xr:uid="{6093335E-CEA5-4136-9E0C-B7441AE848E8}"/>
    <cellStyle name="Currency 5 2 2 2 2 2 6" xfId="2424" xr:uid="{00000000-0005-0000-0000-0000800B0000}"/>
    <cellStyle name="Currency 5 2 2 2 2 2 6 2" xfId="6708" xr:uid="{00000000-0005-0000-0000-0000810B0000}"/>
    <cellStyle name="Currency 5 2 2 2 2 2 6 2 2" xfId="16034" xr:uid="{A6E4D7E9-EF94-41D6-B990-EAC988276571}"/>
    <cellStyle name="Currency 5 2 2 2 2 2 6 2 3" xfId="24475" xr:uid="{47838F7E-7DB3-46BC-A206-1E679AE8E2EB}"/>
    <cellStyle name="Currency 5 2 2 2 2 2 6 2 4" xfId="32915" xr:uid="{21A4D96C-CD22-49F1-A923-E5611FC8C6AA}"/>
    <cellStyle name="Currency 5 2 2 2 2 2 6 3" xfId="11817" xr:uid="{926B1DD8-E0D1-4E9F-B4FB-291C2149999E}"/>
    <cellStyle name="Currency 5 2 2 2 2 2 6 4" xfId="20258" xr:uid="{A9352BD4-2C3B-4488-99E2-11165C7702EA}"/>
    <cellStyle name="Currency 5 2 2 2 2 2 6 5" xfId="28698" xr:uid="{F1684EFC-835F-4D60-BDFE-417A0DEB4B03}"/>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48D0A18F-973B-4813-AE56-0D824802FE90}"/>
    <cellStyle name="Currency 5 2 2 2 2 2 8 2 3" xfId="24792" xr:uid="{C33C26AE-05B4-48DF-BB5F-6ED2EC221040}"/>
    <cellStyle name="Currency 5 2 2 2 2 2 8 2 4" xfId="33232" xr:uid="{05A996B5-5A95-4E13-90D7-7B9AA5ABD6EC}"/>
    <cellStyle name="Currency 5 2 2 2 2 2 8 3" xfId="12134" xr:uid="{EC8C4112-2B3F-4D29-A2BF-DFC641978E53}"/>
    <cellStyle name="Currency 5 2 2 2 2 2 8 4" xfId="20575" xr:uid="{94E2C25E-DC2A-43D3-8730-4CA81B422B86}"/>
    <cellStyle name="Currency 5 2 2 2 2 2 8 5" xfId="29015" xr:uid="{23DC2FFA-3A01-4358-B6BC-8215A8286661}"/>
    <cellStyle name="Currency 5 2 2 2 2 2 9" xfId="4642" xr:uid="{00000000-0005-0000-0000-0000850B0000}"/>
    <cellStyle name="Currency 5 2 2 2 2 2 9 2" xfId="13968" xr:uid="{E12CEB27-A123-4854-8BFC-B5928F532AF3}"/>
    <cellStyle name="Currency 5 2 2 2 2 2 9 3" xfId="22409" xr:uid="{6D0E4663-19DC-49DB-A98F-8E3D5940E2D0}"/>
    <cellStyle name="Currency 5 2 2 2 2 2 9 4" xfId="30849" xr:uid="{C97C1FC0-FD87-4669-AACE-E305E12B75C8}"/>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2397C36D-E8A4-4FC6-987F-F15C9A2509C0}"/>
    <cellStyle name="Currency 5 2 2 2 2 3 2 2 3" xfId="24967" xr:uid="{A7E52CCA-4375-4815-94A1-FA3D3913EB0B}"/>
    <cellStyle name="Currency 5 2 2 2 2 3 2 2 4" xfId="33407" xr:uid="{088FDF53-8784-45F4-A5EA-4542F78BC5B1}"/>
    <cellStyle name="Currency 5 2 2 2 2 3 2 3" xfId="12309" xr:uid="{D1B08955-252B-4CF6-983B-2C1C512FC321}"/>
    <cellStyle name="Currency 5 2 2 2 2 3 2 4" xfId="20750" xr:uid="{4C1B46BC-C383-40C0-97CB-10BDBEE12B70}"/>
    <cellStyle name="Currency 5 2 2 2 2 3 2 5" xfId="29190" xr:uid="{CE5ACD71-D6F5-4552-9E41-C68ECD40C2DC}"/>
    <cellStyle name="Currency 5 2 2 2 2 3 3" xfId="5055" xr:uid="{00000000-0005-0000-0000-0000890B0000}"/>
    <cellStyle name="Currency 5 2 2 2 2 3 3 2" xfId="14381" xr:uid="{5ACE6B03-85C0-4DCC-967F-B9226E8B2C58}"/>
    <cellStyle name="Currency 5 2 2 2 2 3 3 3" xfId="22822" xr:uid="{51FEDB74-944B-4CDD-B44E-374B72942B51}"/>
    <cellStyle name="Currency 5 2 2 2 2 3 3 4" xfId="31262" xr:uid="{9338F5CC-FAAC-48F6-B5ED-40807BADA0BE}"/>
    <cellStyle name="Currency 5 2 2 2 2 3 4" xfId="9337" xr:uid="{A1FF44B9-A8E0-4A4E-9BE9-DA7FD7E326AE}"/>
    <cellStyle name="Currency 5 2 2 2 2 3 5" xfId="10164" xr:uid="{0534D9F3-3A8B-4DA9-B9A3-337BAA0087E9}"/>
    <cellStyle name="Currency 5 2 2 2 2 3 6" xfId="18605" xr:uid="{A70A268F-EE2F-478D-8348-B17361757BAB}"/>
    <cellStyle name="Currency 5 2 2 2 2 3 7" xfId="27045" xr:uid="{B7946A2F-0B2B-41F0-B4F3-9E4D5FF855DC}"/>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313ACEAF-8C5E-41FE-8E9F-40128B7E8BA5}"/>
    <cellStyle name="Currency 5 2 2 2 2 4 2 2 3" xfId="25380" xr:uid="{5FDD80F9-AC4E-47D6-AB42-49F55EDD9C90}"/>
    <cellStyle name="Currency 5 2 2 2 2 4 2 2 4" xfId="33820" xr:uid="{E677B190-51B3-4200-A346-F8415DA6E255}"/>
    <cellStyle name="Currency 5 2 2 2 2 4 2 3" xfId="12722" xr:uid="{0F33078C-6774-429C-B5D7-02E842982940}"/>
    <cellStyle name="Currency 5 2 2 2 2 4 2 4" xfId="21163" xr:uid="{8CBCD36A-89DB-4C97-8CC0-0D33950E3CB8}"/>
    <cellStyle name="Currency 5 2 2 2 2 4 2 5" xfId="29603" xr:uid="{B13667C5-1AAA-4958-935C-BEAF283E8E7D}"/>
    <cellStyle name="Currency 5 2 2 2 2 4 3" xfId="5468" xr:uid="{00000000-0005-0000-0000-00008D0B0000}"/>
    <cellStyle name="Currency 5 2 2 2 2 4 3 2" xfId="14794" xr:uid="{1B43385C-937F-4525-B2CA-F8AED12856BA}"/>
    <cellStyle name="Currency 5 2 2 2 2 4 3 3" xfId="23235" xr:uid="{8491DB9B-29DC-44DB-852A-3E7B3FD2F44D}"/>
    <cellStyle name="Currency 5 2 2 2 2 4 3 4" xfId="31675" xr:uid="{6004FD04-B9F6-435F-9771-AD915E70E6BE}"/>
    <cellStyle name="Currency 5 2 2 2 2 4 4" xfId="10577" xr:uid="{AF131020-C476-4585-924F-A188A8CA3049}"/>
    <cellStyle name="Currency 5 2 2 2 2 4 5" xfId="19018" xr:uid="{C1CDE3E2-F7C5-4F33-8BE2-C58E1196D19F}"/>
    <cellStyle name="Currency 5 2 2 2 2 4 6" xfId="27458" xr:uid="{E5598E6F-D550-49FF-AE58-B47D134EE7BA}"/>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A7ED7D95-104E-46CE-B698-ABE637BBF633}"/>
    <cellStyle name="Currency 5 2 2 2 2 5 2 2 3" xfId="25793" xr:uid="{E6E4D968-C13B-4420-A636-2840181CD3C3}"/>
    <cellStyle name="Currency 5 2 2 2 2 5 2 2 4" xfId="34233" xr:uid="{6BD876FF-150D-4773-83C9-35600CE4D856}"/>
    <cellStyle name="Currency 5 2 2 2 2 5 2 3" xfId="13135" xr:uid="{D8353FC4-D560-4391-9E6C-E7280B02F64D}"/>
    <cellStyle name="Currency 5 2 2 2 2 5 2 4" xfId="21576" xr:uid="{A8D4D90B-5CE6-48B4-B386-2064CFBA6CB9}"/>
    <cellStyle name="Currency 5 2 2 2 2 5 2 5" xfId="30016" xr:uid="{C9A97282-9314-4E83-B59F-D80DED4F1D58}"/>
    <cellStyle name="Currency 5 2 2 2 2 5 3" xfId="5881" xr:uid="{00000000-0005-0000-0000-0000910B0000}"/>
    <cellStyle name="Currency 5 2 2 2 2 5 3 2" xfId="15207" xr:uid="{9C773526-F7BC-4DF8-B195-C474B8680DEE}"/>
    <cellStyle name="Currency 5 2 2 2 2 5 3 3" xfId="23648" xr:uid="{64C6CB74-7BDF-4BCE-BFC5-CD0A49EF3088}"/>
    <cellStyle name="Currency 5 2 2 2 2 5 3 4" xfId="32088" xr:uid="{17A4C204-FE09-4879-984E-20FD4067B3FF}"/>
    <cellStyle name="Currency 5 2 2 2 2 5 4" xfId="10990" xr:uid="{008DBB5F-F10D-4D5A-BFBA-948CA47E71A9}"/>
    <cellStyle name="Currency 5 2 2 2 2 5 5" xfId="19431" xr:uid="{10DA7F94-D717-4E50-8338-75A0373F02C5}"/>
    <cellStyle name="Currency 5 2 2 2 2 5 6" xfId="27871" xr:uid="{124E5A91-BCF0-44BF-8458-27C9253BC512}"/>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582490BF-269B-437F-9017-2B631B68FA94}"/>
    <cellStyle name="Currency 5 2 2 2 2 6 2 2 3" xfId="26206" xr:uid="{B5C02BC1-B01B-4563-920F-D0B4E57B6AC9}"/>
    <cellStyle name="Currency 5 2 2 2 2 6 2 2 4" xfId="34646" xr:uid="{571706A9-B690-43F5-94ED-9F540E5D1400}"/>
    <cellStyle name="Currency 5 2 2 2 2 6 2 3" xfId="13548" xr:uid="{B1AA1B11-DB8C-4E60-A297-600D6F21E74C}"/>
    <cellStyle name="Currency 5 2 2 2 2 6 2 4" xfId="21989" xr:uid="{FF7869F7-165A-4507-B46B-5A79613534A4}"/>
    <cellStyle name="Currency 5 2 2 2 2 6 2 5" xfId="30429" xr:uid="{CB2AD659-7ED1-4B77-AEE5-2A6EAD9BB3C4}"/>
    <cellStyle name="Currency 5 2 2 2 2 6 3" xfId="6294" xr:uid="{00000000-0005-0000-0000-0000950B0000}"/>
    <cellStyle name="Currency 5 2 2 2 2 6 3 2" xfId="15620" xr:uid="{1BBD536F-77AE-4888-B80E-E4EB127E2B47}"/>
    <cellStyle name="Currency 5 2 2 2 2 6 3 3" xfId="24061" xr:uid="{5E4508BA-E7C2-46FA-A365-6D24AD794696}"/>
    <cellStyle name="Currency 5 2 2 2 2 6 3 4" xfId="32501" xr:uid="{17306C50-8068-4FA5-991E-2B485EAE6235}"/>
    <cellStyle name="Currency 5 2 2 2 2 6 4" xfId="11403" xr:uid="{20978C47-C3D6-4DDE-B285-9D9EF727A85A}"/>
    <cellStyle name="Currency 5 2 2 2 2 6 5" xfId="19844" xr:uid="{2CD6BB71-DD79-460F-AF2E-EF7BF6712C76}"/>
    <cellStyle name="Currency 5 2 2 2 2 6 6" xfId="28284" xr:uid="{F2F14758-89AD-45F9-9C8C-F0F2808D52FD}"/>
    <cellStyle name="Currency 5 2 2 2 2 7" xfId="2423" xr:uid="{00000000-0005-0000-0000-0000960B0000}"/>
    <cellStyle name="Currency 5 2 2 2 2 7 2" xfId="6707" xr:uid="{00000000-0005-0000-0000-0000970B0000}"/>
    <cellStyle name="Currency 5 2 2 2 2 7 2 2" xfId="16033" xr:uid="{A464EE14-46FA-444E-BC7D-80944441EA67}"/>
    <cellStyle name="Currency 5 2 2 2 2 7 2 3" xfId="24474" xr:uid="{8C5B62B3-7B5C-424C-ABEB-DC0C9DC780D8}"/>
    <cellStyle name="Currency 5 2 2 2 2 7 2 4" xfId="32914" xr:uid="{230977E5-C324-4AD6-8F7E-E62424019452}"/>
    <cellStyle name="Currency 5 2 2 2 2 7 3" xfId="11816" xr:uid="{E0EEA62D-3712-4AAE-9D2F-2D681A20D812}"/>
    <cellStyle name="Currency 5 2 2 2 2 7 4" xfId="20257" xr:uid="{781F7D9D-90AB-4E6F-9847-55AA72A5C7BE}"/>
    <cellStyle name="Currency 5 2 2 2 2 7 5" xfId="28697" xr:uid="{32523D34-F9EC-4BE0-BE21-C535CB0F8631}"/>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3E493A6C-F6B0-4641-B49C-2183F9B68084}"/>
    <cellStyle name="Currency 5 2 2 2 2 9 2 3" xfId="24791" xr:uid="{DE876F50-10BD-4FA8-A27A-37EFA90C3EA5}"/>
    <cellStyle name="Currency 5 2 2 2 2 9 2 4" xfId="33231" xr:uid="{2F1CEE61-5D79-490C-8BC3-4C1CE0FC2903}"/>
    <cellStyle name="Currency 5 2 2 2 2 9 3" xfId="12133" xr:uid="{427004EE-1277-4453-9150-DAE7355C7078}"/>
    <cellStyle name="Currency 5 2 2 2 2 9 4" xfId="20574" xr:uid="{FBB2520B-E04E-4931-8FBB-0BB8FBE89275}"/>
    <cellStyle name="Currency 5 2 2 2 2 9 5" xfId="29014" xr:uid="{2114C5B4-2A28-444B-88F9-CEBD0F3C0B7A}"/>
    <cellStyle name="Currency 5 2 2 2 3" xfId="199" xr:uid="{00000000-0005-0000-0000-00009B0B0000}"/>
    <cellStyle name="Currency 5 2 2 2 3 10" xfId="9016" xr:uid="{706F9706-E49D-4995-B402-A842C879DBC8}"/>
    <cellStyle name="Currency 5 2 2 2 3 11" xfId="9752" xr:uid="{1E513B37-E102-4EF5-9BEE-395F1BD40E92}"/>
    <cellStyle name="Currency 5 2 2 2 3 12" xfId="18193" xr:uid="{B8062C25-4873-4DD8-940E-06B8550DC6F1}"/>
    <cellStyle name="Currency 5 2 2 2 3 13" xfId="26633" xr:uid="{D6D87B33-8C8D-4CF2-A9C1-3B6E3D427BEC}"/>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A6AD4E91-BCB0-4AB0-8FB5-224DAFA8395C}"/>
    <cellStyle name="Currency 5 2 2 2 3 2 2 2 3" xfId="24969" xr:uid="{6E65C149-A979-47B6-82A6-BA14D44E74AF}"/>
    <cellStyle name="Currency 5 2 2 2 3 2 2 2 4" xfId="33409" xr:uid="{2577E9DB-9CCB-4531-AAA7-D5064B701E5B}"/>
    <cellStyle name="Currency 5 2 2 2 3 2 2 3" xfId="12311" xr:uid="{4CB38759-2DB8-4BE0-A622-3F8739300A25}"/>
    <cellStyle name="Currency 5 2 2 2 3 2 2 4" xfId="20752" xr:uid="{4CC4B062-DF80-4AC1-A8BF-4FF444021A3A}"/>
    <cellStyle name="Currency 5 2 2 2 3 2 2 5" xfId="29192" xr:uid="{FA453E5E-43EF-4504-ABCB-8CD578A1CCF7}"/>
    <cellStyle name="Currency 5 2 2 2 3 2 3" xfId="5057" xr:uid="{00000000-0005-0000-0000-00009F0B0000}"/>
    <cellStyle name="Currency 5 2 2 2 3 2 3 2" xfId="14383" xr:uid="{1E7A3390-28C4-41B1-81DF-EA3292C3815B}"/>
    <cellStyle name="Currency 5 2 2 2 3 2 3 3" xfId="22824" xr:uid="{3C35A7A7-9E73-4823-BF7D-D267575D0AAD}"/>
    <cellStyle name="Currency 5 2 2 2 3 2 3 4" xfId="31264" xr:uid="{411E9B74-B59E-4624-A30D-ACF2C68097C7}"/>
    <cellStyle name="Currency 5 2 2 2 3 2 4" xfId="9441" xr:uid="{B7048274-E02F-4E6A-9C9A-FAD4299F19B1}"/>
    <cellStyle name="Currency 5 2 2 2 3 2 5" xfId="10166" xr:uid="{D742992C-D005-446E-91B0-354B28280AB9}"/>
    <cellStyle name="Currency 5 2 2 2 3 2 6" xfId="18607" xr:uid="{25BE549F-8D71-4291-AB82-A4583F2EF05C}"/>
    <cellStyle name="Currency 5 2 2 2 3 2 7" xfId="27047" xr:uid="{677F9C1E-CEDD-4C39-98D3-94A0C6C77CB2}"/>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E1BCAA81-37AC-435E-8E43-D7D367B8B0E6}"/>
    <cellStyle name="Currency 5 2 2 2 3 3 2 2 3" xfId="25382" xr:uid="{7AEE1E63-449E-4719-8B1B-EF2981E10D69}"/>
    <cellStyle name="Currency 5 2 2 2 3 3 2 2 4" xfId="33822" xr:uid="{6785EEAA-16A7-4D96-92C6-F3DA4123FEC6}"/>
    <cellStyle name="Currency 5 2 2 2 3 3 2 3" xfId="12724" xr:uid="{EEE1E0EE-85CA-4577-A543-82237F03AB33}"/>
    <cellStyle name="Currency 5 2 2 2 3 3 2 4" xfId="21165" xr:uid="{9EA1C178-CBBC-44EC-A2F8-EA5E4459C3C1}"/>
    <cellStyle name="Currency 5 2 2 2 3 3 2 5" xfId="29605" xr:uid="{A2845A6A-B0E8-419A-999A-B72D0B70451E}"/>
    <cellStyle name="Currency 5 2 2 2 3 3 3" xfId="5470" xr:uid="{00000000-0005-0000-0000-0000A30B0000}"/>
    <cellStyle name="Currency 5 2 2 2 3 3 3 2" xfId="14796" xr:uid="{FAAF493A-77B5-46CF-AD0F-F81178BB334E}"/>
    <cellStyle name="Currency 5 2 2 2 3 3 3 3" xfId="23237" xr:uid="{06E846F4-C116-46FE-91D8-7125F6FA7CF2}"/>
    <cellStyle name="Currency 5 2 2 2 3 3 3 4" xfId="31677" xr:uid="{F9FEF74E-1A55-44CC-92BD-340AAECF6318}"/>
    <cellStyle name="Currency 5 2 2 2 3 3 4" xfId="10579" xr:uid="{A5FF8110-F543-46DD-AC60-5626529C8D7E}"/>
    <cellStyle name="Currency 5 2 2 2 3 3 5" xfId="19020" xr:uid="{ECDDD5D9-65E2-428E-98C0-DE38DA600674}"/>
    <cellStyle name="Currency 5 2 2 2 3 3 6" xfId="27460" xr:uid="{6652B07D-F5E2-44E2-97E0-3F1974189E14}"/>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D0355F99-B0FA-4441-BB25-3F2A719C6A0A}"/>
    <cellStyle name="Currency 5 2 2 2 3 4 2 2 3" xfId="25795" xr:uid="{3DBF99D1-7F72-44F6-BF39-9871F8AB6129}"/>
    <cellStyle name="Currency 5 2 2 2 3 4 2 2 4" xfId="34235" xr:uid="{8D874815-DD4E-4F6F-9CC0-67B76DD8F441}"/>
    <cellStyle name="Currency 5 2 2 2 3 4 2 3" xfId="13137" xr:uid="{4C8DA2EB-A421-4121-9CAC-D88B80068F47}"/>
    <cellStyle name="Currency 5 2 2 2 3 4 2 4" xfId="21578" xr:uid="{8DBD0996-1131-4D67-9ECE-2222D3898C2A}"/>
    <cellStyle name="Currency 5 2 2 2 3 4 2 5" xfId="30018" xr:uid="{F14A0306-2416-43E5-9690-41194AB911DB}"/>
    <cellStyle name="Currency 5 2 2 2 3 4 3" xfId="5883" xr:uid="{00000000-0005-0000-0000-0000A70B0000}"/>
    <cellStyle name="Currency 5 2 2 2 3 4 3 2" xfId="15209" xr:uid="{7EBF07A2-E23D-4A59-B9C3-E636EECFB0FE}"/>
    <cellStyle name="Currency 5 2 2 2 3 4 3 3" xfId="23650" xr:uid="{20D8E6CC-C79B-42E3-94E9-0A6D6F86657F}"/>
    <cellStyle name="Currency 5 2 2 2 3 4 3 4" xfId="32090" xr:uid="{8F961A12-5006-49C5-BD4B-5A2F9FE330BB}"/>
    <cellStyle name="Currency 5 2 2 2 3 4 4" xfId="10992" xr:uid="{A6F6C63E-311D-4383-AE57-795CFB8AD019}"/>
    <cellStyle name="Currency 5 2 2 2 3 4 5" xfId="19433" xr:uid="{E8373871-5B47-4FEF-9239-BE9AB099525A}"/>
    <cellStyle name="Currency 5 2 2 2 3 4 6" xfId="27873" xr:uid="{3E77D407-3EEB-4BBF-815D-2EA8E7B00513}"/>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392681D2-459B-472A-9B5D-09D4A9435356}"/>
    <cellStyle name="Currency 5 2 2 2 3 5 2 2 3" xfId="26208" xr:uid="{431CCE7E-C682-4709-9AC5-B3280602EE41}"/>
    <cellStyle name="Currency 5 2 2 2 3 5 2 2 4" xfId="34648" xr:uid="{923BEBCB-601E-47F7-909F-6FB8CA548C87}"/>
    <cellStyle name="Currency 5 2 2 2 3 5 2 3" xfId="13550" xr:uid="{7CE7FEC9-D9DE-4B0D-A002-AAB58FEBB38E}"/>
    <cellStyle name="Currency 5 2 2 2 3 5 2 4" xfId="21991" xr:uid="{87F575CA-2B32-4F61-AEE4-9C425A2E259A}"/>
    <cellStyle name="Currency 5 2 2 2 3 5 2 5" xfId="30431" xr:uid="{B90FDFBA-6744-4D5F-B5B1-3855D2E57FFF}"/>
    <cellStyle name="Currency 5 2 2 2 3 5 3" xfId="6296" xr:uid="{00000000-0005-0000-0000-0000AB0B0000}"/>
    <cellStyle name="Currency 5 2 2 2 3 5 3 2" xfId="15622" xr:uid="{D2996A21-C2F9-4499-9F87-5F5AF96CBBA5}"/>
    <cellStyle name="Currency 5 2 2 2 3 5 3 3" xfId="24063" xr:uid="{E78BE0F3-B529-4ACB-A1EF-E1FC993802E3}"/>
    <cellStyle name="Currency 5 2 2 2 3 5 3 4" xfId="32503" xr:uid="{55C8D6B2-607B-4D71-AA14-D6296984E019}"/>
    <cellStyle name="Currency 5 2 2 2 3 5 4" xfId="11405" xr:uid="{96586D13-5064-4AD2-8F7D-370DE21FF002}"/>
    <cellStyle name="Currency 5 2 2 2 3 5 5" xfId="19846" xr:uid="{C39DB666-2CD8-41EA-B1E4-AE31F09E052F}"/>
    <cellStyle name="Currency 5 2 2 2 3 5 6" xfId="28286" xr:uid="{192226A4-E391-48FB-9D0A-FF70DA99961D}"/>
    <cellStyle name="Currency 5 2 2 2 3 6" xfId="2425" xr:uid="{00000000-0005-0000-0000-0000AC0B0000}"/>
    <cellStyle name="Currency 5 2 2 2 3 6 2" xfId="6709" xr:uid="{00000000-0005-0000-0000-0000AD0B0000}"/>
    <cellStyle name="Currency 5 2 2 2 3 6 2 2" xfId="16035" xr:uid="{337D00DB-71DE-4215-B5B8-EB9E8B31D8E4}"/>
    <cellStyle name="Currency 5 2 2 2 3 6 2 3" xfId="24476" xr:uid="{30F85513-8CCC-405B-A21F-FD60AA9EE770}"/>
    <cellStyle name="Currency 5 2 2 2 3 6 2 4" xfId="32916" xr:uid="{703ADB13-8AFC-4551-8391-33BBF48A4449}"/>
    <cellStyle name="Currency 5 2 2 2 3 6 3" xfId="11818" xr:uid="{4B46C50D-2D7B-4317-9786-410969D50732}"/>
    <cellStyle name="Currency 5 2 2 2 3 6 4" xfId="20259" xr:uid="{04038418-C17B-4A10-B70A-F2812324EC73}"/>
    <cellStyle name="Currency 5 2 2 2 3 6 5" xfId="28699" xr:uid="{CD7EBE73-8F1C-48AB-9F44-E178E5499046}"/>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FE75FDDE-3F00-4F2F-9CC4-1C94D40AFB85}"/>
    <cellStyle name="Currency 5 2 2 2 3 8 2 3" xfId="24793" xr:uid="{B809F57E-315C-4314-9A5A-D8883218CAA9}"/>
    <cellStyle name="Currency 5 2 2 2 3 8 2 4" xfId="33233" xr:uid="{88D5FAC0-A969-48CE-8B0D-11A4B677E3A9}"/>
    <cellStyle name="Currency 5 2 2 2 3 8 3" xfId="12135" xr:uid="{B950E8AE-98D7-4927-AAB1-5A9860D197E0}"/>
    <cellStyle name="Currency 5 2 2 2 3 8 4" xfId="20576" xr:uid="{DBE5905D-F339-42D3-BA1A-BEC1BF375919}"/>
    <cellStyle name="Currency 5 2 2 2 3 8 5" xfId="29016" xr:uid="{A97DA7F3-A8ED-48D7-A759-88DA39B44A46}"/>
    <cellStyle name="Currency 5 2 2 2 3 9" xfId="4643" xr:uid="{00000000-0005-0000-0000-0000B10B0000}"/>
    <cellStyle name="Currency 5 2 2 2 3 9 2" xfId="13969" xr:uid="{CCA4826C-4CAB-455E-B25B-DA404D4703C8}"/>
    <cellStyle name="Currency 5 2 2 2 3 9 3" xfId="22410" xr:uid="{5730A288-5EB9-4003-AB1E-33F606A402D0}"/>
    <cellStyle name="Currency 5 2 2 2 3 9 4" xfId="30850" xr:uid="{615E33B5-137F-43CB-BFC9-E9C2A08DD26E}"/>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7AC53BAF-3BAB-4480-AF7F-B7D4B709F512}"/>
    <cellStyle name="Currency 5 2 2 2 4 2 2 3" xfId="24966" xr:uid="{9F7721AA-BBF1-4472-BAA3-E1F6315C375C}"/>
    <cellStyle name="Currency 5 2 2 2 4 2 2 4" xfId="33406" xr:uid="{DA73BD4A-3776-4498-B1B5-69A9254D38A7}"/>
    <cellStyle name="Currency 5 2 2 2 4 2 3" xfId="12308" xr:uid="{33C0B368-D8F0-4863-8C49-C6FC25932A01}"/>
    <cellStyle name="Currency 5 2 2 2 4 2 4" xfId="20749" xr:uid="{642DC7A6-621B-4AEA-AB79-4213E25F898D}"/>
    <cellStyle name="Currency 5 2 2 2 4 2 5" xfId="29189" xr:uid="{2C2000F1-B603-4812-9FD6-0BFC6E41E843}"/>
    <cellStyle name="Currency 5 2 2 2 4 3" xfId="5054" xr:uid="{00000000-0005-0000-0000-0000B50B0000}"/>
    <cellStyle name="Currency 5 2 2 2 4 3 2" xfId="14380" xr:uid="{976403E6-FCA3-423A-BA98-AD8DBD077864}"/>
    <cellStyle name="Currency 5 2 2 2 4 3 3" xfId="22821" xr:uid="{19A18134-DFDE-449A-B504-B32C589E98CB}"/>
    <cellStyle name="Currency 5 2 2 2 4 3 4" xfId="31261" xr:uid="{86EF2AFB-E982-47B0-BFDA-62A3350ED302}"/>
    <cellStyle name="Currency 5 2 2 2 4 4" xfId="9234" xr:uid="{AAF147FE-13D8-48BD-A722-062B96166D61}"/>
    <cellStyle name="Currency 5 2 2 2 4 5" xfId="10163" xr:uid="{B48276DF-D3BC-480E-A46A-4D5EF76D61B3}"/>
    <cellStyle name="Currency 5 2 2 2 4 6" xfId="18604" xr:uid="{AB8CDAB7-014C-423A-942E-7C1C50158655}"/>
    <cellStyle name="Currency 5 2 2 2 4 7" xfId="27044" xr:uid="{6CDEEC92-087B-4065-99E9-764A3639A9F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B00C3EA8-2917-48C5-B183-EE1F1CC8BD27}"/>
    <cellStyle name="Currency 5 2 2 2 5 2 2 3" xfId="25379" xr:uid="{F4D2B2CF-E271-4932-B97D-84956E472956}"/>
    <cellStyle name="Currency 5 2 2 2 5 2 2 4" xfId="33819" xr:uid="{F0775178-E619-4B95-B95A-1384E41364DB}"/>
    <cellStyle name="Currency 5 2 2 2 5 2 3" xfId="12721" xr:uid="{90004FD6-9E63-4F14-82B7-5C7BB8472ED5}"/>
    <cellStyle name="Currency 5 2 2 2 5 2 4" xfId="21162" xr:uid="{9FE5A753-15D6-4C76-9E99-A04995C7EB75}"/>
    <cellStyle name="Currency 5 2 2 2 5 2 5" xfId="29602" xr:uid="{1C8D2FB0-576F-4F3F-A96C-CFEF3089E0AA}"/>
    <cellStyle name="Currency 5 2 2 2 5 3" xfId="5467" xr:uid="{00000000-0005-0000-0000-0000B90B0000}"/>
    <cellStyle name="Currency 5 2 2 2 5 3 2" xfId="14793" xr:uid="{01C49B29-0797-4E09-BF43-471B05169E3F}"/>
    <cellStyle name="Currency 5 2 2 2 5 3 3" xfId="23234" xr:uid="{2EFBDBCE-A636-40ED-BA58-F7546ADDD82E}"/>
    <cellStyle name="Currency 5 2 2 2 5 3 4" xfId="31674" xr:uid="{5BB5A367-6D81-49C4-829B-65146374EA75}"/>
    <cellStyle name="Currency 5 2 2 2 5 4" xfId="10576" xr:uid="{66C589EB-AEE8-4B54-84D1-F8F9E0582012}"/>
    <cellStyle name="Currency 5 2 2 2 5 5" xfId="19017" xr:uid="{F1EE8386-1DC9-4B6A-A3C5-8C3DA9D3C5A1}"/>
    <cellStyle name="Currency 5 2 2 2 5 6" xfId="27457" xr:uid="{6951804C-1985-4598-915F-BB7FB058C554}"/>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3CAB7607-1F8D-4E4B-AC1F-02C295EE88AF}"/>
    <cellStyle name="Currency 5 2 2 2 6 2 2 3" xfId="25792" xr:uid="{72AFD44C-0393-45DC-A4FC-C35CF74E3355}"/>
    <cellStyle name="Currency 5 2 2 2 6 2 2 4" xfId="34232" xr:uid="{D482913C-1336-439C-AE6A-2C4621D43B2A}"/>
    <cellStyle name="Currency 5 2 2 2 6 2 3" xfId="13134" xr:uid="{ECE74FB5-DCF3-4DF9-80BE-206A820730B3}"/>
    <cellStyle name="Currency 5 2 2 2 6 2 4" xfId="21575" xr:uid="{C5BBB798-4EA4-4817-89C8-BE3A28CBE12F}"/>
    <cellStyle name="Currency 5 2 2 2 6 2 5" xfId="30015" xr:uid="{8973B0E6-B0F1-4403-9317-14A4E99353A4}"/>
    <cellStyle name="Currency 5 2 2 2 6 3" xfId="5880" xr:uid="{00000000-0005-0000-0000-0000BD0B0000}"/>
    <cellStyle name="Currency 5 2 2 2 6 3 2" xfId="15206" xr:uid="{E9F2E6EE-82A8-4159-BB60-719E4620869B}"/>
    <cellStyle name="Currency 5 2 2 2 6 3 3" xfId="23647" xr:uid="{78E82F2A-E405-4869-A630-1B91DA82A45B}"/>
    <cellStyle name="Currency 5 2 2 2 6 3 4" xfId="32087" xr:uid="{916B1820-8594-4B0E-A623-F6B090A0D736}"/>
    <cellStyle name="Currency 5 2 2 2 6 4" xfId="10989" xr:uid="{60C88D8B-FECC-4780-B0C4-D04D8752221D}"/>
    <cellStyle name="Currency 5 2 2 2 6 5" xfId="19430" xr:uid="{86F2D28A-6457-48FC-B619-29B6A3AC58BE}"/>
    <cellStyle name="Currency 5 2 2 2 6 6" xfId="27870" xr:uid="{8B9ACD55-F226-419E-843C-34D7CA848AA7}"/>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7063099E-7BCF-4140-8CA1-4BCA4F8D363A}"/>
    <cellStyle name="Currency 5 2 2 2 7 2 2 3" xfId="26205" xr:uid="{249173BE-F4B0-4ED5-84A6-5F466628D30C}"/>
    <cellStyle name="Currency 5 2 2 2 7 2 2 4" xfId="34645" xr:uid="{F9BDB891-5EE7-4C4D-B280-76EF33AA996E}"/>
    <cellStyle name="Currency 5 2 2 2 7 2 3" xfId="13547" xr:uid="{22845DE3-61CC-401F-AEFE-2DFDDAB3BE07}"/>
    <cellStyle name="Currency 5 2 2 2 7 2 4" xfId="21988" xr:uid="{161803E9-8747-40CB-AD13-1EB0F87A64BD}"/>
    <cellStyle name="Currency 5 2 2 2 7 2 5" xfId="30428" xr:uid="{F6BB09F8-6357-4334-B828-F450E92E13E1}"/>
    <cellStyle name="Currency 5 2 2 2 7 3" xfId="6293" xr:uid="{00000000-0005-0000-0000-0000C10B0000}"/>
    <cellStyle name="Currency 5 2 2 2 7 3 2" xfId="15619" xr:uid="{1C1CA086-C2B8-41E0-83C0-1A5C92AC6E60}"/>
    <cellStyle name="Currency 5 2 2 2 7 3 3" xfId="24060" xr:uid="{321FA861-68E5-4DEF-86BE-1E905C00AECF}"/>
    <cellStyle name="Currency 5 2 2 2 7 3 4" xfId="32500" xr:uid="{98E9AEBF-D911-4D01-BFE0-053E57B70893}"/>
    <cellStyle name="Currency 5 2 2 2 7 4" xfId="11402" xr:uid="{773B431F-ABB6-475A-A816-2B99F8F72C16}"/>
    <cellStyle name="Currency 5 2 2 2 7 5" xfId="19843" xr:uid="{928D6291-235C-4B0F-BF05-A4E53E64A8D7}"/>
    <cellStyle name="Currency 5 2 2 2 7 6" xfId="28283" xr:uid="{8F10EEDC-89C9-405C-89AB-56F61013C18F}"/>
    <cellStyle name="Currency 5 2 2 2 8" xfId="2422" xr:uid="{00000000-0005-0000-0000-0000C20B0000}"/>
    <cellStyle name="Currency 5 2 2 2 8 2" xfId="6706" xr:uid="{00000000-0005-0000-0000-0000C30B0000}"/>
    <cellStyle name="Currency 5 2 2 2 8 2 2" xfId="16032" xr:uid="{04E148A6-399B-4433-9C31-7E25030791F1}"/>
    <cellStyle name="Currency 5 2 2 2 8 2 3" xfId="24473" xr:uid="{9B54ECA7-348A-4D2D-BAB4-34953E0F380A}"/>
    <cellStyle name="Currency 5 2 2 2 8 2 4" xfId="32913" xr:uid="{E77F4375-D4EE-436B-9D3C-93F880AC889F}"/>
    <cellStyle name="Currency 5 2 2 2 8 3" xfId="11815" xr:uid="{6E8CF09B-D1BE-42AD-8DFB-1DC960F84A30}"/>
    <cellStyle name="Currency 5 2 2 2 8 4" xfId="20256" xr:uid="{D4317761-D409-4A03-83F6-3477A56E898D}"/>
    <cellStyle name="Currency 5 2 2 2 8 5" xfId="28696" xr:uid="{A27D8B82-A398-4B5E-B828-1C947D5D52D2}"/>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C02FBF2A-3C00-49F4-8B1D-D4FB0C2C2CD0}"/>
    <cellStyle name="Currency 5 2 2 3 10 3" xfId="22411" xr:uid="{59DDD3DE-8A66-48BE-BEFC-5B5BD7BF28E7}"/>
    <cellStyle name="Currency 5 2 2 3 10 4" xfId="30851" xr:uid="{66F57353-0FBE-4B5C-A6FF-EF6225817781}"/>
    <cellStyle name="Currency 5 2 2 3 11" xfId="8890" xr:uid="{F313D4EC-7666-4BAA-9452-39176957C213}"/>
    <cellStyle name="Currency 5 2 2 3 12" xfId="9753" xr:uid="{14F872A4-E9F3-402D-90C8-1490E1170CA8}"/>
    <cellStyle name="Currency 5 2 2 3 13" xfId="18194" xr:uid="{34788C49-EB96-44CE-BB1F-32AC2D1FD569}"/>
    <cellStyle name="Currency 5 2 2 3 14" xfId="26634" xr:uid="{CBF7F378-2343-416D-98CD-4EC9F8EAB8A4}"/>
    <cellStyle name="Currency 5 2 2 3 2" xfId="201" xr:uid="{00000000-0005-0000-0000-0000C70B0000}"/>
    <cellStyle name="Currency 5 2 2 3 2 10" xfId="9097" xr:uid="{74199D2F-F17A-42DD-AC8B-D958FBFFCA8B}"/>
    <cellStyle name="Currency 5 2 2 3 2 11" xfId="9754" xr:uid="{5C9AB1C2-31B1-4D6F-A662-5BE845CE3074}"/>
    <cellStyle name="Currency 5 2 2 3 2 12" xfId="18195" xr:uid="{A2D9B5DA-90D4-4369-97F5-EB73D0E60004}"/>
    <cellStyle name="Currency 5 2 2 3 2 13" xfId="26635" xr:uid="{4F7F54AC-ECAE-4FC6-9F1F-6E23E409E214}"/>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5B01046F-F444-42CF-9B3E-37555260F4FA}"/>
    <cellStyle name="Currency 5 2 2 3 2 2 2 2 3" xfId="24971" xr:uid="{419C9176-C836-4A45-B037-CE59E7555440}"/>
    <cellStyle name="Currency 5 2 2 3 2 2 2 2 4" xfId="33411" xr:uid="{B2FC03C3-9097-4F9A-B95C-40519AAD82C0}"/>
    <cellStyle name="Currency 5 2 2 3 2 2 2 3" xfId="12313" xr:uid="{610056FA-C422-4CDC-8A69-24196B75CA28}"/>
    <cellStyle name="Currency 5 2 2 3 2 2 2 4" xfId="20754" xr:uid="{24162174-A4F6-4644-A7D3-C31B0883D59C}"/>
    <cellStyle name="Currency 5 2 2 3 2 2 2 5" xfId="29194" xr:uid="{54CA6CD3-B7BE-44E6-A765-4364B309BA66}"/>
    <cellStyle name="Currency 5 2 2 3 2 2 3" xfId="5059" xr:uid="{00000000-0005-0000-0000-0000CB0B0000}"/>
    <cellStyle name="Currency 5 2 2 3 2 2 3 2" xfId="14385" xr:uid="{571C5F81-12EB-44B1-93DC-713ECB020005}"/>
    <cellStyle name="Currency 5 2 2 3 2 2 3 3" xfId="22826" xr:uid="{02479FF1-7CC2-4053-A4DB-F21FDB306661}"/>
    <cellStyle name="Currency 5 2 2 3 2 2 3 4" xfId="31266" xr:uid="{BB47316D-5451-41B9-96C7-7DCD4CDC1E4F}"/>
    <cellStyle name="Currency 5 2 2 3 2 2 4" xfId="9522" xr:uid="{58EAFCD4-DA5B-47CB-A637-29DA003AA3FD}"/>
    <cellStyle name="Currency 5 2 2 3 2 2 5" xfId="10168" xr:uid="{D327AE0D-161E-47E0-968E-285556873D3C}"/>
    <cellStyle name="Currency 5 2 2 3 2 2 6" xfId="18609" xr:uid="{63D8737B-4536-442A-9DC3-CD4DD1BB4E6D}"/>
    <cellStyle name="Currency 5 2 2 3 2 2 7" xfId="27049" xr:uid="{4C11FCC4-3820-4C54-B160-7500DBDB2047}"/>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185DC0BD-6D5D-4AF3-9216-5C1E509DDB08}"/>
    <cellStyle name="Currency 5 2 2 3 2 3 2 2 3" xfId="25384" xr:uid="{3AFB0EEC-17D0-4FE0-BE2C-A4AE62873A57}"/>
    <cellStyle name="Currency 5 2 2 3 2 3 2 2 4" xfId="33824" xr:uid="{4BC9103E-D30A-4179-8C50-81119C5001EC}"/>
    <cellStyle name="Currency 5 2 2 3 2 3 2 3" xfId="12726" xr:uid="{DD099328-AEA1-444C-AF53-438455F086D8}"/>
    <cellStyle name="Currency 5 2 2 3 2 3 2 4" xfId="21167" xr:uid="{5CDBB3DD-DB06-44E5-86BB-44275010BF2E}"/>
    <cellStyle name="Currency 5 2 2 3 2 3 2 5" xfId="29607" xr:uid="{C42993D0-5D21-48FE-B10D-E14EA7EDB3F1}"/>
    <cellStyle name="Currency 5 2 2 3 2 3 3" xfId="5472" xr:uid="{00000000-0005-0000-0000-0000CF0B0000}"/>
    <cellStyle name="Currency 5 2 2 3 2 3 3 2" xfId="14798" xr:uid="{6F272171-3D2E-4145-AF17-14EA00FBB941}"/>
    <cellStyle name="Currency 5 2 2 3 2 3 3 3" xfId="23239" xr:uid="{D4C4CE20-B42C-4B3A-8FE1-48A3D57205EC}"/>
    <cellStyle name="Currency 5 2 2 3 2 3 3 4" xfId="31679" xr:uid="{106842EE-BDEC-47BB-ADBD-385A49DDE61D}"/>
    <cellStyle name="Currency 5 2 2 3 2 3 4" xfId="10581" xr:uid="{8956DEFC-5C12-49D2-9935-4EF34B7B08CB}"/>
    <cellStyle name="Currency 5 2 2 3 2 3 5" xfId="19022" xr:uid="{E788D390-8045-4620-B648-A0621A53E973}"/>
    <cellStyle name="Currency 5 2 2 3 2 3 6" xfId="27462" xr:uid="{C1E9FE29-F723-4985-B928-E9C2A1404CCB}"/>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623D2E5E-1391-41B1-B86A-F2CA6915815F}"/>
    <cellStyle name="Currency 5 2 2 3 2 4 2 2 3" xfId="25797" xr:uid="{F522B85A-736E-45DE-993E-3C9AEFDAE68F}"/>
    <cellStyle name="Currency 5 2 2 3 2 4 2 2 4" xfId="34237" xr:uid="{9130CD3E-A890-499C-BD54-5DD4DAE5D894}"/>
    <cellStyle name="Currency 5 2 2 3 2 4 2 3" xfId="13139" xr:uid="{B12CEE3F-C2E8-42FE-862E-D398326BC63F}"/>
    <cellStyle name="Currency 5 2 2 3 2 4 2 4" xfId="21580" xr:uid="{7F208BB8-0DC4-4121-9F47-732F79B7AA46}"/>
    <cellStyle name="Currency 5 2 2 3 2 4 2 5" xfId="30020" xr:uid="{5AEA335C-8644-4D22-AB70-3994DE0FA5FA}"/>
    <cellStyle name="Currency 5 2 2 3 2 4 3" xfId="5885" xr:uid="{00000000-0005-0000-0000-0000D30B0000}"/>
    <cellStyle name="Currency 5 2 2 3 2 4 3 2" xfId="15211" xr:uid="{5CB9C095-D2E4-4CA1-AE87-AAEF2849CDAE}"/>
    <cellStyle name="Currency 5 2 2 3 2 4 3 3" xfId="23652" xr:uid="{B747B313-0161-40E0-B5C7-2BD708774B8E}"/>
    <cellStyle name="Currency 5 2 2 3 2 4 3 4" xfId="32092" xr:uid="{4DA8B9B9-1C35-43A0-9955-B303EA95A3E1}"/>
    <cellStyle name="Currency 5 2 2 3 2 4 4" xfId="10994" xr:uid="{7D575C7E-5EA9-4294-B75D-CD2AB79D3DCF}"/>
    <cellStyle name="Currency 5 2 2 3 2 4 5" xfId="19435" xr:uid="{A5D783D7-224C-4E24-B4F2-3795AAD535DB}"/>
    <cellStyle name="Currency 5 2 2 3 2 4 6" xfId="27875" xr:uid="{C61B7A39-4C57-4DA5-877A-65F8EA29E423}"/>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E49139AD-B522-4E36-9D25-C9E14D58F6C6}"/>
    <cellStyle name="Currency 5 2 2 3 2 5 2 2 3" xfId="26210" xr:uid="{7021C16E-13DB-469A-A295-CD32FEA0F4CF}"/>
    <cellStyle name="Currency 5 2 2 3 2 5 2 2 4" xfId="34650" xr:uid="{BC7CD27E-6E4F-4EBC-90DB-FF6B59CBA3B9}"/>
    <cellStyle name="Currency 5 2 2 3 2 5 2 3" xfId="13552" xr:uid="{9951E071-29A3-419F-9DF7-4C8A04F2F76D}"/>
    <cellStyle name="Currency 5 2 2 3 2 5 2 4" xfId="21993" xr:uid="{D98D8927-8FC6-4189-9BDD-BA18BB145A5A}"/>
    <cellStyle name="Currency 5 2 2 3 2 5 2 5" xfId="30433" xr:uid="{D452695A-9A96-4141-9033-AC7E192238B4}"/>
    <cellStyle name="Currency 5 2 2 3 2 5 3" xfId="6298" xr:uid="{00000000-0005-0000-0000-0000D70B0000}"/>
    <cellStyle name="Currency 5 2 2 3 2 5 3 2" xfId="15624" xr:uid="{A48B2A5F-9AA9-4960-9C4E-9F61974A8403}"/>
    <cellStyle name="Currency 5 2 2 3 2 5 3 3" xfId="24065" xr:uid="{BBFE8447-11DD-4688-BCB4-D89AC951DD0E}"/>
    <cellStyle name="Currency 5 2 2 3 2 5 3 4" xfId="32505" xr:uid="{B98439C3-70F7-4093-A541-E2B2D0BD12D5}"/>
    <cellStyle name="Currency 5 2 2 3 2 5 4" xfId="11407" xr:uid="{C8ED3A45-8891-41C8-A5E8-ED9F895E8706}"/>
    <cellStyle name="Currency 5 2 2 3 2 5 5" xfId="19848" xr:uid="{A2A6EEED-4EA9-497B-9455-8C16755CA218}"/>
    <cellStyle name="Currency 5 2 2 3 2 5 6" xfId="28288" xr:uid="{96A99D5A-59D8-475D-91FE-98CDC738AD88}"/>
    <cellStyle name="Currency 5 2 2 3 2 6" xfId="2427" xr:uid="{00000000-0005-0000-0000-0000D80B0000}"/>
    <cellStyle name="Currency 5 2 2 3 2 6 2" xfId="6711" xr:uid="{00000000-0005-0000-0000-0000D90B0000}"/>
    <cellStyle name="Currency 5 2 2 3 2 6 2 2" xfId="16037" xr:uid="{5E5E737D-08A4-4413-A93D-CC86853E5E6A}"/>
    <cellStyle name="Currency 5 2 2 3 2 6 2 3" xfId="24478" xr:uid="{6312CB4A-61E5-4CF0-B511-BCC0B4AD8ED5}"/>
    <cellStyle name="Currency 5 2 2 3 2 6 2 4" xfId="32918" xr:uid="{CB78A2DD-B7B4-4176-98D2-19DACE872EEB}"/>
    <cellStyle name="Currency 5 2 2 3 2 6 3" xfId="11820" xr:uid="{9A92CB50-5B0A-4759-B2EC-FCE72D95AF01}"/>
    <cellStyle name="Currency 5 2 2 3 2 6 4" xfId="20261" xr:uid="{CA8DED79-0E6E-4775-813C-E11459608BB1}"/>
    <cellStyle name="Currency 5 2 2 3 2 6 5" xfId="28701" xr:uid="{47BDCD89-B489-4A2F-A3CE-CF786BCBC432}"/>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BEBB7344-1846-4356-B286-68936DA06DCE}"/>
    <cellStyle name="Currency 5 2 2 3 2 8 2 3" xfId="24795" xr:uid="{C9345CBF-46F7-4670-90AD-81BFD9CFBC0C}"/>
    <cellStyle name="Currency 5 2 2 3 2 8 2 4" xfId="33235" xr:uid="{D46B69FF-371E-4E69-ABAB-9EFEBCE5F9EE}"/>
    <cellStyle name="Currency 5 2 2 3 2 8 3" xfId="12137" xr:uid="{741BD4FB-EAAE-428A-9DAB-AF8E9579BDD9}"/>
    <cellStyle name="Currency 5 2 2 3 2 8 4" xfId="20578" xr:uid="{A0CCED90-FFB8-44A0-9714-7AC093DB086D}"/>
    <cellStyle name="Currency 5 2 2 3 2 8 5" xfId="29018" xr:uid="{EA4F659C-6AF4-4A81-ADFA-41368F0DF2A6}"/>
    <cellStyle name="Currency 5 2 2 3 2 9" xfId="4645" xr:uid="{00000000-0005-0000-0000-0000DD0B0000}"/>
    <cellStyle name="Currency 5 2 2 3 2 9 2" xfId="13971" xr:uid="{0D6FB824-3277-4C73-9921-CBAC0684D1B9}"/>
    <cellStyle name="Currency 5 2 2 3 2 9 3" xfId="22412" xr:uid="{E8A7BDB3-9D44-4C1D-A72D-342750F1A1EA}"/>
    <cellStyle name="Currency 5 2 2 3 2 9 4" xfId="30852" xr:uid="{E79B0D10-6181-4BA5-ACAB-877D907B4FF9}"/>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066A54E0-2F5C-4232-BE6E-A3A6E0F5A42A}"/>
    <cellStyle name="Currency 5 2 2 3 3 2 2 3" xfId="24970" xr:uid="{2768652D-4F1A-4823-9140-B277B9587A9D}"/>
    <cellStyle name="Currency 5 2 2 3 3 2 2 4" xfId="33410" xr:uid="{A578D4CC-F96B-43D5-83A0-81AA0F9FD7A1}"/>
    <cellStyle name="Currency 5 2 2 3 3 2 3" xfId="12312" xr:uid="{54C69C35-A646-4459-BC71-08FABDB82135}"/>
    <cellStyle name="Currency 5 2 2 3 3 2 4" xfId="20753" xr:uid="{20D6809B-5278-4D79-A781-D58C6B764BBF}"/>
    <cellStyle name="Currency 5 2 2 3 3 2 5" xfId="29193" xr:uid="{E0A86067-757F-4DD7-972E-FAB3D9C74ADD}"/>
    <cellStyle name="Currency 5 2 2 3 3 3" xfId="5058" xr:uid="{00000000-0005-0000-0000-0000E10B0000}"/>
    <cellStyle name="Currency 5 2 2 3 3 3 2" xfId="14384" xr:uid="{34660997-41EE-4560-A3FE-AC1A119BF7B6}"/>
    <cellStyle name="Currency 5 2 2 3 3 3 3" xfId="22825" xr:uid="{6514617E-8FFC-4107-B165-DBD241505E00}"/>
    <cellStyle name="Currency 5 2 2 3 3 3 4" xfId="31265" xr:uid="{1B59DEDB-98A3-48CD-832C-ADBA2BE8DD21}"/>
    <cellStyle name="Currency 5 2 2 3 3 4" xfId="9315" xr:uid="{A76EC348-1CDB-41C1-B9B8-9215FF30C619}"/>
    <cellStyle name="Currency 5 2 2 3 3 5" xfId="10167" xr:uid="{33E747B1-0FC3-4ACD-A6CF-294195C217B8}"/>
    <cellStyle name="Currency 5 2 2 3 3 6" xfId="18608" xr:uid="{6AC20E66-1D82-4026-85E0-CE1A68F029B3}"/>
    <cellStyle name="Currency 5 2 2 3 3 7" xfId="27048" xr:uid="{A36B9658-22FD-4B39-AABD-4630B1E46A5D}"/>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28BFD4B2-F843-4F13-B30F-61D4D0E3A3AB}"/>
    <cellStyle name="Currency 5 2 2 3 4 2 2 3" xfId="25383" xr:uid="{6EA3E195-17DE-4565-AA17-758BFEF5C46C}"/>
    <cellStyle name="Currency 5 2 2 3 4 2 2 4" xfId="33823" xr:uid="{67579884-7288-4868-9B39-EB41878DB865}"/>
    <cellStyle name="Currency 5 2 2 3 4 2 3" xfId="12725" xr:uid="{5287C8B3-1F60-4D42-9BAF-B07D28386E98}"/>
    <cellStyle name="Currency 5 2 2 3 4 2 4" xfId="21166" xr:uid="{429CDEA3-9858-4892-88B4-ABCEBD2C78F2}"/>
    <cellStyle name="Currency 5 2 2 3 4 2 5" xfId="29606" xr:uid="{7CBAEEB3-4BF1-4D75-9764-AD644A392F45}"/>
    <cellStyle name="Currency 5 2 2 3 4 3" xfId="5471" xr:uid="{00000000-0005-0000-0000-0000E50B0000}"/>
    <cellStyle name="Currency 5 2 2 3 4 3 2" xfId="14797" xr:uid="{B215924F-1DCE-44C6-9D5E-A611B9B8E090}"/>
    <cellStyle name="Currency 5 2 2 3 4 3 3" xfId="23238" xr:uid="{60205B7A-05E8-4A36-9C33-C9839D66D0B4}"/>
    <cellStyle name="Currency 5 2 2 3 4 3 4" xfId="31678" xr:uid="{CD5A0F9F-D631-4E25-8503-432369289C34}"/>
    <cellStyle name="Currency 5 2 2 3 4 4" xfId="10580" xr:uid="{724600BA-7A45-478B-B060-A6FA5EDEECCA}"/>
    <cellStyle name="Currency 5 2 2 3 4 5" xfId="19021" xr:uid="{88485917-97E8-4735-A4BC-1AEA44CBFC62}"/>
    <cellStyle name="Currency 5 2 2 3 4 6" xfId="27461" xr:uid="{2396BD5F-DCFE-461F-80E8-3FE83332E05B}"/>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25B19672-2973-4DE9-AD6A-D5C720C35070}"/>
    <cellStyle name="Currency 5 2 2 3 5 2 2 3" xfId="25796" xr:uid="{6317D830-5850-426C-812F-4397602AA144}"/>
    <cellStyle name="Currency 5 2 2 3 5 2 2 4" xfId="34236" xr:uid="{8B940EB7-20E2-4AEE-8485-1D8834825CAC}"/>
    <cellStyle name="Currency 5 2 2 3 5 2 3" xfId="13138" xr:uid="{16AC4010-C60E-45F6-8E79-DDE09849BEE5}"/>
    <cellStyle name="Currency 5 2 2 3 5 2 4" xfId="21579" xr:uid="{74880C0B-585A-4188-B31C-71346FA96700}"/>
    <cellStyle name="Currency 5 2 2 3 5 2 5" xfId="30019" xr:uid="{04C2B87D-AFA2-49C1-BB31-218B1B9494DA}"/>
    <cellStyle name="Currency 5 2 2 3 5 3" xfId="5884" xr:uid="{00000000-0005-0000-0000-0000E90B0000}"/>
    <cellStyle name="Currency 5 2 2 3 5 3 2" xfId="15210" xr:uid="{CE28DAFC-8F7C-47EE-8E66-65FBC468807D}"/>
    <cellStyle name="Currency 5 2 2 3 5 3 3" xfId="23651" xr:uid="{2C828506-4445-404A-B75D-4CAEA218D9B3}"/>
    <cellStyle name="Currency 5 2 2 3 5 3 4" xfId="32091" xr:uid="{5ABB5C01-64F9-4376-8546-403111D535D5}"/>
    <cellStyle name="Currency 5 2 2 3 5 4" xfId="10993" xr:uid="{940A804E-D847-4CBA-93A1-BBC7ABF5AA4F}"/>
    <cellStyle name="Currency 5 2 2 3 5 5" xfId="19434" xr:uid="{FBF2201C-FB2B-415A-BB16-1607594E491A}"/>
    <cellStyle name="Currency 5 2 2 3 5 6" xfId="27874" xr:uid="{C4FFC8DC-8AEC-4FB3-8625-0E3D3E87FA5E}"/>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498894A1-95FB-4554-B46F-41975E1C6D9A}"/>
    <cellStyle name="Currency 5 2 2 3 6 2 2 3" xfId="26209" xr:uid="{CEA94C7B-6C84-420F-9059-2E52EABDF1EB}"/>
    <cellStyle name="Currency 5 2 2 3 6 2 2 4" xfId="34649" xr:uid="{E97E6399-48F0-48D1-847B-CA754DFCBBBF}"/>
    <cellStyle name="Currency 5 2 2 3 6 2 3" xfId="13551" xr:uid="{5909898B-59BD-453D-8F1A-5D8B16A64911}"/>
    <cellStyle name="Currency 5 2 2 3 6 2 4" xfId="21992" xr:uid="{B681AE57-115C-4115-9970-B3F8BB13E28B}"/>
    <cellStyle name="Currency 5 2 2 3 6 2 5" xfId="30432" xr:uid="{C9DE93D4-477C-4927-9A90-8A58F755CEEC}"/>
    <cellStyle name="Currency 5 2 2 3 6 3" xfId="6297" xr:uid="{00000000-0005-0000-0000-0000ED0B0000}"/>
    <cellStyle name="Currency 5 2 2 3 6 3 2" xfId="15623" xr:uid="{0BAFE7A0-3F53-4545-A93B-A530CE1CC3E7}"/>
    <cellStyle name="Currency 5 2 2 3 6 3 3" xfId="24064" xr:uid="{8CB3B722-F32D-435B-B1FD-49F641F442B6}"/>
    <cellStyle name="Currency 5 2 2 3 6 3 4" xfId="32504" xr:uid="{5F835A74-B6BA-4712-9761-4C67CBC2E7C6}"/>
    <cellStyle name="Currency 5 2 2 3 6 4" xfId="11406" xr:uid="{E6B3DBF2-1ABC-4003-9FF4-167CF4506D99}"/>
    <cellStyle name="Currency 5 2 2 3 6 5" xfId="19847" xr:uid="{8F57D978-6B39-4021-921C-178F38587E19}"/>
    <cellStyle name="Currency 5 2 2 3 6 6" xfId="28287" xr:uid="{B6AB7A9B-8974-491E-A389-C6EF924BE577}"/>
    <cellStyle name="Currency 5 2 2 3 7" xfId="2426" xr:uid="{00000000-0005-0000-0000-0000EE0B0000}"/>
    <cellStyle name="Currency 5 2 2 3 7 2" xfId="6710" xr:uid="{00000000-0005-0000-0000-0000EF0B0000}"/>
    <cellStyle name="Currency 5 2 2 3 7 2 2" xfId="16036" xr:uid="{0D1E081A-F5B6-4323-80C4-892B59D9E4BB}"/>
    <cellStyle name="Currency 5 2 2 3 7 2 3" xfId="24477" xr:uid="{590F62CA-8D7C-4CA5-8162-75D37F6AA2F9}"/>
    <cellStyle name="Currency 5 2 2 3 7 2 4" xfId="32917" xr:uid="{A0D53C49-0A44-493C-8CF5-1A8702B246F3}"/>
    <cellStyle name="Currency 5 2 2 3 7 3" xfId="11819" xr:uid="{834E662F-3722-44DB-AE32-EC1AD59AF4F0}"/>
    <cellStyle name="Currency 5 2 2 3 7 4" xfId="20260" xr:uid="{B8AA4EB1-E870-4E6B-A314-44ED1D7F092E}"/>
    <cellStyle name="Currency 5 2 2 3 7 5" xfId="28700" xr:uid="{8F7BDE47-C84C-402D-8A82-80E57A59DEE1}"/>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3C77C297-602D-44F8-AEDC-3E157B7EC690}"/>
    <cellStyle name="Currency 5 2 2 3 9 2 3" xfId="24794" xr:uid="{B0134E07-3819-45A0-8426-AE298C361C1F}"/>
    <cellStyle name="Currency 5 2 2 3 9 2 4" xfId="33234" xr:uid="{699ADD41-02AB-493A-BBAB-C2A8D9E7AFC6}"/>
    <cellStyle name="Currency 5 2 2 3 9 3" xfId="12136" xr:uid="{0356C4D1-5635-461E-A89B-7D7E65F98F35}"/>
    <cellStyle name="Currency 5 2 2 3 9 4" xfId="20577" xr:uid="{1B428302-1DEC-4B54-8660-14CDCC6B6983}"/>
    <cellStyle name="Currency 5 2 2 3 9 5" xfId="29017" xr:uid="{A686DE40-5EF3-4B41-85AF-AFA5522E85D7}"/>
    <cellStyle name="Currency 5 2 2 4" xfId="202" xr:uid="{00000000-0005-0000-0000-0000F30B0000}"/>
    <cellStyle name="Currency 5 2 2 4 10" xfId="8994" xr:uid="{484CCE7A-1288-4C7F-ABD6-C45948DC4EC0}"/>
    <cellStyle name="Currency 5 2 2 4 11" xfId="9755" xr:uid="{9FBD2073-495E-4A0B-8145-F839C1C02D56}"/>
    <cellStyle name="Currency 5 2 2 4 12" xfId="18196" xr:uid="{FE31E6EE-96D2-43C1-B7C8-18533DE4DACB}"/>
    <cellStyle name="Currency 5 2 2 4 13" xfId="26636" xr:uid="{4B0439AC-8660-45B4-9A8C-208FA3A5CA34}"/>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2D56C513-2702-46EC-A886-AEDA4E658847}"/>
    <cellStyle name="Currency 5 2 2 4 2 2 2 3" xfId="24972" xr:uid="{CF45A9FB-3A90-4B6E-8D8C-6AE9FF4588C4}"/>
    <cellStyle name="Currency 5 2 2 4 2 2 2 4" xfId="33412" xr:uid="{612E2855-5487-4776-B2A6-1923CC7ACABA}"/>
    <cellStyle name="Currency 5 2 2 4 2 2 3" xfId="12314" xr:uid="{5F5B5706-55F8-485F-984F-990A73F6B53A}"/>
    <cellStyle name="Currency 5 2 2 4 2 2 4" xfId="20755" xr:uid="{BF382269-500C-4D5E-96DF-B41C0AC75F21}"/>
    <cellStyle name="Currency 5 2 2 4 2 2 5" xfId="29195" xr:uid="{71C7C286-6EBB-4347-B5A4-11BF0929198D}"/>
    <cellStyle name="Currency 5 2 2 4 2 3" xfId="5060" xr:uid="{00000000-0005-0000-0000-0000F70B0000}"/>
    <cellStyle name="Currency 5 2 2 4 2 3 2" xfId="14386" xr:uid="{03A7163B-A812-49F3-890B-95DFAD6A54F9}"/>
    <cellStyle name="Currency 5 2 2 4 2 3 3" xfId="22827" xr:uid="{C2FEC11C-6362-4638-A3BC-D6C26274AF74}"/>
    <cellStyle name="Currency 5 2 2 4 2 3 4" xfId="31267" xr:uid="{66A52F8A-7756-408A-BBC3-87FBE52ED15D}"/>
    <cellStyle name="Currency 5 2 2 4 2 4" xfId="9419" xr:uid="{F03E4D2E-3BA9-4D5B-9C35-959DB128CBAE}"/>
    <cellStyle name="Currency 5 2 2 4 2 5" xfId="10169" xr:uid="{BBCB516A-189D-4F0A-8700-9F943BBA8EEA}"/>
    <cellStyle name="Currency 5 2 2 4 2 6" xfId="18610" xr:uid="{3590B876-E485-45EE-91D5-431554424F97}"/>
    <cellStyle name="Currency 5 2 2 4 2 7" xfId="27050" xr:uid="{515D449E-BE73-40D0-8F12-29A9B7DBCFC5}"/>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231BB498-3881-4A0E-B594-668045F9460A}"/>
    <cellStyle name="Currency 5 2 2 4 3 2 2 3" xfId="25385" xr:uid="{DDB12C84-4055-4B25-B999-E78F37D16EB2}"/>
    <cellStyle name="Currency 5 2 2 4 3 2 2 4" xfId="33825" xr:uid="{3DB44FC9-F36B-468F-8212-6EDB504F9F75}"/>
    <cellStyle name="Currency 5 2 2 4 3 2 3" xfId="12727" xr:uid="{73998147-281A-409D-86EC-CAFA800783E0}"/>
    <cellStyle name="Currency 5 2 2 4 3 2 4" xfId="21168" xr:uid="{75B86777-5B7A-4BB6-A603-F9F32693CEC9}"/>
    <cellStyle name="Currency 5 2 2 4 3 2 5" xfId="29608" xr:uid="{47AFF4DE-1002-479A-90E2-C742106EA69B}"/>
    <cellStyle name="Currency 5 2 2 4 3 3" xfId="5473" xr:uid="{00000000-0005-0000-0000-0000FB0B0000}"/>
    <cellStyle name="Currency 5 2 2 4 3 3 2" xfId="14799" xr:uid="{D1014EF2-F2B8-4147-B25F-ADD69382B5A5}"/>
    <cellStyle name="Currency 5 2 2 4 3 3 3" xfId="23240" xr:uid="{C59D8B78-3710-4C2F-AB32-5DFAA6181318}"/>
    <cellStyle name="Currency 5 2 2 4 3 3 4" xfId="31680" xr:uid="{AECC4420-AD5A-44AA-8491-EA56C0569931}"/>
    <cellStyle name="Currency 5 2 2 4 3 4" xfId="10582" xr:uid="{C7B9D486-DE85-4799-BD1C-A09680241E6C}"/>
    <cellStyle name="Currency 5 2 2 4 3 5" xfId="19023" xr:uid="{6FFD1AE8-A5EE-41AA-B725-DB6106AAA02C}"/>
    <cellStyle name="Currency 5 2 2 4 3 6" xfId="27463" xr:uid="{BED8BD29-5516-44AD-90CF-CA1391BE9E9C}"/>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A01B9B9E-875C-4595-8FC6-EBCB3D70A201}"/>
    <cellStyle name="Currency 5 2 2 4 4 2 2 3" xfId="25798" xr:uid="{BC5B8597-86FC-44FA-8439-71476C798DB0}"/>
    <cellStyle name="Currency 5 2 2 4 4 2 2 4" xfId="34238" xr:uid="{630E9E62-E9E9-4AFD-B31D-2B0D37617CC1}"/>
    <cellStyle name="Currency 5 2 2 4 4 2 3" xfId="13140" xr:uid="{8CC16F84-0868-4DE7-B786-8B965F1D6AC2}"/>
    <cellStyle name="Currency 5 2 2 4 4 2 4" xfId="21581" xr:uid="{E18BC044-24E5-4CDC-BC23-3F60CB74BE85}"/>
    <cellStyle name="Currency 5 2 2 4 4 2 5" xfId="30021" xr:uid="{30492D09-F8BB-414F-9EBB-52BEF2439687}"/>
    <cellStyle name="Currency 5 2 2 4 4 3" xfId="5886" xr:uid="{00000000-0005-0000-0000-0000FF0B0000}"/>
    <cellStyle name="Currency 5 2 2 4 4 3 2" xfId="15212" xr:uid="{69C1D879-79F9-4D2A-9407-6B32D5E08C9A}"/>
    <cellStyle name="Currency 5 2 2 4 4 3 3" xfId="23653" xr:uid="{C27618D0-3B95-4AA0-92C7-A90B74DF3E1C}"/>
    <cellStyle name="Currency 5 2 2 4 4 3 4" xfId="32093" xr:uid="{C9DD865D-8ADB-4652-B392-133C0D0868EF}"/>
    <cellStyle name="Currency 5 2 2 4 4 4" xfId="10995" xr:uid="{E205F179-1E7F-4EEE-AC7B-9B0BC64C2AE6}"/>
    <cellStyle name="Currency 5 2 2 4 4 5" xfId="19436" xr:uid="{F9058BAC-5877-4CAC-A0DC-7095D131584D}"/>
    <cellStyle name="Currency 5 2 2 4 4 6" xfId="27876" xr:uid="{45D0D24F-5360-4B07-A6EC-23B6981E3463}"/>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063BBF9B-07A3-41C8-9D42-549CC195E0E5}"/>
    <cellStyle name="Currency 5 2 2 4 5 2 2 3" xfId="26211" xr:uid="{2BED4011-65B6-40A4-B572-29E202C171DB}"/>
    <cellStyle name="Currency 5 2 2 4 5 2 2 4" xfId="34651" xr:uid="{1CEE3359-EE00-40DF-8BF3-6E67B939A32C}"/>
    <cellStyle name="Currency 5 2 2 4 5 2 3" xfId="13553" xr:uid="{9E023E50-253B-4376-B25B-F6C4B3C42D8D}"/>
    <cellStyle name="Currency 5 2 2 4 5 2 4" xfId="21994" xr:uid="{8F535450-D543-4005-8A83-D81F392644B3}"/>
    <cellStyle name="Currency 5 2 2 4 5 2 5" xfId="30434" xr:uid="{A364A4AB-3EA1-4DFA-A0B7-11F0C082D453}"/>
    <cellStyle name="Currency 5 2 2 4 5 3" xfId="6299" xr:uid="{00000000-0005-0000-0000-0000030C0000}"/>
    <cellStyle name="Currency 5 2 2 4 5 3 2" xfId="15625" xr:uid="{486E48E2-5086-4804-BF9D-57BF96DC1331}"/>
    <cellStyle name="Currency 5 2 2 4 5 3 3" xfId="24066" xr:uid="{27311860-7D1E-4FF2-8B2B-740A6DE95D28}"/>
    <cellStyle name="Currency 5 2 2 4 5 3 4" xfId="32506" xr:uid="{290245F1-69CB-45B8-B89F-B2B272277595}"/>
    <cellStyle name="Currency 5 2 2 4 5 4" xfId="11408" xr:uid="{83BD73FA-041F-4548-B10A-25663115FB26}"/>
    <cellStyle name="Currency 5 2 2 4 5 5" xfId="19849" xr:uid="{7379A96F-EAAB-4B10-880A-9D10D83AF349}"/>
    <cellStyle name="Currency 5 2 2 4 5 6" xfId="28289" xr:uid="{B65D9664-B4A5-484C-88C8-69E1D7099893}"/>
    <cellStyle name="Currency 5 2 2 4 6" xfId="2428" xr:uid="{00000000-0005-0000-0000-0000040C0000}"/>
    <cellStyle name="Currency 5 2 2 4 6 2" xfId="6712" xr:uid="{00000000-0005-0000-0000-0000050C0000}"/>
    <cellStyle name="Currency 5 2 2 4 6 2 2" xfId="16038" xr:uid="{0AD55162-F938-45D6-893A-8D00ACC7D802}"/>
    <cellStyle name="Currency 5 2 2 4 6 2 3" xfId="24479" xr:uid="{A657B530-1292-414A-A99D-1F905AB31D58}"/>
    <cellStyle name="Currency 5 2 2 4 6 2 4" xfId="32919" xr:uid="{DDA641EE-F867-4A83-9C7B-0AC988C15EBD}"/>
    <cellStyle name="Currency 5 2 2 4 6 3" xfId="11821" xr:uid="{5A236A66-FC3E-4763-AF14-23B0AF900FCE}"/>
    <cellStyle name="Currency 5 2 2 4 6 4" xfId="20262" xr:uid="{38B2398C-9B68-4BA6-9B95-C5E33E2AFBC1}"/>
    <cellStyle name="Currency 5 2 2 4 6 5" xfId="28702" xr:uid="{ADD848FA-3F6B-4826-B2FE-7AC0F7B250A2}"/>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A37FFB1D-8981-41A3-9FA0-F69324BD3DE6}"/>
    <cellStyle name="Currency 5 2 2 4 8 2 3" xfId="24796" xr:uid="{4CB9ACF8-56A4-4D88-90A3-74A0D1C008D6}"/>
    <cellStyle name="Currency 5 2 2 4 8 2 4" xfId="33236" xr:uid="{70B664A7-D7F7-4DDC-92A0-2710588F2374}"/>
    <cellStyle name="Currency 5 2 2 4 8 3" xfId="12138" xr:uid="{5CD68CAC-9A4E-450F-8215-BA37BC1B7A21}"/>
    <cellStyle name="Currency 5 2 2 4 8 4" xfId="20579" xr:uid="{0AF3517C-4F17-43DE-837B-FE772AA42767}"/>
    <cellStyle name="Currency 5 2 2 4 8 5" xfId="29019" xr:uid="{5986F804-2BA3-4804-9F00-4E1C50AA093C}"/>
    <cellStyle name="Currency 5 2 2 4 9" xfId="4646" xr:uid="{00000000-0005-0000-0000-0000090C0000}"/>
    <cellStyle name="Currency 5 2 2 4 9 2" xfId="13972" xr:uid="{8934C595-34AC-47CE-9070-597B0675637D}"/>
    <cellStyle name="Currency 5 2 2 4 9 3" xfId="22413" xr:uid="{635263AD-A5DA-4CB7-B798-923805561DEC}"/>
    <cellStyle name="Currency 5 2 2 4 9 4" xfId="30853" xr:uid="{ACD240EB-2B5E-4029-8CA1-A2410B514B43}"/>
    <cellStyle name="Currency 5 2 2 5" xfId="203" xr:uid="{00000000-0005-0000-0000-00000A0C0000}"/>
    <cellStyle name="Currency 5 2 2 5 10" xfId="9211" xr:uid="{586E1D8D-A72F-44A2-BAB5-A0BAD4827F6D}"/>
    <cellStyle name="Currency 5 2 2 5 11" xfId="9756" xr:uid="{BE0C08DD-5B64-4F1F-BF2D-91EF99CF207D}"/>
    <cellStyle name="Currency 5 2 2 5 12" xfId="18197" xr:uid="{A99A34D9-66A1-4A07-BC1F-FEF0F46A1E05}"/>
    <cellStyle name="Currency 5 2 2 5 13" xfId="26637" xr:uid="{4C8440EA-120A-45D5-98B8-0124E4E93A91}"/>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8D6C8F91-3745-474F-85E5-451803870BE2}"/>
    <cellStyle name="Currency 5 2 2 5 2 2 2 3" xfId="24973" xr:uid="{158DC69C-525B-44FD-90E6-33FA2B2D3DFE}"/>
    <cellStyle name="Currency 5 2 2 5 2 2 2 4" xfId="33413" xr:uid="{1080C264-8E38-42EA-AF39-B17CBE537D27}"/>
    <cellStyle name="Currency 5 2 2 5 2 2 3" xfId="12315" xr:uid="{4142B1EC-E160-41E4-9CD8-9DDDC06833F7}"/>
    <cellStyle name="Currency 5 2 2 5 2 2 4" xfId="20756" xr:uid="{7DF9F8D8-3103-4CB4-A20F-D92B11B079B2}"/>
    <cellStyle name="Currency 5 2 2 5 2 2 5" xfId="29196" xr:uid="{6FD61591-472C-4421-A11A-59FD005CA4F8}"/>
    <cellStyle name="Currency 5 2 2 5 2 3" xfId="5061" xr:uid="{00000000-0005-0000-0000-00000E0C0000}"/>
    <cellStyle name="Currency 5 2 2 5 2 3 2" xfId="14387" xr:uid="{6F3DF4A8-3CEC-41B4-9079-19D4EAD79782}"/>
    <cellStyle name="Currency 5 2 2 5 2 3 3" xfId="22828" xr:uid="{A5FE5AE5-53B9-4FAE-824F-F26E37A403C4}"/>
    <cellStyle name="Currency 5 2 2 5 2 3 4" xfId="31268" xr:uid="{83BC1A84-E386-407C-BD25-008970EC9E7C}"/>
    <cellStyle name="Currency 5 2 2 5 2 4" xfId="9598" xr:uid="{EBD3270B-608E-49E1-8A20-C5ADF81FBC1B}"/>
    <cellStyle name="Currency 5 2 2 5 2 5" xfId="10170" xr:uid="{52D7E2E7-61B6-4F84-94F1-5B356A80E028}"/>
    <cellStyle name="Currency 5 2 2 5 2 6" xfId="18611" xr:uid="{7BAB87EB-1E8C-44B5-B794-153BBB7FD016}"/>
    <cellStyle name="Currency 5 2 2 5 2 7" xfId="27051" xr:uid="{6285848B-5E45-4CFF-B0D3-7F053334D14C}"/>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F9F5DB9D-526B-4FED-A10E-C6713F377392}"/>
    <cellStyle name="Currency 5 2 2 5 3 2 2 3" xfId="25386" xr:uid="{AD26D878-5B27-4915-A02C-B80A5B96EDA3}"/>
    <cellStyle name="Currency 5 2 2 5 3 2 2 4" xfId="33826" xr:uid="{589E6EFC-6B14-403E-8472-735FFAFAEADD}"/>
    <cellStyle name="Currency 5 2 2 5 3 2 3" xfId="12728" xr:uid="{0B8947FD-857B-4A2C-BEA9-8DBB3613DB3D}"/>
    <cellStyle name="Currency 5 2 2 5 3 2 4" xfId="21169" xr:uid="{824A4BF4-A434-4448-A57C-AB4FB47931DF}"/>
    <cellStyle name="Currency 5 2 2 5 3 2 5" xfId="29609" xr:uid="{1837AFD5-C9B9-4460-B324-4F90DFB83F40}"/>
    <cellStyle name="Currency 5 2 2 5 3 3" xfId="5474" xr:uid="{00000000-0005-0000-0000-0000120C0000}"/>
    <cellStyle name="Currency 5 2 2 5 3 3 2" xfId="14800" xr:uid="{F9EFA3A7-EAA3-4AFF-8498-12B5C5401132}"/>
    <cellStyle name="Currency 5 2 2 5 3 3 3" xfId="23241" xr:uid="{402E2E59-4EE4-41A1-BCC5-9269FCBAEE07}"/>
    <cellStyle name="Currency 5 2 2 5 3 3 4" xfId="31681" xr:uid="{07BBE0B4-62CF-4CCF-9D9E-91EBBDC07B20}"/>
    <cellStyle name="Currency 5 2 2 5 3 4" xfId="10583" xr:uid="{E80641B8-4B31-4913-B9A9-E5FDEF34A912}"/>
    <cellStyle name="Currency 5 2 2 5 3 5" xfId="19024" xr:uid="{7CF80D47-27CD-4767-8F00-0959629A0870}"/>
    <cellStyle name="Currency 5 2 2 5 3 6" xfId="27464" xr:uid="{2AF654F1-1416-4140-9F56-5AE2EF47415A}"/>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8E7F8C70-4043-4E51-825A-62DE46DB3C06}"/>
    <cellStyle name="Currency 5 2 2 5 4 2 2 3" xfId="25799" xr:uid="{0DDF35C5-B2EB-4596-A96A-808CA27A8580}"/>
    <cellStyle name="Currency 5 2 2 5 4 2 2 4" xfId="34239" xr:uid="{9CD64619-0FC2-48C0-AC65-FB158FE82BEA}"/>
    <cellStyle name="Currency 5 2 2 5 4 2 3" xfId="13141" xr:uid="{A575F20F-3B6D-4F6B-9950-E79E2C4F3AAC}"/>
    <cellStyle name="Currency 5 2 2 5 4 2 4" xfId="21582" xr:uid="{7DBFD0F2-BBFD-42B2-A6A7-9CF3F9110652}"/>
    <cellStyle name="Currency 5 2 2 5 4 2 5" xfId="30022" xr:uid="{0C2B682B-8CE1-4151-9A31-FC02FBCC64E4}"/>
    <cellStyle name="Currency 5 2 2 5 4 3" xfId="5887" xr:uid="{00000000-0005-0000-0000-0000160C0000}"/>
    <cellStyle name="Currency 5 2 2 5 4 3 2" xfId="15213" xr:uid="{735FC25B-4C80-4C13-81FB-A68F5B0C4A15}"/>
    <cellStyle name="Currency 5 2 2 5 4 3 3" xfId="23654" xr:uid="{36270A98-50F9-44FC-9942-B19880440DC1}"/>
    <cellStyle name="Currency 5 2 2 5 4 3 4" xfId="32094" xr:uid="{C40EC8F1-0BAA-4429-8AC7-ABEB5F3A8055}"/>
    <cellStyle name="Currency 5 2 2 5 4 4" xfId="10996" xr:uid="{02CBEF19-7E50-4C44-91A1-90E3A21E3642}"/>
    <cellStyle name="Currency 5 2 2 5 4 5" xfId="19437" xr:uid="{A0FBE2CE-4408-4727-9362-AED1F417A6C6}"/>
    <cellStyle name="Currency 5 2 2 5 4 6" xfId="27877" xr:uid="{81783A03-B618-4C07-BCEA-B87B76C28DCC}"/>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5220F486-DAD8-40C3-83F2-0E08F25A13A8}"/>
    <cellStyle name="Currency 5 2 2 5 5 2 2 3" xfId="26212" xr:uid="{EDEBE7E7-A43D-4F18-BAF3-BC63DB132D82}"/>
    <cellStyle name="Currency 5 2 2 5 5 2 2 4" xfId="34652" xr:uid="{E25117BD-B5B7-4869-B816-FCAE6E1FBAD5}"/>
    <cellStyle name="Currency 5 2 2 5 5 2 3" xfId="13554" xr:uid="{A55A69FE-CBD3-4724-8FA7-FA8904D2D7FB}"/>
    <cellStyle name="Currency 5 2 2 5 5 2 4" xfId="21995" xr:uid="{3C69D4AD-35E4-43AB-A741-E40757FD5C62}"/>
    <cellStyle name="Currency 5 2 2 5 5 2 5" xfId="30435" xr:uid="{94616DEE-875D-4994-9ED2-33D97250C8F8}"/>
    <cellStyle name="Currency 5 2 2 5 5 3" xfId="6300" xr:uid="{00000000-0005-0000-0000-00001A0C0000}"/>
    <cellStyle name="Currency 5 2 2 5 5 3 2" xfId="15626" xr:uid="{8CD52335-C865-4BB8-AFDE-941B96B08833}"/>
    <cellStyle name="Currency 5 2 2 5 5 3 3" xfId="24067" xr:uid="{1AF41B7F-1F95-42C1-9816-2DC0498D45BC}"/>
    <cellStyle name="Currency 5 2 2 5 5 3 4" xfId="32507" xr:uid="{99A8121A-8247-458F-9CAF-0D80547F28B7}"/>
    <cellStyle name="Currency 5 2 2 5 5 4" xfId="11409" xr:uid="{117D99DF-C675-4FD1-9A95-404B2290733E}"/>
    <cellStyle name="Currency 5 2 2 5 5 5" xfId="19850" xr:uid="{F9A6C8EA-918B-4D3F-95CD-A76C537DA263}"/>
    <cellStyle name="Currency 5 2 2 5 5 6" xfId="28290" xr:uid="{4C36CD5C-82DD-44D4-903F-1984CD8C9E49}"/>
    <cellStyle name="Currency 5 2 2 5 6" xfId="2429" xr:uid="{00000000-0005-0000-0000-00001B0C0000}"/>
    <cellStyle name="Currency 5 2 2 5 6 2" xfId="6713" xr:uid="{00000000-0005-0000-0000-00001C0C0000}"/>
    <cellStyle name="Currency 5 2 2 5 6 2 2" xfId="16039" xr:uid="{D46A2B73-39AF-49D2-8051-5D71AF39DA5F}"/>
    <cellStyle name="Currency 5 2 2 5 6 2 3" xfId="24480" xr:uid="{953B6BFD-1442-4483-A1BC-0C178D0985FE}"/>
    <cellStyle name="Currency 5 2 2 5 6 2 4" xfId="32920" xr:uid="{5A0CBEDF-9D7B-4DE3-B01A-D68A17F6A605}"/>
    <cellStyle name="Currency 5 2 2 5 6 3" xfId="11822" xr:uid="{4BE4C8AC-431F-4058-9E0F-E88818369623}"/>
    <cellStyle name="Currency 5 2 2 5 6 4" xfId="20263" xr:uid="{F173EB3D-BC68-4D34-BD1A-A61ACF9A859E}"/>
    <cellStyle name="Currency 5 2 2 5 6 5" xfId="28703" xr:uid="{97F59AD6-157E-4624-A666-9E72F265D087}"/>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D0DEB221-1768-4FAF-A848-BC781A5ECA64}"/>
    <cellStyle name="Currency 5 2 2 5 8 2 3" xfId="24797" xr:uid="{BBDF1E33-120C-4AE8-BABB-486A4884A93E}"/>
    <cellStyle name="Currency 5 2 2 5 8 2 4" xfId="33237" xr:uid="{F0DF9B77-02B9-400F-BB5C-E0401B957C1C}"/>
    <cellStyle name="Currency 5 2 2 5 8 3" xfId="12139" xr:uid="{B91E72D1-3C08-4C05-8154-DFCA3D0555A2}"/>
    <cellStyle name="Currency 5 2 2 5 8 4" xfId="20580" xr:uid="{6A112EB4-B038-4D7B-B953-1768ACFD20A6}"/>
    <cellStyle name="Currency 5 2 2 5 8 5" xfId="29020" xr:uid="{8CD6BBCC-5929-4AE7-A620-E23702531B7F}"/>
    <cellStyle name="Currency 5 2 2 5 9" xfId="4647" xr:uid="{00000000-0005-0000-0000-0000200C0000}"/>
    <cellStyle name="Currency 5 2 2 5 9 2" xfId="13973" xr:uid="{4A59800E-6B28-47F1-AEB9-A00D65443315}"/>
    <cellStyle name="Currency 5 2 2 5 9 3" xfId="22414" xr:uid="{5CA36347-311E-4E72-BE5E-F02C1EF996A9}"/>
    <cellStyle name="Currency 5 2 2 5 9 4" xfId="30854" xr:uid="{7549BC7C-98BB-4EB8-84A4-9E02577767C5}"/>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CA014522-B870-4A5F-B47D-68FFE879D9DB}"/>
    <cellStyle name="Currency 5 2 4 10 3" xfId="22415" xr:uid="{20BCCD36-6423-4204-88C1-D849645C5818}"/>
    <cellStyle name="Currency 5 2 4 10 4" xfId="30855" xr:uid="{89BFAD1D-B219-4D62-862B-A08088168627}"/>
    <cellStyle name="Currency 5 2 4 11" xfId="8859" xr:uid="{D3A5F8AD-5F4E-4BEA-A9B4-9A705A015524}"/>
    <cellStyle name="Currency 5 2 4 12" xfId="9757" xr:uid="{CE2A7650-DEC6-46E6-B69B-2DB86C196F96}"/>
    <cellStyle name="Currency 5 2 4 13" xfId="18198" xr:uid="{CAEDBA7E-5398-480D-A49E-CCE9924DC15D}"/>
    <cellStyle name="Currency 5 2 4 14" xfId="26638" xr:uid="{F591D9B8-026B-4332-A39D-2052B04571B6}"/>
    <cellStyle name="Currency 5 2 4 2" xfId="206" xr:uid="{00000000-0005-0000-0000-0000250C0000}"/>
    <cellStyle name="Currency 5 2 4 2 10" xfId="9066" xr:uid="{2F7A28AF-2120-4AAF-A58B-33C2E07F597D}"/>
    <cellStyle name="Currency 5 2 4 2 11" xfId="9758" xr:uid="{BDF5E662-CB5F-4273-8111-2B21828F7D16}"/>
    <cellStyle name="Currency 5 2 4 2 12" xfId="18199" xr:uid="{6F96C7B7-70AC-434F-95C1-733574295839}"/>
    <cellStyle name="Currency 5 2 4 2 13" xfId="26639" xr:uid="{0B147EE5-A9C6-46C0-BB97-9B6F78EC8ED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C508ADB7-E9B2-4EC5-A6E8-7960041E4650}"/>
    <cellStyle name="Currency 5 2 4 2 2 2 2 3" xfId="24975" xr:uid="{1615726F-AB41-4136-AA71-05DCB8291F7C}"/>
    <cellStyle name="Currency 5 2 4 2 2 2 2 4" xfId="33415" xr:uid="{775D25D6-C625-475E-B8E9-1D36E49B80D0}"/>
    <cellStyle name="Currency 5 2 4 2 2 2 3" xfId="12317" xr:uid="{2E98EA41-8178-4616-ADA8-FBE8F09AF2F2}"/>
    <cellStyle name="Currency 5 2 4 2 2 2 4" xfId="20758" xr:uid="{77D8BC0B-2EBB-43F0-B744-0BF3738B3BCD}"/>
    <cellStyle name="Currency 5 2 4 2 2 2 5" xfId="29198" xr:uid="{E66A4AE9-5294-4BDD-8195-7CED35E85AE1}"/>
    <cellStyle name="Currency 5 2 4 2 2 3" xfId="5063" xr:uid="{00000000-0005-0000-0000-0000290C0000}"/>
    <cellStyle name="Currency 5 2 4 2 2 3 2" xfId="14389" xr:uid="{28394E93-15A7-4A56-8894-69BE474916C7}"/>
    <cellStyle name="Currency 5 2 4 2 2 3 3" xfId="22830" xr:uid="{9271B340-F378-4F25-B3E1-4A84825B82C0}"/>
    <cellStyle name="Currency 5 2 4 2 2 3 4" xfId="31270" xr:uid="{86F4949E-0C97-4DE0-95DE-CB7D73E3A5B2}"/>
    <cellStyle name="Currency 5 2 4 2 2 4" xfId="9491" xr:uid="{64B868C7-9024-4970-9E74-7DF82417BD7A}"/>
    <cellStyle name="Currency 5 2 4 2 2 5" xfId="10172" xr:uid="{EB2814A8-8449-4961-9A22-C3A1C018D678}"/>
    <cellStyle name="Currency 5 2 4 2 2 6" xfId="18613" xr:uid="{08F01C91-A6BF-4DBC-9A01-BDFDB58B64F7}"/>
    <cellStyle name="Currency 5 2 4 2 2 7" xfId="27053" xr:uid="{56D488C6-A7F9-4C68-AAC9-0F1FFAFF4E71}"/>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E3E71810-2FA3-4BFC-BAF4-7ADB7AAD415A}"/>
    <cellStyle name="Currency 5 2 4 2 3 2 2 3" xfId="25388" xr:uid="{96828AF7-BEDF-4F81-AC96-51E3FC611FC6}"/>
    <cellStyle name="Currency 5 2 4 2 3 2 2 4" xfId="33828" xr:uid="{4F3330ED-6484-47B8-AA5C-BCA27126B8AE}"/>
    <cellStyle name="Currency 5 2 4 2 3 2 3" xfId="12730" xr:uid="{569E702A-E045-4889-8653-1A236F1D8912}"/>
    <cellStyle name="Currency 5 2 4 2 3 2 4" xfId="21171" xr:uid="{26DDB72A-F935-4F55-B595-AD124B3AA7BB}"/>
    <cellStyle name="Currency 5 2 4 2 3 2 5" xfId="29611" xr:uid="{615E4060-BE57-433C-A1E1-7F867F1B611C}"/>
    <cellStyle name="Currency 5 2 4 2 3 3" xfId="5476" xr:uid="{00000000-0005-0000-0000-00002D0C0000}"/>
    <cellStyle name="Currency 5 2 4 2 3 3 2" xfId="14802" xr:uid="{21BD6969-9EC6-4C2C-8B5B-C826324F45CD}"/>
    <cellStyle name="Currency 5 2 4 2 3 3 3" xfId="23243" xr:uid="{A3DC121A-AABD-4E76-8B9D-9B09AD062C2A}"/>
    <cellStyle name="Currency 5 2 4 2 3 3 4" xfId="31683" xr:uid="{C735D5A0-4FF8-40AB-A67F-3D51CF0EEC16}"/>
    <cellStyle name="Currency 5 2 4 2 3 4" xfId="10585" xr:uid="{C510EA1E-CC8A-4A84-A0F1-9327950DB8F4}"/>
    <cellStyle name="Currency 5 2 4 2 3 5" xfId="19026" xr:uid="{04F8815A-F5AC-4CC6-A494-BA64774AF969}"/>
    <cellStyle name="Currency 5 2 4 2 3 6" xfId="27466" xr:uid="{E206A4EE-33BD-4BF6-8F38-09DDAD6B5F2C}"/>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4CD1F3A5-878D-4DC4-9D58-DC7EAF7AD070}"/>
    <cellStyle name="Currency 5 2 4 2 4 2 2 3" xfId="25801" xr:uid="{1D9025AF-812B-4DF6-8F81-FB83212DB40B}"/>
    <cellStyle name="Currency 5 2 4 2 4 2 2 4" xfId="34241" xr:uid="{C9560CF7-0E43-4E04-B2F6-F928D9009244}"/>
    <cellStyle name="Currency 5 2 4 2 4 2 3" xfId="13143" xr:uid="{2BE45548-F1D7-4360-9767-39F3A4914C58}"/>
    <cellStyle name="Currency 5 2 4 2 4 2 4" xfId="21584" xr:uid="{560CD200-088B-4835-8A5C-8A989B811EE6}"/>
    <cellStyle name="Currency 5 2 4 2 4 2 5" xfId="30024" xr:uid="{3CBC30B1-485E-4CDA-938D-8E819ED2B04C}"/>
    <cellStyle name="Currency 5 2 4 2 4 3" xfId="5889" xr:uid="{00000000-0005-0000-0000-0000310C0000}"/>
    <cellStyle name="Currency 5 2 4 2 4 3 2" xfId="15215" xr:uid="{E204B84C-6F5A-419A-8DA5-0F4D3827EFFC}"/>
    <cellStyle name="Currency 5 2 4 2 4 3 3" xfId="23656" xr:uid="{FF5F3FF5-5637-4BDE-90E1-FF3AEA291365}"/>
    <cellStyle name="Currency 5 2 4 2 4 3 4" xfId="32096" xr:uid="{7F727F32-0E00-4EB0-B50A-201FB397F46F}"/>
    <cellStyle name="Currency 5 2 4 2 4 4" xfId="10998" xr:uid="{5DBE169C-A685-49B8-8CFB-80EB1F240357}"/>
    <cellStyle name="Currency 5 2 4 2 4 5" xfId="19439" xr:uid="{BD4B5A2B-A760-4044-9708-520CACA01D72}"/>
    <cellStyle name="Currency 5 2 4 2 4 6" xfId="27879" xr:uid="{F00D5996-0134-4065-A478-09EF5A64A811}"/>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CF262D88-7BFA-4D63-BEF5-CFA05CE83611}"/>
    <cellStyle name="Currency 5 2 4 2 5 2 2 3" xfId="26214" xr:uid="{421B8640-84CD-41A5-A9EC-05902C531E21}"/>
    <cellStyle name="Currency 5 2 4 2 5 2 2 4" xfId="34654" xr:uid="{A3C9B428-DAB2-40D4-9AE0-4202F716BE2E}"/>
    <cellStyle name="Currency 5 2 4 2 5 2 3" xfId="13556" xr:uid="{4F2DA5E1-BEB1-4C24-B3A4-41028F605926}"/>
    <cellStyle name="Currency 5 2 4 2 5 2 4" xfId="21997" xr:uid="{1FEE3F04-0087-45C3-9A48-DEE9720D98ED}"/>
    <cellStyle name="Currency 5 2 4 2 5 2 5" xfId="30437" xr:uid="{47D37A54-EC28-46DF-8DE8-493C2189A474}"/>
    <cellStyle name="Currency 5 2 4 2 5 3" xfId="6302" xr:uid="{00000000-0005-0000-0000-0000350C0000}"/>
    <cellStyle name="Currency 5 2 4 2 5 3 2" xfId="15628" xr:uid="{8C4FD1F5-E4E2-4B60-AC15-0F03D66554C7}"/>
    <cellStyle name="Currency 5 2 4 2 5 3 3" xfId="24069" xr:uid="{26162176-99B3-4A91-94FF-6841837A92EB}"/>
    <cellStyle name="Currency 5 2 4 2 5 3 4" xfId="32509" xr:uid="{58E6DCDE-56A1-4854-8177-3807169049B4}"/>
    <cellStyle name="Currency 5 2 4 2 5 4" xfId="11411" xr:uid="{D50FF6AD-AD3B-4F17-A394-FB7F909B93C8}"/>
    <cellStyle name="Currency 5 2 4 2 5 5" xfId="19852" xr:uid="{9CAB0B6D-A663-461A-B2CD-63822C2CF7A0}"/>
    <cellStyle name="Currency 5 2 4 2 5 6" xfId="28292" xr:uid="{3B2671CA-9AD6-4096-951A-B601B9406FE2}"/>
    <cellStyle name="Currency 5 2 4 2 6" xfId="2431" xr:uid="{00000000-0005-0000-0000-0000360C0000}"/>
    <cellStyle name="Currency 5 2 4 2 6 2" xfId="6715" xr:uid="{00000000-0005-0000-0000-0000370C0000}"/>
    <cellStyle name="Currency 5 2 4 2 6 2 2" xfId="16041" xr:uid="{16BFD91B-EB84-4469-890A-177D52871FA5}"/>
    <cellStyle name="Currency 5 2 4 2 6 2 3" xfId="24482" xr:uid="{8FB8490D-2737-46C6-9954-57607448A512}"/>
    <cellStyle name="Currency 5 2 4 2 6 2 4" xfId="32922" xr:uid="{71159434-41BC-43AC-A0E5-25E20214180C}"/>
    <cellStyle name="Currency 5 2 4 2 6 3" xfId="11824" xr:uid="{294B03CC-805D-466B-BCF4-B0E485CED458}"/>
    <cellStyle name="Currency 5 2 4 2 6 4" xfId="20265" xr:uid="{1AAA2789-355D-486D-987F-FA39555E69DE}"/>
    <cellStyle name="Currency 5 2 4 2 6 5" xfId="28705" xr:uid="{8079F6DA-4DE6-4951-8E32-F9E348BD7E43}"/>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9BAEC403-0A77-41B9-BF4F-70CF1E300C6A}"/>
    <cellStyle name="Currency 5 2 4 2 8 2 3" xfId="24799" xr:uid="{1D3CD792-CB38-4322-9B64-67C59E7493E6}"/>
    <cellStyle name="Currency 5 2 4 2 8 2 4" xfId="33239" xr:uid="{57AC9726-BFA5-4839-8974-67B8629BB68F}"/>
    <cellStyle name="Currency 5 2 4 2 8 3" xfId="12141" xr:uid="{9F4CD89B-F63E-4419-BC46-F63217500A9E}"/>
    <cellStyle name="Currency 5 2 4 2 8 4" xfId="20582" xr:uid="{FD437FAE-0B94-4F43-AFB0-6A1CF4AD7C77}"/>
    <cellStyle name="Currency 5 2 4 2 8 5" xfId="29022" xr:uid="{78A533CF-79CC-4142-9CD9-785F9F922192}"/>
    <cellStyle name="Currency 5 2 4 2 9" xfId="4649" xr:uid="{00000000-0005-0000-0000-00003B0C0000}"/>
    <cellStyle name="Currency 5 2 4 2 9 2" xfId="13975" xr:uid="{29CAD6C0-E675-4D9A-87BD-1746D6108AFB}"/>
    <cellStyle name="Currency 5 2 4 2 9 3" xfId="22416" xr:uid="{AB8DE349-A663-421B-9C13-E43C204F7377}"/>
    <cellStyle name="Currency 5 2 4 2 9 4" xfId="30856" xr:uid="{24048344-1D06-4387-8228-67B5741C33C7}"/>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674226D9-0006-4DD7-9634-08E75DE4A4C4}"/>
    <cellStyle name="Currency 5 2 4 3 2 2 3" xfId="24974" xr:uid="{9B89880E-A185-4A35-891E-7C594E5E5505}"/>
    <cellStyle name="Currency 5 2 4 3 2 2 4" xfId="33414" xr:uid="{F4B73C7A-870A-4EE8-BFF0-3E6A0754CBB1}"/>
    <cellStyle name="Currency 5 2 4 3 2 3" xfId="12316" xr:uid="{F68ED349-B564-4844-BDEE-C1269153E943}"/>
    <cellStyle name="Currency 5 2 4 3 2 4" xfId="20757" xr:uid="{9E6218FC-BE5A-4800-9F95-4ACB349018A9}"/>
    <cellStyle name="Currency 5 2 4 3 2 5" xfId="29197" xr:uid="{6D326FD2-A051-4A11-82F4-2AB045D80165}"/>
    <cellStyle name="Currency 5 2 4 3 3" xfId="5062" xr:uid="{00000000-0005-0000-0000-00003F0C0000}"/>
    <cellStyle name="Currency 5 2 4 3 3 2" xfId="14388" xr:uid="{D1F0A8F3-6F75-49D6-A3C6-C0F31F2877B3}"/>
    <cellStyle name="Currency 5 2 4 3 3 3" xfId="22829" xr:uid="{D8B63427-43A0-47DC-B071-41E23B34F134}"/>
    <cellStyle name="Currency 5 2 4 3 3 4" xfId="31269" xr:uid="{135DCC75-EBDC-4266-A130-D184B1D3C6C5}"/>
    <cellStyle name="Currency 5 2 4 3 4" xfId="9284" xr:uid="{1D0B72AC-AFAC-428F-8BF0-6DFF9565613D}"/>
    <cellStyle name="Currency 5 2 4 3 5" xfId="10171" xr:uid="{1EDEB9E9-FAE1-43E0-AE04-9834848CC9F5}"/>
    <cellStyle name="Currency 5 2 4 3 6" xfId="18612" xr:uid="{5F3DDB2A-776C-492A-B129-0D9826EF9335}"/>
    <cellStyle name="Currency 5 2 4 3 7" xfId="27052" xr:uid="{16424AAE-FC19-4736-88D1-0D41040ECF6A}"/>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011B6F9C-8F16-4811-B46E-3B8F98770FCB}"/>
    <cellStyle name="Currency 5 2 4 4 2 2 3" xfId="25387" xr:uid="{DD2A1937-A47A-4FF6-8686-61FFA47642EB}"/>
    <cellStyle name="Currency 5 2 4 4 2 2 4" xfId="33827" xr:uid="{1D3BBA1E-176E-4EF7-B4DD-D88DA0B0295F}"/>
    <cellStyle name="Currency 5 2 4 4 2 3" xfId="12729" xr:uid="{728281E5-59CF-4EB5-8F92-7D5F55282EF6}"/>
    <cellStyle name="Currency 5 2 4 4 2 4" xfId="21170" xr:uid="{BECDC617-7981-41F6-AFFE-65BAC6E9626A}"/>
    <cellStyle name="Currency 5 2 4 4 2 5" xfId="29610" xr:uid="{D5A928D8-870A-45D3-BD3F-3E45AF5FC52A}"/>
    <cellStyle name="Currency 5 2 4 4 3" xfId="5475" xr:uid="{00000000-0005-0000-0000-0000430C0000}"/>
    <cellStyle name="Currency 5 2 4 4 3 2" xfId="14801" xr:uid="{691EAE98-6E33-4E70-92DD-A0265865A0F5}"/>
    <cellStyle name="Currency 5 2 4 4 3 3" xfId="23242" xr:uid="{B82D27C3-3446-49E1-905E-FA33622F4041}"/>
    <cellStyle name="Currency 5 2 4 4 3 4" xfId="31682" xr:uid="{8A20DE7A-EF67-447E-B4C2-08B565945464}"/>
    <cellStyle name="Currency 5 2 4 4 4" xfId="10584" xr:uid="{5C6482A6-32CF-4B7E-9B39-3C467D5E5702}"/>
    <cellStyle name="Currency 5 2 4 4 5" xfId="19025" xr:uid="{C504C552-A289-43BA-8661-E06E813E1FA9}"/>
    <cellStyle name="Currency 5 2 4 4 6" xfId="27465" xr:uid="{7AC64E09-DB65-491D-86A0-13E11F98A86B}"/>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C8A3A3E2-3EBC-4076-88B0-77D1F22B9FE9}"/>
    <cellStyle name="Currency 5 2 4 5 2 2 3" xfId="25800" xr:uid="{9CDCB82B-B37C-4C2F-AA75-6B287753F848}"/>
    <cellStyle name="Currency 5 2 4 5 2 2 4" xfId="34240" xr:uid="{6373DADD-C6C2-47A2-B1A9-D76D84D830A0}"/>
    <cellStyle name="Currency 5 2 4 5 2 3" xfId="13142" xr:uid="{55D0E5C3-2CE4-411D-9D2D-F3CCA188C05D}"/>
    <cellStyle name="Currency 5 2 4 5 2 4" xfId="21583" xr:uid="{52A82E92-D0D3-4F90-8B5D-238A31607881}"/>
    <cellStyle name="Currency 5 2 4 5 2 5" xfId="30023" xr:uid="{1DD03A76-1ADB-459D-B36E-DAD74515ACE0}"/>
    <cellStyle name="Currency 5 2 4 5 3" xfId="5888" xr:uid="{00000000-0005-0000-0000-0000470C0000}"/>
    <cellStyle name="Currency 5 2 4 5 3 2" xfId="15214" xr:uid="{D395B952-27A5-4E66-88F8-FE8B66C7AA46}"/>
    <cellStyle name="Currency 5 2 4 5 3 3" xfId="23655" xr:uid="{EA95F4F5-06F4-4FB1-80BD-376B49E6EE07}"/>
    <cellStyle name="Currency 5 2 4 5 3 4" xfId="32095" xr:uid="{83F83BC6-E25A-46CA-96D7-093061DAC9EC}"/>
    <cellStyle name="Currency 5 2 4 5 4" xfId="10997" xr:uid="{58BA6CDF-3231-4485-8AFA-DE16EBDC9AD0}"/>
    <cellStyle name="Currency 5 2 4 5 5" xfId="19438" xr:uid="{F4E62BDE-D4B7-49F7-AE6B-95BA991D7E84}"/>
    <cellStyle name="Currency 5 2 4 5 6" xfId="27878" xr:uid="{00B5CAFD-30AE-49D2-8D66-C4DB520BF78E}"/>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70ADB837-053F-4FA0-9B6B-FF229F07A757}"/>
    <cellStyle name="Currency 5 2 4 6 2 2 3" xfId="26213" xr:uid="{2BABC14E-7F0F-4C92-B99D-6E86318574F1}"/>
    <cellStyle name="Currency 5 2 4 6 2 2 4" xfId="34653" xr:uid="{322263C7-B3DE-42BB-B952-DD547C18DD2F}"/>
    <cellStyle name="Currency 5 2 4 6 2 3" xfId="13555" xr:uid="{9D335C56-92BC-4AF1-B9D1-A0EAA74FEEFF}"/>
    <cellStyle name="Currency 5 2 4 6 2 4" xfId="21996" xr:uid="{1CB295F2-834C-4E8B-BD83-870A0C132257}"/>
    <cellStyle name="Currency 5 2 4 6 2 5" xfId="30436" xr:uid="{622CF2BB-82FD-45A7-BFBF-1F89D4B7233E}"/>
    <cellStyle name="Currency 5 2 4 6 3" xfId="6301" xr:uid="{00000000-0005-0000-0000-00004B0C0000}"/>
    <cellStyle name="Currency 5 2 4 6 3 2" xfId="15627" xr:uid="{4ECE43B3-55F4-4608-A7E5-62C9511E1B58}"/>
    <cellStyle name="Currency 5 2 4 6 3 3" xfId="24068" xr:uid="{4EA08D02-B92A-4239-A68F-3F77855CB798}"/>
    <cellStyle name="Currency 5 2 4 6 3 4" xfId="32508" xr:uid="{06A4824B-6803-4328-BFBE-0CA07E58662F}"/>
    <cellStyle name="Currency 5 2 4 6 4" xfId="11410" xr:uid="{53458C0D-40DD-4C58-96DA-25817D5DA72A}"/>
    <cellStyle name="Currency 5 2 4 6 5" xfId="19851" xr:uid="{AB9B83BF-0482-41A5-9B7B-7440377718DB}"/>
    <cellStyle name="Currency 5 2 4 6 6" xfId="28291" xr:uid="{00EF97CD-0952-4AFB-9114-92D25B672DE2}"/>
    <cellStyle name="Currency 5 2 4 7" xfId="2430" xr:uid="{00000000-0005-0000-0000-00004C0C0000}"/>
    <cellStyle name="Currency 5 2 4 7 2" xfId="6714" xr:uid="{00000000-0005-0000-0000-00004D0C0000}"/>
    <cellStyle name="Currency 5 2 4 7 2 2" xfId="16040" xr:uid="{609CB5E9-7C50-454F-A878-0412002789B8}"/>
    <cellStyle name="Currency 5 2 4 7 2 3" xfId="24481" xr:uid="{6350A0CD-1650-4E7D-B25B-908BCBADAF2C}"/>
    <cellStyle name="Currency 5 2 4 7 2 4" xfId="32921" xr:uid="{5CA4B872-0696-4AA6-BB8D-4708A9E60D3D}"/>
    <cellStyle name="Currency 5 2 4 7 3" xfId="11823" xr:uid="{17FFAA80-385A-4697-B0E9-7DEDC492CD5F}"/>
    <cellStyle name="Currency 5 2 4 7 4" xfId="20264" xr:uid="{2B9A7C1F-074B-4BA5-A5F6-37B209F934D2}"/>
    <cellStyle name="Currency 5 2 4 7 5" xfId="28704" xr:uid="{359415B4-77C1-4007-81C9-33C0B876B608}"/>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7A67E869-8B21-4A41-9CB9-74D61BEF06FE}"/>
    <cellStyle name="Currency 5 2 4 9 2 3" xfId="24798" xr:uid="{E93EDAA9-98FA-4858-90CA-AEF0E99032A1}"/>
    <cellStyle name="Currency 5 2 4 9 2 4" xfId="33238" xr:uid="{83D9DCBC-35CD-47F0-8F4C-62F56BDBE212}"/>
    <cellStyle name="Currency 5 2 4 9 3" xfId="12140" xr:uid="{B82056AF-9FB8-4019-BA13-1B4C848E87CC}"/>
    <cellStyle name="Currency 5 2 4 9 4" xfId="20581" xr:uid="{2C259CF2-B10E-4B5B-AF65-C97BB8F38421}"/>
    <cellStyle name="Currency 5 2 4 9 5" xfId="29021" xr:uid="{279DBB20-EEA1-4060-B2C3-644982EC349D}"/>
    <cellStyle name="Currency 5 2 5" xfId="207" xr:uid="{00000000-0005-0000-0000-0000510C0000}"/>
    <cellStyle name="Currency 5 2 5 10" xfId="8975" xr:uid="{3422EC31-C47F-46E0-A50C-FE05B1979387}"/>
    <cellStyle name="Currency 5 2 5 11" xfId="9759" xr:uid="{44B992E8-D04D-44BA-9DC7-5F5B1C1F72F6}"/>
    <cellStyle name="Currency 5 2 5 12" xfId="18200" xr:uid="{03242421-8BB1-4CCF-A10D-3D1DA912C8E0}"/>
    <cellStyle name="Currency 5 2 5 13" xfId="26640" xr:uid="{FD722779-455C-4351-A9A5-8D132373A991}"/>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F568CAA5-40FE-4CF1-AD6A-941875561DEB}"/>
    <cellStyle name="Currency 5 2 5 2 2 2 3" xfId="24976" xr:uid="{0B947246-36E5-43D7-A9E0-0A0AF3156B79}"/>
    <cellStyle name="Currency 5 2 5 2 2 2 4" xfId="33416" xr:uid="{5443329A-1E7A-48C2-ACB3-2A37BAF5D7AD}"/>
    <cellStyle name="Currency 5 2 5 2 2 3" xfId="12318" xr:uid="{1B34D577-039C-4175-A631-9B786349B246}"/>
    <cellStyle name="Currency 5 2 5 2 2 4" xfId="20759" xr:uid="{8875E690-7C21-4600-8F4E-A7C7A9DBECC6}"/>
    <cellStyle name="Currency 5 2 5 2 2 5" xfId="29199" xr:uid="{E098A004-B31A-4EC0-94E0-8512937F91ED}"/>
    <cellStyle name="Currency 5 2 5 2 3" xfId="5064" xr:uid="{00000000-0005-0000-0000-0000550C0000}"/>
    <cellStyle name="Currency 5 2 5 2 3 2" xfId="14390" xr:uid="{BE98A42E-008E-4AC7-8C8D-EA7FFCCAB8CD}"/>
    <cellStyle name="Currency 5 2 5 2 3 3" xfId="22831" xr:uid="{1F5119E4-5978-4BA1-AA52-E13F021A862F}"/>
    <cellStyle name="Currency 5 2 5 2 3 4" xfId="31271" xr:uid="{3CFA2AB3-9196-4ED9-8020-389CA615D89C}"/>
    <cellStyle name="Currency 5 2 5 2 4" xfId="9400" xr:uid="{6620DDCD-05C0-4AFD-8A83-F1190101CCB3}"/>
    <cellStyle name="Currency 5 2 5 2 5" xfId="10173" xr:uid="{F33B00F0-02D5-4C80-B83C-FC42E319FD27}"/>
    <cellStyle name="Currency 5 2 5 2 6" xfId="18614" xr:uid="{37870DCB-3D3A-45BA-BBA5-900772E06AFE}"/>
    <cellStyle name="Currency 5 2 5 2 7" xfId="27054" xr:uid="{DBB6AB9A-9AF0-4D61-B736-3449E5CAAC56}"/>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1CFCBA93-99AD-499D-A204-B525C6434E75}"/>
    <cellStyle name="Currency 5 2 5 3 2 2 3" xfId="25389" xr:uid="{42C52DD9-41ED-4271-AA01-014DC32E63DD}"/>
    <cellStyle name="Currency 5 2 5 3 2 2 4" xfId="33829" xr:uid="{702135EF-95C7-4D83-A32B-FC005B592712}"/>
    <cellStyle name="Currency 5 2 5 3 2 3" xfId="12731" xr:uid="{7B9405B5-00E0-4D1F-B21C-D42BA97A48E4}"/>
    <cellStyle name="Currency 5 2 5 3 2 4" xfId="21172" xr:uid="{A35ABC8D-269D-4BBE-B22E-9D6AED295BDF}"/>
    <cellStyle name="Currency 5 2 5 3 2 5" xfId="29612" xr:uid="{0F33A130-189A-45E5-81B0-4658557CED54}"/>
    <cellStyle name="Currency 5 2 5 3 3" xfId="5477" xr:uid="{00000000-0005-0000-0000-0000590C0000}"/>
    <cellStyle name="Currency 5 2 5 3 3 2" xfId="14803" xr:uid="{FAA08B24-25B7-490C-9BE0-47D6A6001130}"/>
    <cellStyle name="Currency 5 2 5 3 3 3" xfId="23244" xr:uid="{734213D2-CE75-48F9-844C-569200E55A09}"/>
    <cellStyle name="Currency 5 2 5 3 3 4" xfId="31684" xr:uid="{F549AF4B-500F-4CFC-A7F3-60DDB97B1A00}"/>
    <cellStyle name="Currency 5 2 5 3 4" xfId="10586" xr:uid="{2377D1E7-0EE2-42BB-A05E-16831912FBBB}"/>
    <cellStyle name="Currency 5 2 5 3 5" xfId="19027" xr:uid="{24B657AB-1505-47A2-9683-EED69CD3A4E1}"/>
    <cellStyle name="Currency 5 2 5 3 6" xfId="27467" xr:uid="{3E7B420A-4229-4BD3-A484-196AE155F8DC}"/>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E565F849-4B6E-423C-9D5F-E0C550299A96}"/>
    <cellStyle name="Currency 5 2 5 4 2 2 3" xfId="25802" xr:uid="{7ED3A872-6056-49A7-BA15-195D7729581C}"/>
    <cellStyle name="Currency 5 2 5 4 2 2 4" xfId="34242" xr:uid="{EF0783F2-47C7-4800-BB70-0B97A8009089}"/>
    <cellStyle name="Currency 5 2 5 4 2 3" xfId="13144" xr:uid="{B7848A9E-3648-43A0-817D-4322E42A05B3}"/>
    <cellStyle name="Currency 5 2 5 4 2 4" xfId="21585" xr:uid="{D54B99F4-42C5-4F25-B835-E4B8AABA76CA}"/>
    <cellStyle name="Currency 5 2 5 4 2 5" xfId="30025" xr:uid="{3665C4B7-A3D9-4DBC-9723-7A21E7631B8B}"/>
    <cellStyle name="Currency 5 2 5 4 3" xfId="5890" xr:uid="{00000000-0005-0000-0000-00005D0C0000}"/>
    <cellStyle name="Currency 5 2 5 4 3 2" xfId="15216" xr:uid="{EEEEBE41-3E4A-4F6F-B95B-FC1867876241}"/>
    <cellStyle name="Currency 5 2 5 4 3 3" xfId="23657" xr:uid="{4310CA87-B11B-4CF8-ABEC-4F85252B5B09}"/>
    <cellStyle name="Currency 5 2 5 4 3 4" xfId="32097" xr:uid="{30F754A8-5EAF-4144-AFEC-EF953CD687E1}"/>
    <cellStyle name="Currency 5 2 5 4 4" xfId="10999" xr:uid="{C0F316BA-1DE5-4BE3-910A-0E23300875F1}"/>
    <cellStyle name="Currency 5 2 5 4 5" xfId="19440" xr:uid="{BBBB4818-8ADB-4F40-AC6F-1C978B692105}"/>
    <cellStyle name="Currency 5 2 5 4 6" xfId="27880" xr:uid="{D228B080-D5D6-4DCE-9FE3-580E06C38F93}"/>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D38FF86B-73E6-47D9-8FB6-CB82E21BEFA4}"/>
    <cellStyle name="Currency 5 2 5 5 2 2 3" xfId="26215" xr:uid="{51004EAF-8D86-4426-885E-B11839062FE1}"/>
    <cellStyle name="Currency 5 2 5 5 2 2 4" xfId="34655" xr:uid="{5939136F-FCB5-4033-971F-C1617D864316}"/>
    <cellStyle name="Currency 5 2 5 5 2 3" xfId="13557" xr:uid="{3C6048E4-F262-4A84-B89A-8F32F37E6F7B}"/>
    <cellStyle name="Currency 5 2 5 5 2 4" xfId="21998" xr:uid="{C9C6FD8E-5808-4246-BE11-EB3D829FB1FF}"/>
    <cellStyle name="Currency 5 2 5 5 2 5" xfId="30438" xr:uid="{B03ACA0C-CEB6-488F-A5B5-2C74CA037C1F}"/>
    <cellStyle name="Currency 5 2 5 5 3" xfId="6303" xr:uid="{00000000-0005-0000-0000-0000610C0000}"/>
    <cellStyle name="Currency 5 2 5 5 3 2" xfId="15629" xr:uid="{7DFAA13A-DAA0-4402-8B05-C8EB79BD4CB9}"/>
    <cellStyle name="Currency 5 2 5 5 3 3" xfId="24070" xr:uid="{E92F499E-4851-4F49-BCD2-B1347D3DDFB4}"/>
    <cellStyle name="Currency 5 2 5 5 3 4" xfId="32510" xr:uid="{B7FD89DD-C17B-4011-8D2D-E29D3DB6A948}"/>
    <cellStyle name="Currency 5 2 5 5 4" xfId="11412" xr:uid="{3CE41413-F802-47BC-BB90-5D39E89803A4}"/>
    <cellStyle name="Currency 5 2 5 5 5" xfId="19853" xr:uid="{BA3D9199-1043-48C6-828B-7AE309D42EC1}"/>
    <cellStyle name="Currency 5 2 5 5 6" xfId="28293" xr:uid="{DD8D30DC-1595-4CD2-9C1F-44FDBF405352}"/>
    <cellStyle name="Currency 5 2 5 6" xfId="2432" xr:uid="{00000000-0005-0000-0000-0000620C0000}"/>
    <cellStyle name="Currency 5 2 5 6 2" xfId="6716" xr:uid="{00000000-0005-0000-0000-0000630C0000}"/>
    <cellStyle name="Currency 5 2 5 6 2 2" xfId="16042" xr:uid="{14D95FE5-7A6C-4DB7-95C6-FD669AD9A9E4}"/>
    <cellStyle name="Currency 5 2 5 6 2 3" xfId="24483" xr:uid="{1546BC4F-2602-4CC7-8D1A-667C175CA087}"/>
    <cellStyle name="Currency 5 2 5 6 2 4" xfId="32923" xr:uid="{6DCA5846-F78E-4933-B296-54F2418EE221}"/>
    <cellStyle name="Currency 5 2 5 6 3" xfId="11825" xr:uid="{CA4C715F-ECDD-488C-9008-0F4010AD90BA}"/>
    <cellStyle name="Currency 5 2 5 6 4" xfId="20266" xr:uid="{B0CE0573-FD42-48C1-A59B-DD1418CBE6C4}"/>
    <cellStyle name="Currency 5 2 5 6 5" xfId="28706" xr:uid="{FAC78EB5-2C6C-42D8-8570-50AEAECAA57E}"/>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611D81C9-A30E-4333-8737-7D47AC13589D}"/>
    <cellStyle name="Currency 5 2 5 8 2 3" xfId="24800" xr:uid="{66F517FA-7D2A-40C4-B6CE-F4AF6E3DA33C}"/>
    <cellStyle name="Currency 5 2 5 8 2 4" xfId="33240" xr:uid="{805F91CE-2706-4552-9B68-9AB0E18C6C0C}"/>
    <cellStyle name="Currency 5 2 5 8 3" xfId="12142" xr:uid="{EE755319-8221-41A5-A915-63E26DCCA3BE}"/>
    <cellStyle name="Currency 5 2 5 8 4" xfId="20583" xr:uid="{0A32299F-4C8A-4EDB-BEB9-D469E402195E}"/>
    <cellStyle name="Currency 5 2 5 8 5" xfId="29023" xr:uid="{CB23095C-EAEF-4D46-A976-2D9303EEF8C0}"/>
    <cellStyle name="Currency 5 2 5 9" xfId="4650" xr:uid="{00000000-0005-0000-0000-0000670C0000}"/>
    <cellStyle name="Currency 5 2 5 9 2" xfId="13976" xr:uid="{F5965135-82FB-453D-953B-148EA39226B3}"/>
    <cellStyle name="Currency 5 2 5 9 3" xfId="22417" xr:uid="{FD961228-B99B-4CC2-9BCD-4B17726EBAA1}"/>
    <cellStyle name="Currency 5 2 5 9 4" xfId="30857" xr:uid="{3D8823A4-569E-45FB-B494-4CC6EFAC25B6}"/>
    <cellStyle name="Currency 5 2 6" xfId="208" xr:uid="{00000000-0005-0000-0000-0000680C0000}"/>
    <cellStyle name="Currency 5 2 6 10" xfId="9178" xr:uid="{19F6D70E-88E4-4E39-A1A9-3FF3D840E2F9}"/>
    <cellStyle name="Currency 5 2 6 11" xfId="9760" xr:uid="{2FD33E76-7282-45BB-A4B1-71EF0FF76C7A}"/>
    <cellStyle name="Currency 5 2 6 12" xfId="18201" xr:uid="{49EB103B-995B-4B06-B815-FB2B46BC660D}"/>
    <cellStyle name="Currency 5 2 6 13" xfId="26641" xr:uid="{EEA145C8-BCBB-4C7E-935C-BD5902754CC6}"/>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ADDFC6A4-808B-4C8F-8491-CF2942A61015}"/>
    <cellStyle name="Currency 5 2 6 2 2 2 3" xfId="24977" xr:uid="{E87F3F97-6445-4B2D-BA30-84020CD3F3A6}"/>
    <cellStyle name="Currency 5 2 6 2 2 2 4" xfId="33417" xr:uid="{C774DFE8-EFC7-4E21-AB8A-99DE94AB1DC9}"/>
    <cellStyle name="Currency 5 2 6 2 2 3" xfId="12319" xr:uid="{A822C70C-7568-4581-AC90-7CCF23107F91}"/>
    <cellStyle name="Currency 5 2 6 2 2 4" xfId="20760" xr:uid="{E3DBB598-EE05-4457-AF01-8E98CCF18B5E}"/>
    <cellStyle name="Currency 5 2 6 2 2 5" xfId="29200" xr:uid="{07FA516F-822C-43BE-89F9-6BE07348B1E9}"/>
    <cellStyle name="Currency 5 2 6 2 3" xfId="5065" xr:uid="{00000000-0005-0000-0000-00006C0C0000}"/>
    <cellStyle name="Currency 5 2 6 2 3 2" xfId="14391" xr:uid="{EE498E5B-409A-4CC6-88E1-034A34557E94}"/>
    <cellStyle name="Currency 5 2 6 2 3 3" xfId="22832" xr:uid="{8268655C-DCBF-4FAC-B710-7F32F92F4716}"/>
    <cellStyle name="Currency 5 2 6 2 3 4" xfId="31272" xr:uid="{173B13BF-D59E-465A-9042-4900DA46EA26}"/>
    <cellStyle name="Currency 5 2 6 2 4" xfId="9599" xr:uid="{C2EE182C-D73D-4E6C-9671-0484CB4E8D68}"/>
    <cellStyle name="Currency 5 2 6 2 5" xfId="10174" xr:uid="{DDE93D37-4DAA-4D34-8E9C-DDCFCDD55A31}"/>
    <cellStyle name="Currency 5 2 6 2 6" xfId="18615" xr:uid="{7EA143C4-668C-48EF-A5ED-5089EFCD21AF}"/>
    <cellStyle name="Currency 5 2 6 2 7" xfId="27055" xr:uid="{C62FA6D5-EB36-487E-A03D-FC4C4E2EA43E}"/>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6831FECA-79A5-46B5-AD87-7C51CE2AC7FD}"/>
    <cellStyle name="Currency 5 2 6 3 2 2 3" xfId="25390" xr:uid="{32DC829E-3EA3-401D-9F3F-746102FBE998}"/>
    <cellStyle name="Currency 5 2 6 3 2 2 4" xfId="33830" xr:uid="{7E53269F-8EE5-42F9-92C3-2ADA1DC697E2}"/>
    <cellStyle name="Currency 5 2 6 3 2 3" xfId="12732" xr:uid="{78F0E387-7A7F-48BB-93D2-E865F442B4CD}"/>
    <cellStyle name="Currency 5 2 6 3 2 4" xfId="21173" xr:uid="{806A14AC-2AC7-487D-9481-36807E489DEB}"/>
    <cellStyle name="Currency 5 2 6 3 2 5" xfId="29613" xr:uid="{9FA4B761-9840-4967-B73F-32DFFF9A8425}"/>
    <cellStyle name="Currency 5 2 6 3 3" xfId="5478" xr:uid="{00000000-0005-0000-0000-0000700C0000}"/>
    <cellStyle name="Currency 5 2 6 3 3 2" xfId="14804" xr:uid="{160A72BD-3115-4E82-AA62-C0B2728A88F3}"/>
    <cellStyle name="Currency 5 2 6 3 3 3" xfId="23245" xr:uid="{491F1A24-0345-4169-8FE4-C7ACF53EE58A}"/>
    <cellStyle name="Currency 5 2 6 3 3 4" xfId="31685" xr:uid="{020BAE6E-C037-4654-B034-1367BE3B97CD}"/>
    <cellStyle name="Currency 5 2 6 3 4" xfId="10587" xr:uid="{4E60E24C-D69B-45C1-B61E-189F7540BDDC}"/>
    <cellStyle name="Currency 5 2 6 3 5" xfId="19028" xr:uid="{8D4066A1-8367-4276-BC5F-77FB7DEC90EA}"/>
    <cellStyle name="Currency 5 2 6 3 6" xfId="27468" xr:uid="{06B6C4A6-C942-42B9-9367-F236C2341858}"/>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75FE5548-FF4F-4D32-898A-97E345051574}"/>
    <cellStyle name="Currency 5 2 6 4 2 2 3" xfId="25803" xr:uid="{B7BED8FB-E606-48A7-A25A-31BBEEACA90A}"/>
    <cellStyle name="Currency 5 2 6 4 2 2 4" xfId="34243" xr:uid="{0163DA4F-4204-46D7-97FC-A07F6F89F6F9}"/>
    <cellStyle name="Currency 5 2 6 4 2 3" xfId="13145" xr:uid="{4F0EE1D0-B43E-4984-877A-C0D25A6B6AFF}"/>
    <cellStyle name="Currency 5 2 6 4 2 4" xfId="21586" xr:uid="{4FD51549-554F-4C93-B94C-EB517878B204}"/>
    <cellStyle name="Currency 5 2 6 4 2 5" xfId="30026" xr:uid="{B0C3C4AF-A404-4341-9CA6-D9C4792C0A1A}"/>
    <cellStyle name="Currency 5 2 6 4 3" xfId="5891" xr:uid="{00000000-0005-0000-0000-0000740C0000}"/>
    <cellStyle name="Currency 5 2 6 4 3 2" xfId="15217" xr:uid="{DBACCA49-4857-4440-9DF5-74A85E25567E}"/>
    <cellStyle name="Currency 5 2 6 4 3 3" xfId="23658" xr:uid="{4DAEF9C5-9325-46B3-A969-42E1D27AA2A7}"/>
    <cellStyle name="Currency 5 2 6 4 3 4" xfId="32098" xr:uid="{5A9F46BB-6890-4D58-B0BD-633C1548CA10}"/>
    <cellStyle name="Currency 5 2 6 4 4" xfId="11000" xr:uid="{1815F324-A1A5-403C-9E67-7B684711BC6F}"/>
    <cellStyle name="Currency 5 2 6 4 5" xfId="19441" xr:uid="{4259ED4F-1A00-476D-9730-28D2BAB1BD2D}"/>
    <cellStyle name="Currency 5 2 6 4 6" xfId="27881" xr:uid="{A5428F1E-848C-4927-B644-39E653D028B1}"/>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FF9C4019-2822-4DE9-8CF4-248827BDDA3C}"/>
    <cellStyle name="Currency 5 2 6 5 2 2 3" xfId="26216" xr:uid="{50EC66E6-ACBB-4CCE-9529-CF7F38746C7B}"/>
    <cellStyle name="Currency 5 2 6 5 2 2 4" xfId="34656" xr:uid="{05001472-9BD3-4DCD-AA24-C175F38FE8A0}"/>
    <cellStyle name="Currency 5 2 6 5 2 3" xfId="13558" xr:uid="{1D9E7B0E-E4FD-47DE-8291-2666664F2F1E}"/>
    <cellStyle name="Currency 5 2 6 5 2 4" xfId="21999" xr:uid="{02A2D3A1-93FA-48FD-9C73-60C3A23BD473}"/>
    <cellStyle name="Currency 5 2 6 5 2 5" xfId="30439" xr:uid="{D44794F7-8356-4E70-A05F-2336430CC945}"/>
    <cellStyle name="Currency 5 2 6 5 3" xfId="6304" xr:uid="{00000000-0005-0000-0000-0000780C0000}"/>
    <cellStyle name="Currency 5 2 6 5 3 2" xfId="15630" xr:uid="{57C6A39D-C7F4-45BE-A981-5E48DC17C29E}"/>
    <cellStyle name="Currency 5 2 6 5 3 3" xfId="24071" xr:uid="{0A595A81-6C6D-4EB9-8B63-BF8032685A3D}"/>
    <cellStyle name="Currency 5 2 6 5 3 4" xfId="32511" xr:uid="{C373D335-3316-4FE2-81D6-A8D66A4C97CB}"/>
    <cellStyle name="Currency 5 2 6 5 4" xfId="11413" xr:uid="{F633D5D9-50AD-4B6C-8619-9BD99186D616}"/>
    <cellStyle name="Currency 5 2 6 5 5" xfId="19854" xr:uid="{0A326386-CF6D-4ED6-97FF-25F7125ACA91}"/>
    <cellStyle name="Currency 5 2 6 5 6" xfId="28294" xr:uid="{B6E5ADD9-77F7-4972-B983-CE28CA6EAC3B}"/>
    <cellStyle name="Currency 5 2 6 6" xfId="2433" xr:uid="{00000000-0005-0000-0000-0000790C0000}"/>
    <cellStyle name="Currency 5 2 6 6 2" xfId="6717" xr:uid="{00000000-0005-0000-0000-00007A0C0000}"/>
    <cellStyle name="Currency 5 2 6 6 2 2" xfId="16043" xr:uid="{E70C273F-CB24-4F29-B057-6412340C23E1}"/>
    <cellStyle name="Currency 5 2 6 6 2 3" xfId="24484" xr:uid="{7C9D4E86-5062-4D88-9188-3D3BD6910C1C}"/>
    <cellStyle name="Currency 5 2 6 6 2 4" xfId="32924" xr:uid="{81E0A900-E080-4125-8204-539BB13AEAC2}"/>
    <cellStyle name="Currency 5 2 6 6 3" xfId="11826" xr:uid="{6537A43D-60DE-42D5-8E88-D70F8456320E}"/>
    <cellStyle name="Currency 5 2 6 6 4" xfId="20267" xr:uid="{5CFCFD4C-D642-4F20-8717-F414B7E26B54}"/>
    <cellStyle name="Currency 5 2 6 6 5" xfId="28707" xr:uid="{8A060B92-1AC4-4608-8508-2C408A654663}"/>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B25A7CE4-FD77-4C21-8270-6CAD68ADD40B}"/>
    <cellStyle name="Currency 5 2 6 8 2 3" xfId="24801" xr:uid="{0E00794E-8288-402A-8A7F-2ED2222476FA}"/>
    <cellStyle name="Currency 5 2 6 8 2 4" xfId="33241" xr:uid="{1DA75B0C-EA2F-4415-BC83-7476A08CF33B}"/>
    <cellStyle name="Currency 5 2 6 8 3" xfId="12143" xr:uid="{1A37E277-709C-4427-BB73-9A1162AFC0B3}"/>
    <cellStyle name="Currency 5 2 6 8 4" xfId="20584" xr:uid="{AB4AD948-CC05-4E1C-925E-CA42F6E11BD3}"/>
    <cellStyle name="Currency 5 2 6 8 5" xfId="29024" xr:uid="{C5E8F565-E269-4242-B74B-B315D74BFFDD}"/>
    <cellStyle name="Currency 5 2 6 9" xfId="4651" xr:uid="{00000000-0005-0000-0000-00007E0C0000}"/>
    <cellStyle name="Currency 5 2 6 9 2" xfId="13977" xr:uid="{8B654C4E-414C-4D2B-87EE-A115A5467C3C}"/>
    <cellStyle name="Currency 5 2 6 9 3" xfId="22418" xr:uid="{6FDA718D-0210-473B-998B-64A56824D53F}"/>
    <cellStyle name="Currency 5 2 6 9 4" xfId="30858" xr:uid="{C69B71FC-C29D-43DB-9506-04020E834DA3}"/>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110C7BF4-330C-4686-BA77-AFEC899B7860}"/>
    <cellStyle name="Currency 5 3 2 10 2 3" xfId="24802" xr:uid="{17DCE79A-5CCD-4423-88D6-CA817AB03A40}"/>
    <cellStyle name="Currency 5 3 2 10 2 4" xfId="33242" xr:uid="{8DA990A5-E1D2-4CC1-BFB0-0130EA669FAE}"/>
    <cellStyle name="Currency 5 3 2 10 3" xfId="12144" xr:uid="{A1CD0B01-8226-4DDD-9A3A-5D0A0901EEC8}"/>
    <cellStyle name="Currency 5 3 2 10 4" xfId="20585" xr:uid="{C5A84DB4-ABE4-4B47-8248-6EFA69DD1B35}"/>
    <cellStyle name="Currency 5 3 2 10 5" xfId="29025" xr:uid="{4F28CF6B-E993-4F19-812B-B84805CBE988}"/>
    <cellStyle name="Currency 5 3 2 11" xfId="4652" xr:uid="{00000000-0005-0000-0000-0000840C0000}"/>
    <cellStyle name="Currency 5 3 2 11 2" xfId="13978" xr:uid="{CDF36FD3-01C3-4741-A9BF-35E7A4548369}"/>
    <cellStyle name="Currency 5 3 2 11 3" xfId="22419" xr:uid="{4F20F498-54CE-4960-B94D-06FC5ED56AF0}"/>
    <cellStyle name="Currency 5 3 2 11 4" xfId="30859" xr:uid="{2D32BF9F-87E2-4DB0-BF7F-7A368F24CA12}"/>
    <cellStyle name="Currency 5 3 2 12" xfId="8810" xr:uid="{C5234FF9-D509-4CD8-ADA1-D3604CCF3D1F}"/>
    <cellStyle name="Currency 5 3 2 13" xfId="9761" xr:uid="{27DB758D-1F3B-4727-99DD-7A265E016D0A}"/>
    <cellStyle name="Currency 5 3 2 14" xfId="18202" xr:uid="{7708B50E-BB64-43C3-94D8-0D87FD5B2A25}"/>
    <cellStyle name="Currency 5 3 2 15" xfId="26642" xr:uid="{379B9F9D-CDF7-4549-BE52-B4FE96026B27}"/>
    <cellStyle name="Currency 5 3 2 2" xfId="211" xr:uid="{00000000-0005-0000-0000-0000850C0000}"/>
    <cellStyle name="Currency 5 3 2 2 10" xfId="4653" xr:uid="{00000000-0005-0000-0000-0000860C0000}"/>
    <cellStyle name="Currency 5 3 2 2 10 2" xfId="13979" xr:uid="{0E0CF42E-D103-408E-AC7F-B88022516D05}"/>
    <cellStyle name="Currency 5 3 2 2 10 3" xfId="22420" xr:uid="{3B51A31D-229E-4478-9F09-394A06BD068C}"/>
    <cellStyle name="Currency 5 3 2 2 10 4" xfId="30860" xr:uid="{A24EB8F5-C958-4D55-9E11-02D96A1BBC9D}"/>
    <cellStyle name="Currency 5 3 2 2 11" xfId="8913" xr:uid="{FE033F82-2F16-4925-9899-F927AB9AA612}"/>
    <cellStyle name="Currency 5 3 2 2 12" xfId="9762" xr:uid="{E4F342AE-A741-426A-BE66-3CB6BA6D2368}"/>
    <cellStyle name="Currency 5 3 2 2 13" xfId="18203" xr:uid="{B84FB9C3-2F2A-4134-9EFB-22F52D48021B}"/>
    <cellStyle name="Currency 5 3 2 2 14" xfId="26643" xr:uid="{B7CA095F-427E-43C8-AA7B-F685094771CD}"/>
    <cellStyle name="Currency 5 3 2 2 2" xfId="212" xr:uid="{00000000-0005-0000-0000-0000870C0000}"/>
    <cellStyle name="Currency 5 3 2 2 2 10" xfId="9120" xr:uid="{D5536A1F-8418-4CB5-B1E0-470AD716374A}"/>
    <cellStyle name="Currency 5 3 2 2 2 11" xfId="9763" xr:uid="{F302B7E7-E8DD-412D-B071-3EA33A24319F}"/>
    <cellStyle name="Currency 5 3 2 2 2 12" xfId="18204" xr:uid="{02C8D152-459A-4719-A0A3-0AD3D3792F6C}"/>
    <cellStyle name="Currency 5 3 2 2 2 13" xfId="26644" xr:uid="{2BC51D1B-F3E6-482B-BFDE-8A7724939EA9}"/>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7444A8F4-2D1B-4145-94FF-D910374033EE}"/>
    <cellStyle name="Currency 5 3 2 2 2 2 2 2 3" xfId="24980" xr:uid="{1AE3A2A9-3A08-4BF5-AE92-D56726E2EEF2}"/>
    <cellStyle name="Currency 5 3 2 2 2 2 2 2 4" xfId="33420" xr:uid="{7AA891E2-9B2A-4F14-A052-5CF2BF4E61D7}"/>
    <cellStyle name="Currency 5 3 2 2 2 2 2 3" xfId="12322" xr:uid="{BF2EF53B-23C8-4AE7-AE63-78A95D5D5FCE}"/>
    <cellStyle name="Currency 5 3 2 2 2 2 2 4" xfId="20763" xr:uid="{B26BE9C1-244A-4BAE-89FF-9FFE6B55720F}"/>
    <cellStyle name="Currency 5 3 2 2 2 2 2 5" xfId="29203" xr:uid="{3FDDFD34-BF7D-4C58-908A-08410A23860D}"/>
    <cellStyle name="Currency 5 3 2 2 2 2 3" xfId="5068" xr:uid="{00000000-0005-0000-0000-00008B0C0000}"/>
    <cellStyle name="Currency 5 3 2 2 2 2 3 2" xfId="14394" xr:uid="{D11BA4AE-1E99-474A-B57A-24F9040F3237}"/>
    <cellStyle name="Currency 5 3 2 2 2 2 3 3" xfId="22835" xr:uid="{1CB96307-3B91-4CD8-BAE0-CAE9CFCFEE81}"/>
    <cellStyle name="Currency 5 3 2 2 2 2 3 4" xfId="31275" xr:uid="{270940E8-F49D-4830-A226-D0B159594D21}"/>
    <cellStyle name="Currency 5 3 2 2 2 2 4" xfId="9545" xr:uid="{F6C268D6-0334-42F7-AE4F-535ADD09B625}"/>
    <cellStyle name="Currency 5 3 2 2 2 2 5" xfId="10177" xr:uid="{93494076-26EB-42E9-86B5-D84965C33FBC}"/>
    <cellStyle name="Currency 5 3 2 2 2 2 6" xfId="18618" xr:uid="{C56F0900-848F-47D4-BECA-503DC8120692}"/>
    <cellStyle name="Currency 5 3 2 2 2 2 7" xfId="27058" xr:uid="{F18E1FB2-3F06-4883-A96E-2CFE39F5883B}"/>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55C58EB8-6609-4887-B798-9E97C59EDB28}"/>
    <cellStyle name="Currency 5 3 2 2 2 3 2 2 3" xfId="25393" xr:uid="{45C59247-5BDF-4ACF-B5A8-B983C9EB473C}"/>
    <cellStyle name="Currency 5 3 2 2 2 3 2 2 4" xfId="33833" xr:uid="{917E6F69-C10B-4D59-8CAB-A1350BD5ADDD}"/>
    <cellStyle name="Currency 5 3 2 2 2 3 2 3" xfId="12735" xr:uid="{FD63E9A5-C565-46F8-80B5-0CAAD8B0DE7E}"/>
    <cellStyle name="Currency 5 3 2 2 2 3 2 4" xfId="21176" xr:uid="{1651BD6F-6BF6-4619-B12F-08993C93405A}"/>
    <cellStyle name="Currency 5 3 2 2 2 3 2 5" xfId="29616" xr:uid="{1EB3386C-B3A1-44E8-8253-A00066F8F4E3}"/>
    <cellStyle name="Currency 5 3 2 2 2 3 3" xfId="5481" xr:uid="{00000000-0005-0000-0000-00008F0C0000}"/>
    <cellStyle name="Currency 5 3 2 2 2 3 3 2" xfId="14807" xr:uid="{2BB194F5-F4B7-4974-AD6B-4BC607CF8301}"/>
    <cellStyle name="Currency 5 3 2 2 2 3 3 3" xfId="23248" xr:uid="{5AFC4EB7-E58D-492D-8BB8-1F56B5A8AF75}"/>
    <cellStyle name="Currency 5 3 2 2 2 3 3 4" xfId="31688" xr:uid="{2A80AFBA-6BDA-4C2C-B41D-821E42E06314}"/>
    <cellStyle name="Currency 5 3 2 2 2 3 4" xfId="10590" xr:uid="{41AE7D5D-6BB7-46BC-A00A-677F7713D22B}"/>
    <cellStyle name="Currency 5 3 2 2 2 3 5" xfId="19031" xr:uid="{DA3A612D-23C3-471A-A8F1-C4481F44F582}"/>
    <cellStyle name="Currency 5 3 2 2 2 3 6" xfId="27471" xr:uid="{C9A02B98-9559-454E-921D-97941966CCFA}"/>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F1213BD1-B9BB-4986-8ED4-D1D652B5097F}"/>
    <cellStyle name="Currency 5 3 2 2 2 4 2 2 3" xfId="25806" xr:uid="{376F8834-8E29-46BB-8C43-02DA92A3BC4D}"/>
    <cellStyle name="Currency 5 3 2 2 2 4 2 2 4" xfId="34246" xr:uid="{0736B335-4B17-40F1-8D5D-1C143A594247}"/>
    <cellStyle name="Currency 5 3 2 2 2 4 2 3" xfId="13148" xr:uid="{BE490E3C-E6E3-4572-8600-BC86A9331FE9}"/>
    <cellStyle name="Currency 5 3 2 2 2 4 2 4" xfId="21589" xr:uid="{01E01DF9-E4E1-4F90-8835-9B6A70184876}"/>
    <cellStyle name="Currency 5 3 2 2 2 4 2 5" xfId="30029" xr:uid="{DD921615-8B88-42D7-B0C1-4C3AB933F02E}"/>
    <cellStyle name="Currency 5 3 2 2 2 4 3" xfId="5894" xr:uid="{00000000-0005-0000-0000-0000930C0000}"/>
    <cellStyle name="Currency 5 3 2 2 2 4 3 2" xfId="15220" xr:uid="{9739A6C6-FFDA-42AD-839C-146585B5E26B}"/>
    <cellStyle name="Currency 5 3 2 2 2 4 3 3" xfId="23661" xr:uid="{CF5E5A46-5F2D-46CD-B331-EC05F68A721B}"/>
    <cellStyle name="Currency 5 3 2 2 2 4 3 4" xfId="32101" xr:uid="{CFEE8FA0-A28D-4239-B8A7-FF739A4613F8}"/>
    <cellStyle name="Currency 5 3 2 2 2 4 4" xfId="11003" xr:uid="{63E7FF93-D940-4867-84E3-AAA3DAF8776B}"/>
    <cellStyle name="Currency 5 3 2 2 2 4 5" xfId="19444" xr:uid="{10363121-E2AC-44BB-B362-B84266C0BA23}"/>
    <cellStyle name="Currency 5 3 2 2 2 4 6" xfId="27884" xr:uid="{73BAB2F9-2614-4C18-9F98-48EF08BA5C3E}"/>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6E86B887-6D1B-4A6B-B8A2-574B058AF5D0}"/>
    <cellStyle name="Currency 5 3 2 2 2 5 2 2 3" xfId="26219" xr:uid="{B41B20CE-D923-4A27-A752-ADECED246E10}"/>
    <cellStyle name="Currency 5 3 2 2 2 5 2 2 4" xfId="34659" xr:uid="{9134CF6A-72A9-4E64-BAC4-147F3CF672CE}"/>
    <cellStyle name="Currency 5 3 2 2 2 5 2 3" xfId="13561" xr:uid="{93202319-2DC8-42E3-BD05-050BAD406805}"/>
    <cellStyle name="Currency 5 3 2 2 2 5 2 4" xfId="22002" xr:uid="{4A1DB4A7-1873-4191-89AC-6B1AE6337562}"/>
    <cellStyle name="Currency 5 3 2 2 2 5 2 5" xfId="30442" xr:uid="{30B01804-C195-4423-9BF9-A5701D69F2BD}"/>
    <cellStyle name="Currency 5 3 2 2 2 5 3" xfId="6307" xr:uid="{00000000-0005-0000-0000-0000970C0000}"/>
    <cellStyle name="Currency 5 3 2 2 2 5 3 2" xfId="15633" xr:uid="{6E3D112D-4085-4146-8096-5B5915CEC776}"/>
    <cellStyle name="Currency 5 3 2 2 2 5 3 3" xfId="24074" xr:uid="{278E9A5D-4101-475D-9856-A972F8DB6EF3}"/>
    <cellStyle name="Currency 5 3 2 2 2 5 3 4" xfId="32514" xr:uid="{8CACC7D2-690D-41ED-B152-084CA4B127F9}"/>
    <cellStyle name="Currency 5 3 2 2 2 5 4" xfId="11416" xr:uid="{4CC831C0-2237-4C73-8ECB-38B257530552}"/>
    <cellStyle name="Currency 5 3 2 2 2 5 5" xfId="19857" xr:uid="{2E0FA02C-29FA-4978-A20D-7F1A25F3F7FE}"/>
    <cellStyle name="Currency 5 3 2 2 2 5 6" xfId="28297" xr:uid="{DAD7F37D-7DE8-4C20-8DF1-E70B1AABE2F5}"/>
    <cellStyle name="Currency 5 3 2 2 2 6" xfId="2436" xr:uid="{00000000-0005-0000-0000-0000980C0000}"/>
    <cellStyle name="Currency 5 3 2 2 2 6 2" xfId="6720" xr:uid="{00000000-0005-0000-0000-0000990C0000}"/>
    <cellStyle name="Currency 5 3 2 2 2 6 2 2" xfId="16046" xr:uid="{E097FD0A-3DD9-466B-9399-F14AF23CF653}"/>
    <cellStyle name="Currency 5 3 2 2 2 6 2 3" xfId="24487" xr:uid="{0F3F4412-D33A-4633-AC1D-8FC2E5A5D736}"/>
    <cellStyle name="Currency 5 3 2 2 2 6 2 4" xfId="32927" xr:uid="{D2C2DD3D-98C4-420A-83EB-7E7001AA5827}"/>
    <cellStyle name="Currency 5 3 2 2 2 6 3" xfId="11829" xr:uid="{EE49267E-6082-4A35-95CD-F6041491671E}"/>
    <cellStyle name="Currency 5 3 2 2 2 6 4" xfId="20270" xr:uid="{F0CC2633-196B-4491-B1A6-AA5B0C4CCB32}"/>
    <cellStyle name="Currency 5 3 2 2 2 6 5" xfId="28710" xr:uid="{0E654C73-9DEE-45E9-A2EE-9D73B0080A74}"/>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B2755BBE-8573-49B5-B91A-DF9F7FAF2558}"/>
    <cellStyle name="Currency 5 3 2 2 2 8 2 3" xfId="24804" xr:uid="{53E8C8C0-27E4-470E-9F60-9FB5D37D0BB8}"/>
    <cellStyle name="Currency 5 3 2 2 2 8 2 4" xfId="33244" xr:uid="{F6452096-8F6E-4141-9B25-1298EBCF6E96}"/>
    <cellStyle name="Currency 5 3 2 2 2 8 3" xfId="12146" xr:uid="{5DF14AD3-89F2-4E00-B960-737CC3FB349A}"/>
    <cellStyle name="Currency 5 3 2 2 2 8 4" xfId="20587" xr:uid="{EE8FAC7B-9686-4897-AD56-C7C8581345A0}"/>
    <cellStyle name="Currency 5 3 2 2 2 8 5" xfId="29027" xr:uid="{AEDACAC2-EE8F-439D-A887-16470A723C06}"/>
    <cellStyle name="Currency 5 3 2 2 2 9" xfId="4654" xr:uid="{00000000-0005-0000-0000-00009D0C0000}"/>
    <cellStyle name="Currency 5 3 2 2 2 9 2" xfId="13980" xr:uid="{BC58EF78-58F6-4A1C-8CB3-9F77FE0AD973}"/>
    <cellStyle name="Currency 5 3 2 2 2 9 3" xfId="22421" xr:uid="{D1FFFF15-548D-4EC1-A42A-EB96DA18343A}"/>
    <cellStyle name="Currency 5 3 2 2 2 9 4" xfId="30861" xr:uid="{2356C088-F727-47D5-90D7-EBDEF5D97F77}"/>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60E12CB0-5C77-4FF0-BB8B-446EE200CD95}"/>
    <cellStyle name="Currency 5 3 2 2 3 2 2 3" xfId="24979" xr:uid="{B4E4EA34-7FFE-4FAF-ADA2-0489AB6FC74A}"/>
    <cellStyle name="Currency 5 3 2 2 3 2 2 4" xfId="33419" xr:uid="{ADF7D5A4-238E-4B9A-B1D9-086B5393F39E}"/>
    <cellStyle name="Currency 5 3 2 2 3 2 3" xfId="12321" xr:uid="{BF1EE2AE-841C-4B3A-92CE-B6255D8738E6}"/>
    <cellStyle name="Currency 5 3 2 2 3 2 4" xfId="20762" xr:uid="{A591D567-9E6A-42BA-83A4-37F0BC8BEBD7}"/>
    <cellStyle name="Currency 5 3 2 2 3 2 5" xfId="29202" xr:uid="{8F1265AE-8335-4A60-BADB-8F79DA5DC72D}"/>
    <cellStyle name="Currency 5 3 2 2 3 3" xfId="5067" xr:uid="{00000000-0005-0000-0000-0000A10C0000}"/>
    <cellStyle name="Currency 5 3 2 2 3 3 2" xfId="14393" xr:uid="{7EB11A77-5A02-406D-8432-6FE18F0C7E4D}"/>
    <cellStyle name="Currency 5 3 2 2 3 3 3" xfId="22834" xr:uid="{3D3B4EC9-8C83-43BC-A2DC-E05F9CE91ABE}"/>
    <cellStyle name="Currency 5 3 2 2 3 3 4" xfId="31274" xr:uid="{441421B6-FA50-4644-9C11-200EF28AE3C3}"/>
    <cellStyle name="Currency 5 3 2 2 3 4" xfId="9338" xr:uid="{E79296CA-9516-4DDA-84B2-A3B13AAA9D9D}"/>
    <cellStyle name="Currency 5 3 2 2 3 5" xfId="10176" xr:uid="{88875741-8E70-4058-9DCC-A5D3EB10E090}"/>
    <cellStyle name="Currency 5 3 2 2 3 6" xfId="18617" xr:uid="{2BE514C2-171B-4A56-B697-B1053CCAE112}"/>
    <cellStyle name="Currency 5 3 2 2 3 7" xfId="27057" xr:uid="{17BEA3F0-B1E4-403C-BD3F-1923AC7846F5}"/>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7C3231E0-7ACE-425C-968A-D2E3FDE695BD}"/>
    <cellStyle name="Currency 5 3 2 2 4 2 2 3" xfId="25392" xr:uid="{071CD9B1-701C-4ED5-8176-A23DDE842EDA}"/>
    <cellStyle name="Currency 5 3 2 2 4 2 2 4" xfId="33832" xr:uid="{89BAD825-6974-4355-97D4-87A6BDBF4D0D}"/>
    <cellStyle name="Currency 5 3 2 2 4 2 3" xfId="12734" xr:uid="{2284EFB9-F85A-42A8-B17E-66DE56EF43CD}"/>
    <cellStyle name="Currency 5 3 2 2 4 2 4" xfId="21175" xr:uid="{6379E575-C75A-46F5-B82F-3F2F47C0CE9A}"/>
    <cellStyle name="Currency 5 3 2 2 4 2 5" xfId="29615" xr:uid="{76BC2AB8-56B9-4C1A-BD1B-A14754E55DF4}"/>
    <cellStyle name="Currency 5 3 2 2 4 3" xfId="5480" xr:uid="{00000000-0005-0000-0000-0000A50C0000}"/>
    <cellStyle name="Currency 5 3 2 2 4 3 2" xfId="14806" xr:uid="{18075921-5B20-4FB2-AB23-401247D4713C}"/>
    <cellStyle name="Currency 5 3 2 2 4 3 3" xfId="23247" xr:uid="{ABFF60E3-F336-408A-A303-FFA6FF9DEFB8}"/>
    <cellStyle name="Currency 5 3 2 2 4 3 4" xfId="31687" xr:uid="{76DBE7CF-EB35-4AA2-A995-4EAFC766A4FD}"/>
    <cellStyle name="Currency 5 3 2 2 4 4" xfId="10589" xr:uid="{B3BF4D0F-5F51-4B30-862E-81B5B535C654}"/>
    <cellStyle name="Currency 5 3 2 2 4 5" xfId="19030" xr:uid="{DEC12EA5-855C-4A8B-A61D-D61CB755DFF5}"/>
    <cellStyle name="Currency 5 3 2 2 4 6" xfId="27470" xr:uid="{44565DF3-6675-4789-9F4F-786023B0B9B4}"/>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AAB7A6B3-8300-4335-98F9-B499A1BFC744}"/>
    <cellStyle name="Currency 5 3 2 2 5 2 2 3" xfId="25805" xr:uid="{A0F63F11-FE2F-4899-B0AB-80F6029F2FF6}"/>
    <cellStyle name="Currency 5 3 2 2 5 2 2 4" xfId="34245" xr:uid="{E8863955-D3A2-43B1-828F-61E2A868A013}"/>
    <cellStyle name="Currency 5 3 2 2 5 2 3" xfId="13147" xr:uid="{FB4410B7-7BC3-4977-8C05-FBFECFCFB1B4}"/>
    <cellStyle name="Currency 5 3 2 2 5 2 4" xfId="21588" xr:uid="{229DE6BD-DB74-4F00-B9F4-4133E6A418D0}"/>
    <cellStyle name="Currency 5 3 2 2 5 2 5" xfId="30028" xr:uid="{44187305-AE4E-41D9-B9B3-6870189B4326}"/>
    <cellStyle name="Currency 5 3 2 2 5 3" xfId="5893" xr:uid="{00000000-0005-0000-0000-0000A90C0000}"/>
    <cellStyle name="Currency 5 3 2 2 5 3 2" xfId="15219" xr:uid="{0E824499-36C7-43F2-9D02-1CDBDCBEF0D3}"/>
    <cellStyle name="Currency 5 3 2 2 5 3 3" xfId="23660" xr:uid="{CC9DC0FE-C1C3-4486-A397-06C05D8F633A}"/>
    <cellStyle name="Currency 5 3 2 2 5 3 4" xfId="32100" xr:uid="{05CFCF4C-FE5B-40E4-BD9D-ECE1A3AA5DDA}"/>
    <cellStyle name="Currency 5 3 2 2 5 4" xfId="11002" xr:uid="{B59EF66F-9DB4-4697-ADE4-38B3F40E79F9}"/>
    <cellStyle name="Currency 5 3 2 2 5 5" xfId="19443" xr:uid="{CC14706B-8CC5-4941-A212-D74A2AE3DE4B}"/>
    <cellStyle name="Currency 5 3 2 2 5 6" xfId="27883" xr:uid="{3102B322-E2F9-4294-99B2-633F28FFC37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6FD0F8A7-CC7E-4B68-BFB5-84434A7A1051}"/>
    <cellStyle name="Currency 5 3 2 2 6 2 2 3" xfId="26218" xr:uid="{5489F774-F259-444B-8573-22DC79A4B0FD}"/>
    <cellStyle name="Currency 5 3 2 2 6 2 2 4" xfId="34658" xr:uid="{4B22D124-B75D-4CF9-B77B-6423ED8C3DFB}"/>
    <cellStyle name="Currency 5 3 2 2 6 2 3" xfId="13560" xr:uid="{587E6358-D5D7-4404-A1CE-484220B4BE9F}"/>
    <cellStyle name="Currency 5 3 2 2 6 2 4" xfId="22001" xr:uid="{FEFF54B1-D242-45E2-99C0-E267AC9316CB}"/>
    <cellStyle name="Currency 5 3 2 2 6 2 5" xfId="30441" xr:uid="{28A7EED1-8A56-49B9-A271-CE44D82E34DC}"/>
    <cellStyle name="Currency 5 3 2 2 6 3" xfId="6306" xr:uid="{00000000-0005-0000-0000-0000AD0C0000}"/>
    <cellStyle name="Currency 5 3 2 2 6 3 2" xfId="15632" xr:uid="{0B4382EF-B6DD-4C69-B1B7-83CF5A0D3169}"/>
    <cellStyle name="Currency 5 3 2 2 6 3 3" xfId="24073" xr:uid="{8C1F3BDA-21DE-4B9C-B096-5B539A0AC05F}"/>
    <cellStyle name="Currency 5 3 2 2 6 3 4" xfId="32513" xr:uid="{1F82DB39-B4FB-4CC8-8DC6-5C1A4B327E7D}"/>
    <cellStyle name="Currency 5 3 2 2 6 4" xfId="11415" xr:uid="{92112CB0-0228-4242-899F-B16E3B413F70}"/>
    <cellStyle name="Currency 5 3 2 2 6 5" xfId="19856" xr:uid="{21A151F0-1504-4506-A845-41485F419BD8}"/>
    <cellStyle name="Currency 5 3 2 2 6 6" xfId="28296" xr:uid="{878E2162-AED5-4137-B310-B43EB3E422E3}"/>
    <cellStyle name="Currency 5 3 2 2 7" xfId="2435" xr:uid="{00000000-0005-0000-0000-0000AE0C0000}"/>
    <cellStyle name="Currency 5 3 2 2 7 2" xfId="6719" xr:uid="{00000000-0005-0000-0000-0000AF0C0000}"/>
    <cellStyle name="Currency 5 3 2 2 7 2 2" xfId="16045" xr:uid="{16A49DBA-C001-4327-90F2-57E6FB620894}"/>
    <cellStyle name="Currency 5 3 2 2 7 2 3" xfId="24486" xr:uid="{E905BCC5-B693-44B8-9E71-DCD86E49EF83}"/>
    <cellStyle name="Currency 5 3 2 2 7 2 4" xfId="32926" xr:uid="{0A6EC9D6-C736-45D4-8B19-C8DF5D8229C7}"/>
    <cellStyle name="Currency 5 3 2 2 7 3" xfId="11828" xr:uid="{41C103E3-D2B1-4DCF-BC52-826313A8842B}"/>
    <cellStyle name="Currency 5 3 2 2 7 4" xfId="20269" xr:uid="{55DDC85B-B958-45F2-A8A8-EC1B80FBF361}"/>
    <cellStyle name="Currency 5 3 2 2 7 5" xfId="28709" xr:uid="{186DEE13-9EFD-4BF3-8F1C-E0F4EF8F4897}"/>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20534B3F-5F16-41DB-B0C1-63FE241A3F05}"/>
    <cellStyle name="Currency 5 3 2 2 9 2 3" xfId="24803" xr:uid="{6EF4629E-94B0-4EA6-94C2-13AEA9075B2B}"/>
    <cellStyle name="Currency 5 3 2 2 9 2 4" xfId="33243" xr:uid="{12F5E822-5760-4018-8E82-CB3B07C0AA2A}"/>
    <cellStyle name="Currency 5 3 2 2 9 3" xfId="12145" xr:uid="{2D563665-49BD-413C-AAED-81133C103C0F}"/>
    <cellStyle name="Currency 5 3 2 2 9 4" xfId="20586" xr:uid="{B03D7045-E2D9-4C89-A52B-BE0160ED6262}"/>
    <cellStyle name="Currency 5 3 2 2 9 5" xfId="29026" xr:uid="{F7B3E179-765E-4A74-BD76-7DFE879E1B23}"/>
    <cellStyle name="Currency 5 3 2 3" xfId="213" xr:uid="{00000000-0005-0000-0000-0000B30C0000}"/>
    <cellStyle name="Currency 5 3 2 3 10" xfId="9017" xr:uid="{A6213F8D-EE09-4095-B9BE-99C55DEE210F}"/>
    <cellStyle name="Currency 5 3 2 3 11" xfId="9764" xr:uid="{95171F80-90EB-4625-AB3A-331F47855D3E}"/>
    <cellStyle name="Currency 5 3 2 3 12" xfId="18205" xr:uid="{AB17CB4E-465C-45FE-81B0-4EEC5AA11735}"/>
    <cellStyle name="Currency 5 3 2 3 13" xfId="26645" xr:uid="{0A1DD127-925E-4CDD-8D54-EBE651A0092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9D74B2AC-6780-4A4B-96C9-0EA181A6CA16}"/>
    <cellStyle name="Currency 5 3 2 3 2 2 2 3" xfId="24981" xr:uid="{80143FF1-268D-4FAD-97ED-8532ACFBF34A}"/>
    <cellStyle name="Currency 5 3 2 3 2 2 2 4" xfId="33421" xr:uid="{56BD9AE9-3A66-4EBC-AE54-F1E43CB24AF1}"/>
    <cellStyle name="Currency 5 3 2 3 2 2 3" xfId="12323" xr:uid="{3129B514-0D59-48EA-9D44-93962C4553A6}"/>
    <cellStyle name="Currency 5 3 2 3 2 2 4" xfId="20764" xr:uid="{50E88C7D-689B-47BF-9F47-DD3C9F41D1A5}"/>
    <cellStyle name="Currency 5 3 2 3 2 2 5" xfId="29204" xr:uid="{DC850B46-DE54-44B4-8AE0-A1965C3AAD6B}"/>
    <cellStyle name="Currency 5 3 2 3 2 3" xfId="5069" xr:uid="{00000000-0005-0000-0000-0000B70C0000}"/>
    <cellStyle name="Currency 5 3 2 3 2 3 2" xfId="14395" xr:uid="{9EF7FAA4-D091-4A5C-BAAA-E192BD96407F}"/>
    <cellStyle name="Currency 5 3 2 3 2 3 3" xfId="22836" xr:uid="{3982DA20-127D-4678-B43C-75BD257683CA}"/>
    <cellStyle name="Currency 5 3 2 3 2 3 4" xfId="31276" xr:uid="{632BB342-1361-49C5-A9D8-F0C03CF4F199}"/>
    <cellStyle name="Currency 5 3 2 3 2 4" xfId="9442" xr:uid="{AE48BD1F-B5DA-4007-BBEE-128FE2FE74D7}"/>
    <cellStyle name="Currency 5 3 2 3 2 5" xfId="10178" xr:uid="{9BE51466-DFED-4581-8A3D-46975C720F63}"/>
    <cellStyle name="Currency 5 3 2 3 2 6" xfId="18619" xr:uid="{DAB365B4-5959-4FA5-AE10-AFD51E576E68}"/>
    <cellStyle name="Currency 5 3 2 3 2 7" xfId="27059" xr:uid="{3C184B00-5811-4D7F-A6B6-629DDFEF0369}"/>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5EB70013-BA2C-4CE3-B18B-D7BD6437DD5B}"/>
    <cellStyle name="Currency 5 3 2 3 3 2 2 3" xfId="25394" xr:uid="{B7C1EF10-4943-44BF-9002-F8BC7E463C45}"/>
    <cellStyle name="Currency 5 3 2 3 3 2 2 4" xfId="33834" xr:uid="{7B9D0A41-D118-4E59-ABBD-0F31784E406C}"/>
    <cellStyle name="Currency 5 3 2 3 3 2 3" xfId="12736" xr:uid="{C86B7EB9-0FD3-4E0C-BAE5-1614829A8628}"/>
    <cellStyle name="Currency 5 3 2 3 3 2 4" xfId="21177" xr:uid="{B8E1B68B-3851-46A1-A32B-5F50F1BB6CD9}"/>
    <cellStyle name="Currency 5 3 2 3 3 2 5" xfId="29617" xr:uid="{1F7C148A-466C-4EAE-901C-11E34AE81983}"/>
    <cellStyle name="Currency 5 3 2 3 3 3" xfId="5482" xr:uid="{00000000-0005-0000-0000-0000BB0C0000}"/>
    <cellStyle name="Currency 5 3 2 3 3 3 2" xfId="14808" xr:uid="{9ED4B446-F0F2-43B5-BF1F-991CBDA9C989}"/>
    <cellStyle name="Currency 5 3 2 3 3 3 3" xfId="23249" xr:uid="{AFCEE19F-DA1C-4E5F-935E-79D991C579A0}"/>
    <cellStyle name="Currency 5 3 2 3 3 3 4" xfId="31689" xr:uid="{0DB3A05C-C704-4AEE-B2E3-19E7BF01C493}"/>
    <cellStyle name="Currency 5 3 2 3 3 4" xfId="10591" xr:uid="{4F2FB455-6DFD-4FF4-88AC-46BDDB35BE1C}"/>
    <cellStyle name="Currency 5 3 2 3 3 5" xfId="19032" xr:uid="{CF4FB87F-158E-43DF-868D-48DFE055D3B0}"/>
    <cellStyle name="Currency 5 3 2 3 3 6" xfId="27472" xr:uid="{EE238E4F-3D7B-42FF-B3FD-AC5C5711CCAF}"/>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2CA7C1A2-BA5A-4A65-B389-31CA48C488EC}"/>
    <cellStyle name="Currency 5 3 2 3 4 2 2 3" xfId="25807" xr:uid="{3F78C357-9B39-4275-9D0D-DCE922882820}"/>
    <cellStyle name="Currency 5 3 2 3 4 2 2 4" xfId="34247" xr:uid="{AC4CD71E-26F7-4C37-B05B-C55EB2881443}"/>
    <cellStyle name="Currency 5 3 2 3 4 2 3" xfId="13149" xr:uid="{3F36E936-0190-4B7E-9D33-43FDB8C0D159}"/>
    <cellStyle name="Currency 5 3 2 3 4 2 4" xfId="21590" xr:uid="{4455024B-88B0-4033-9D17-C17A002EE34C}"/>
    <cellStyle name="Currency 5 3 2 3 4 2 5" xfId="30030" xr:uid="{29987FEF-566A-478A-84AE-5EEC10E8927B}"/>
    <cellStyle name="Currency 5 3 2 3 4 3" xfId="5895" xr:uid="{00000000-0005-0000-0000-0000BF0C0000}"/>
    <cellStyle name="Currency 5 3 2 3 4 3 2" xfId="15221" xr:uid="{805DF768-3E34-4C14-8230-E3586A2FD61B}"/>
    <cellStyle name="Currency 5 3 2 3 4 3 3" xfId="23662" xr:uid="{A0D11D44-7119-47DE-92AA-39BD6F237EB5}"/>
    <cellStyle name="Currency 5 3 2 3 4 3 4" xfId="32102" xr:uid="{DE519BD8-516E-44C8-97AF-33E2465647F3}"/>
    <cellStyle name="Currency 5 3 2 3 4 4" xfId="11004" xr:uid="{C799ACF5-9EB0-43B2-8DB2-95FA9028F1E4}"/>
    <cellStyle name="Currency 5 3 2 3 4 5" xfId="19445" xr:uid="{11A591B3-DC33-4D0F-AFC2-C8C6805E8510}"/>
    <cellStyle name="Currency 5 3 2 3 4 6" xfId="27885" xr:uid="{5AA36D7A-E34A-465F-A7A8-31A77B01B9BE}"/>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12BC5B0B-CF79-4D06-BE4C-F11F7E2C4559}"/>
    <cellStyle name="Currency 5 3 2 3 5 2 2 3" xfId="26220" xr:uid="{28137862-98F5-4152-96DF-46D724D2EE56}"/>
    <cellStyle name="Currency 5 3 2 3 5 2 2 4" xfId="34660" xr:uid="{09AF0F3A-94D1-45B6-ACAE-A04CF4E1AB50}"/>
    <cellStyle name="Currency 5 3 2 3 5 2 3" xfId="13562" xr:uid="{4DE4D8E4-7A0D-4A0B-8839-7F1DB688D57E}"/>
    <cellStyle name="Currency 5 3 2 3 5 2 4" xfId="22003" xr:uid="{EAC2A626-FC3A-4D36-8E79-758FBBCCD1B0}"/>
    <cellStyle name="Currency 5 3 2 3 5 2 5" xfId="30443" xr:uid="{6D6762B9-CBBE-4AC8-91EA-CB5B522B2EC9}"/>
    <cellStyle name="Currency 5 3 2 3 5 3" xfId="6308" xr:uid="{00000000-0005-0000-0000-0000C30C0000}"/>
    <cellStyle name="Currency 5 3 2 3 5 3 2" xfId="15634" xr:uid="{3E5FCE49-2CD5-4A16-B505-D6912491D2A1}"/>
    <cellStyle name="Currency 5 3 2 3 5 3 3" xfId="24075" xr:uid="{06358399-C87A-45FA-96F0-B32486589F43}"/>
    <cellStyle name="Currency 5 3 2 3 5 3 4" xfId="32515" xr:uid="{01BEBED3-7733-475E-9BCE-3FAF4B177327}"/>
    <cellStyle name="Currency 5 3 2 3 5 4" xfId="11417" xr:uid="{1D29FE99-E99F-48A2-A4DD-EFE810E689DB}"/>
    <cellStyle name="Currency 5 3 2 3 5 5" xfId="19858" xr:uid="{89B4C338-349E-4CE1-AE2A-C43F8F48BB57}"/>
    <cellStyle name="Currency 5 3 2 3 5 6" xfId="28298" xr:uid="{8273C939-3D73-4CDB-ADF0-919CE2CD2254}"/>
    <cellStyle name="Currency 5 3 2 3 6" xfId="2437" xr:uid="{00000000-0005-0000-0000-0000C40C0000}"/>
    <cellStyle name="Currency 5 3 2 3 6 2" xfId="6721" xr:uid="{00000000-0005-0000-0000-0000C50C0000}"/>
    <cellStyle name="Currency 5 3 2 3 6 2 2" xfId="16047" xr:uid="{112845A0-002F-404A-9930-BA85ABAC62FC}"/>
    <cellStyle name="Currency 5 3 2 3 6 2 3" xfId="24488" xr:uid="{916A7753-A4E8-4033-9852-FCDBD2948E20}"/>
    <cellStyle name="Currency 5 3 2 3 6 2 4" xfId="32928" xr:uid="{9D5F4393-E6F4-4E27-9FDD-4354D2DFF9FD}"/>
    <cellStyle name="Currency 5 3 2 3 6 3" xfId="11830" xr:uid="{DC004B53-1BE4-41D1-B375-4BE5D63945DD}"/>
    <cellStyle name="Currency 5 3 2 3 6 4" xfId="20271" xr:uid="{82F0FD6F-4146-45F2-BF11-8FFAC8F21684}"/>
    <cellStyle name="Currency 5 3 2 3 6 5" xfId="28711" xr:uid="{0F957F83-393C-4649-96E9-BF1E23B19D9E}"/>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415DEADA-533F-4904-B691-2CAAD0E49506}"/>
    <cellStyle name="Currency 5 3 2 3 8 2 3" xfId="24805" xr:uid="{A81D44B3-54FB-412B-8030-CC14F13BAF51}"/>
    <cellStyle name="Currency 5 3 2 3 8 2 4" xfId="33245" xr:uid="{601F977C-6832-45C0-AF01-4974B9BA0DFA}"/>
    <cellStyle name="Currency 5 3 2 3 8 3" xfId="12147" xr:uid="{90718D9C-977B-4F70-8164-521D3611BF1A}"/>
    <cellStyle name="Currency 5 3 2 3 8 4" xfId="20588" xr:uid="{7471EC87-911B-418F-97BE-23DE1887E647}"/>
    <cellStyle name="Currency 5 3 2 3 8 5" xfId="29028" xr:uid="{2EE1D9F4-6131-437F-9557-8ABD4B670D7E}"/>
    <cellStyle name="Currency 5 3 2 3 9" xfId="4655" xr:uid="{00000000-0005-0000-0000-0000C90C0000}"/>
    <cellStyle name="Currency 5 3 2 3 9 2" xfId="13981" xr:uid="{7F36E2BD-D2EC-4684-9137-19EE18A19AE5}"/>
    <cellStyle name="Currency 5 3 2 3 9 3" xfId="22422" xr:uid="{715A2A91-D87D-4C3D-82E8-6170D98041D9}"/>
    <cellStyle name="Currency 5 3 2 3 9 4" xfId="30862" xr:uid="{5603F41F-ECD5-426C-B63E-DCE11CEF62A8}"/>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91501D2A-CD51-42D9-BA82-AE9E589CEB79}"/>
    <cellStyle name="Currency 5 3 2 4 2 2 3" xfId="24978" xr:uid="{8E4D7D42-5256-4F9D-887B-269B8280F13A}"/>
    <cellStyle name="Currency 5 3 2 4 2 2 4" xfId="33418" xr:uid="{587EBF0A-439E-48A0-9E4B-D682EC0E6466}"/>
    <cellStyle name="Currency 5 3 2 4 2 3" xfId="12320" xr:uid="{B98FF1B2-ADAA-416D-92BC-F247B0905A4C}"/>
    <cellStyle name="Currency 5 3 2 4 2 4" xfId="20761" xr:uid="{ED9894B6-FADC-4226-AEEE-FB62446B3DD7}"/>
    <cellStyle name="Currency 5 3 2 4 2 5" xfId="29201" xr:uid="{962F7BF1-ED48-4C9C-8579-662F32C3084E}"/>
    <cellStyle name="Currency 5 3 2 4 3" xfId="5066" xr:uid="{00000000-0005-0000-0000-0000CD0C0000}"/>
    <cellStyle name="Currency 5 3 2 4 3 2" xfId="14392" xr:uid="{3A378C56-9E9B-4DAD-84C8-CC58F3ADD61E}"/>
    <cellStyle name="Currency 5 3 2 4 3 3" xfId="22833" xr:uid="{1E7B9E5C-E1F6-4F35-985D-0825951E114E}"/>
    <cellStyle name="Currency 5 3 2 4 3 4" xfId="31273" xr:uid="{3931A8B8-9651-4043-B7E5-3EC6BEEFCA02}"/>
    <cellStyle name="Currency 5 3 2 4 4" xfId="9235" xr:uid="{F2FD4117-6EF1-4663-964A-AB5B57E6F469}"/>
    <cellStyle name="Currency 5 3 2 4 5" xfId="10175" xr:uid="{5894ECE2-6D69-412C-923D-62528F1A3F59}"/>
    <cellStyle name="Currency 5 3 2 4 6" xfId="18616" xr:uid="{9322D496-6972-4EAA-9843-943B39EA8C2C}"/>
    <cellStyle name="Currency 5 3 2 4 7" xfId="27056" xr:uid="{2DA7F6EA-FB14-4A9B-A46F-09EFDAC941C7}"/>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466CAC16-353A-42F7-9202-222D0372207F}"/>
    <cellStyle name="Currency 5 3 2 5 2 2 3" xfId="25391" xr:uid="{7C310D6A-C77C-4C91-B279-CB93FB8AD3B7}"/>
    <cellStyle name="Currency 5 3 2 5 2 2 4" xfId="33831" xr:uid="{40AC4EB3-F318-47D4-8FFB-18E3130D3B01}"/>
    <cellStyle name="Currency 5 3 2 5 2 3" xfId="12733" xr:uid="{19C1BA85-E793-488B-8B2F-A172EB8EE57B}"/>
    <cellStyle name="Currency 5 3 2 5 2 4" xfId="21174" xr:uid="{CE2DA741-CE9F-4EB5-BB3B-641D70F5892B}"/>
    <cellStyle name="Currency 5 3 2 5 2 5" xfId="29614" xr:uid="{425F108F-A16F-4185-9911-8B157CB30138}"/>
    <cellStyle name="Currency 5 3 2 5 3" xfId="5479" xr:uid="{00000000-0005-0000-0000-0000D10C0000}"/>
    <cellStyle name="Currency 5 3 2 5 3 2" xfId="14805" xr:uid="{7B3DCB53-F6EF-41D2-8E37-0574EC23F61F}"/>
    <cellStyle name="Currency 5 3 2 5 3 3" xfId="23246" xr:uid="{AA48CDA7-61CB-44CB-B06B-B1425023F892}"/>
    <cellStyle name="Currency 5 3 2 5 3 4" xfId="31686" xr:uid="{23F7A7FD-9E32-486D-9B1B-578971D21166}"/>
    <cellStyle name="Currency 5 3 2 5 4" xfId="10588" xr:uid="{6D44BDF3-97F7-46BF-9589-75C34E75128B}"/>
    <cellStyle name="Currency 5 3 2 5 5" xfId="19029" xr:uid="{F863BDBD-BC3C-49D0-88E1-4D1C4513EA69}"/>
    <cellStyle name="Currency 5 3 2 5 6" xfId="27469" xr:uid="{30573E97-F1D2-4792-BE76-9671D54FE432}"/>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44E30EE8-F3F1-4981-B26A-BADA19F8178B}"/>
    <cellStyle name="Currency 5 3 2 6 2 2 3" xfId="25804" xr:uid="{13921A55-4EC2-4D49-B0C8-0FD2BFFFAB05}"/>
    <cellStyle name="Currency 5 3 2 6 2 2 4" xfId="34244" xr:uid="{A0001098-B9D1-4417-B972-B3CC61B48CAB}"/>
    <cellStyle name="Currency 5 3 2 6 2 3" xfId="13146" xr:uid="{8A25BE05-0D48-4376-90D0-D60A7E8D9B1C}"/>
    <cellStyle name="Currency 5 3 2 6 2 4" xfId="21587" xr:uid="{F2EE6563-5E5C-4BA2-90CD-50DB08535251}"/>
    <cellStyle name="Currency 5 3 2 6 2 5" xfId="30027" xr:uid="{AACEEA8F-B95B-4FB4-B058-9034BC0ABE03}"/>
    <cellStyle name="Currency 5 3 2 6 3" xfId="5892" xr:uid="{00000000-0005-0000-0000-0000D50C0000}"/>
    <cellStyle name="Currency 5 3 2 6 3 2" xfId="15218" xr:uid="{D5C06104-7327-4CD0-B79D-C88CD40E15A7}"/>
    <cellStyle name="Currency 5 3 2 6 3 3" xfId="23659" xr:uid="{048E7E9A-F071-4002-8CCA-3DEA853E2FA7}"/>
    <cellStyle name="Currency 5 3 2 6 3 4" xfId="32099" xr:uid="{784B1E7C-D6E0-4E6F-81A1-D98E9E4A78E6}"/>
    <cellStyle name="Currency 5 3 2 6 4" xfId="11001" xr:uid="{7AC2353C-E23C-41F7-BD2F-43087BB7C916}"/>
    <cellStyle name="Currency 5 3 2 6 5" xfId="19442" xr:uid="{3DEF078A-F768-42A1-A7A6-67B596B4A043}"/>
    <cellStyle name="Currency 5 3 2 6 6" xfId="27882" xr:uid="{0E8836C6-173F-4333-A8DA-EEB90EFC0C93}"/>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9086C13F-3F0C-4559-9E37-F27ABA60B58C}"/>
    <cellStyle name="Currency 5 3 2 7 2 2 3" xfId="26217" xr:uid="{7A936918-6F2A-4F8F-A54E-4CEFDDCC5EAF}"/>
    <cellStyle name="Currency 5 3 2 7 2 2 4" xfId="34657" xr:uid="{0A27A796-FCE9-4AD0-90A9-ED110F62C0C5}"/>
    <cellStyle name="Currency 5 3 2 7 2 3" xfId="13559" xr:uid="{91BB5639-4042-4690-B857-52FFFE5CB88C}"/>
    <cellStyle name="Currency 5 3 2 7 2 4" xfId="22000" xr:uid="{D49FBCA5-115B-4A18-9D24-2F7AA2FA2FB5}"/>
    <cellStyle name="Currency 5 3 2 7 2 5" xfId="30440" xr:uid="{1BD516DA-8C2A-40F1-AD8F-832D7B9335E7}"/>
    <cellStyle name="Currency 5 3 2 7 3" xfId="6305" xr:uid="{00000000-0005-0000-0000-0000D90C0000}"/>
    <cellStyle name="Currency 5 3 2 7 3 2" xfId="15631" xr:uid="{3751769E-6E3C-40B7-A937-6CFF97B13B25}"/>
    <cellStyle name="Currency 5 3 2 7 3 3" xfId="24072" xr:uid="{A9DB9D79-812D-4131-B5C6-4C4D83DD57F0}"/>
    <cellStyle name="Currency 5 3 2 7 3 4" xfId="32512" xr:uid="{797615A0-7CC7-480A-AF0A-787079F321FA}"/>
    <cellStyle name="Currency 5 3 2 7 4" xfId="11414" xr:uid="{29D4B31E-8160-4BEC-8371-CC2F15480424}"/>
    <cellStyle name="Currency 5 3 2 7 5" xfId="19855" xr:uid="{ED3C8C29-EC49-4C9E-817A-47A01FC84349}"/>
    <cellStyle name="Currency 5 3 2 7 6" xfId="28295" xr:uid="{338489B9-D9CB-440A-BF28-B0BF3C62A4C3}"/>
    <cellStyle name="Currency 5 3 2 8" xfId="2434" xr:uid="{00000000-0005-0000-0000-0000DA0C0000}"/>
    <cellStyle name="Currency 5 3 2 8 2" xfId="6718" xr:uid="{00000000-0005-0000-0000-0000DB0C0000}"/>
    <cellStyle name="Currency 5 3 2 8 2 2" xfId="16044" xr:uid="{82C730EC-BBD0-4B6D-ADFA-A340029DFF7D}"/>
    <cellStyle name="Currency 5 3 2 8 2 3" xfId="24485" xr:uid="{BF579A14-D0F1-421B-ABF9-AF99F483BAC4}"/>
    <cellStyle name="Currency 5 3 2 8 2 4" xfId="32925" xr:uid="{E9299433-27B7-4E0D-927B-9992D05D99D8}"/>
    <cellStyle name="Currency 5 3 2 8 3" xfId="11827" xr:uid="{00450C8D-D3D3-40CB-9721-09533935871C}"/>
    <cellStyle name="Currency 5 3 2 8 4" xfId="20268" xr:uid="{2D7B5E16-A668-450D-82DE-CC7048CDC5AB}"/>
    <cellStyle name="Currency 5 3 2 8 5" xfId="28708" xr:uid="{14470AB6-1100-49C4-9F49-4DAE5116F36F}"/>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7D4008A8-4708-4248-BC77-24213DA3818F}"/>
    <cellStyle name="Currency 5 3 3 10 3" xfId="22423" xr:uid="{CD6C9F2E-C911-4895-ABB8-614B12F4D8A6}"/>
    <cellStyle name="Currency 5 3 3 10 4" xfId="30863" xr:uid="{591C0AD9-1319-48C5-8BF3-B97AAC44BCE0}"/>
    <cellStyle name="Currency 5 3 3 11" xfId="8882" xr:uid="{A86B3ED4-B552-42F3-9E77-C6763F86EEE6}"/>
    <cellStyle name="Currency 5 3 3 12" xfId="9765" xr:uid="{6CC2A516-832F-495F-8140-6202E1C470C7}"/>
    <cellStyle name="Currency 5 3 3 13" xfId="18206" xr:uid="{FC45946C-C827-440D-806C-6F4D3F97C633}"/>
    <cellStyle name="Currency 5 3 3 14" xfId="26646" xr:uid="{6E096ADB-E4B2-4868-ACF9-7C1BC373A916}"/>
    <cellStyle name="Currency 5 3 3 2" xfId="215" xr:uid="{00000000-0005-0000-0000-0000DF0C0000}"/>
    <cellStyle name="Currency 5 3 3 2 10" xfId="9089" xr:uid="{7CFB8DCC-02AE-4CC5-8E10-3D33399ECECE}"/>
    <cellStyle name="Currency 5 3 3 2 11" xfId="9766" xr:uid="{6EAA0A97-3A03-4768-B232-B0006CF273DC}"/>
    <cellStyle name="Currency 5 3 3 2 12" xfId="18207" xr:uid="{6F0463D4-601F-4449-AA47-3CC640617F78}"/>
    <cellStyle name="Currency 5 3 3 2 13" xfId="26647" xr:uid="{F861328F-589A-4299-9373-3110B00E3F4B}"/>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08AAAFF5-8DC2-4582-BE5F-C18F54CB0AA2}"/>
    <cellStyle name="Currency 5 3 3 2 2 2 2 3" xfId="24983" xr:uid="{46A7F3FB-AD96-44EB-8FEC-CDDCD632BD9B}"/>
    <cellStyle name="Currency 5 3 3 2 2 2 2 4" xfId="33423" xr:uid="{AF83B6F1-3843-4CE0-8E42-82F4E7F076B4}"/>
    <cellStyle name="Currency 5 3 3 2 2 2 3" xfId="12325" xr:uid="{3BEDC9A7-DF51-43DF-882D-B8CE5A8BE3B5}"/>
    <cellStyle name="Currency 5 3 3 2 2 2 4" xfId="20766" xr:uid="{8728691B-EECB-477E-ADEC-6C6D286AB99D}"/>
    <cellStyle name="Currency 5 3 3 2 2 2 5" xfId="29206" xr:uid="{94653ECA-1655-4D4A-BD6E-31AFEF4FA21C}"/>
    <cellStyle name="Currency 5 3 3 2 2 3" xfId="5071" xr:uid="{00000000-0005-0000-0000-0000E30C0000}"/>
    <cellStyle name="Currency 5 3 3 2 2 3 2" xfId="14397" xr:uid="{9C6EACE4-B7D8-4F96-8BD3-310BE94A9DE2}"/>
    <cellStyle name="Currency 5 3 3 2 2 3 3" xfId="22838" xr:uid="{4F399FA8-1CDC-4087-B776-07B47A6EF30A}"/>
    <cellStyle name="Currency 5 3 3 2 2 3 4" xfId="31278" xr:uid="{EF7779B2-7F6A-4D8D-A74F-D7DD1E2BA78E}"/>
    <cellStyle name="Currency 5 3 3 2 2 4" xfId="9514" xr:uid="{9A504F43-6423-4200-B7AF-F17B65B2005C}"/>
    <cellStyle name="Currency 5 3 3 2 2 5" xfId="10180" xr:uid="{0DBE7A7D-3BD2-4D5E-B2A5-1E9C1C44623B}"/>
    <cellStyle name="Currency 5 3 3 2 2 6" xfId="18621" xr:uid="{F0A50949-6493-4D45-B934-2C67302BA7FE}"/>
    <cellStyle name="Currency 5 3 3 2 2 7" xfId="27061" xr:uid="{9DE8C927-9A9E-47DC-A834-BF6E77815CD9}"/>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FE878F31-BBB4-4920-9D23-4D5808480DBB}"/>
    <cellStyle name="Currency 5 3 3 2 3 2 2 3" xfId="25396" xr:uid="{FA62F1D8-5EB3-4177-81B8-B122A08BD7E5}"/>
    <cellStyle name="Currency 5 3 3 2 3 2 2 4" xfId="33836" xr:uid="{F7FFB0D6-03EA-4F72-ACA7-3926DF3B0D5B}"/>
    <cellStyle name="Currency 5 3 3 2 3 2 3" xfId="12738" xr:uid="{42F733C4-5949-4CD9-B961-E6D308EE3A4D}"/>
    <cellStyle name="Currency 5 3 3 2 3 2 4" xfId="21179" xr:uid="{5EE329CA-6488-4602-A36B-872C254FD50C}"/>
    <cellStyle name="Currency 5 3 3 2 3 2 5" xfId="29619" xr:uid="{AC990EBD-FBD7-4AAC-99B6-65369CD1EF1D}"/>
    <cellStyle name="Currency 5 3 3 2 3 3" xfId="5484" xr:uid="{00000000-0005-0000-0000-0000E70C0000}"/>
    <cellStyle name="Currency 5 3 3 2 3 3 2" xfId="14810" xr:uid="{81A58B97-67E4-4A70-AC9E-C6316A88D10A}"/>
    <cellStyle name="Currency 5 3 3 2 3 3 3" xfId="23251" xr:uid="{50E7B690-7D29-46D3-AC1C-75D7C7BAE1EF}"/>
    <cellStyle name="Currency 5 3 3 2 3 3 4" xfId="31691" xr:uid="{03455F77-5CD0-4AE9-92E6-5E9E073DF4C2}"/>
    <cellStyle name="Currency 5 3 3 2 3 4" xfId="10593" xr:uid="{D1284C73-6C3D-42FD-A491-2D2B36855AEE}"/>
    <cellStyle name="Currency 5 3 3 2 3 5" xfId="19034" xr:uid="{A3F3FBE4-A702-457F-9A57-7BA63A6B41EF}"/>
    <cellStyle name="Currency 5 3 3 2 3 6" xfId="27474" xr:uid="{03FA83F3-99A7-414E-9AE5-EC3E538776FA}"/>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CC72E3DB-2382-463F-BF15-C022712C4BF3}"/>
    <cellStyle name="Currency 5 3 3 2 4 2 2 3" xfId="25809" xr:uid="{DCE6D610-3A41-4BD7-B056-2C05050A78F6}"/>
    <cellStyle name="Currency 5 3 3 2 4 2 2 4" xfId="34249" xr:uid="{5ECE050D-55AA-4602-980E-4680ABDCD893}"/>
    <cellStyle name="Currency 5 3 3 2 4 2 3" xfId="13151" xr:uid="{D5CD64B7-C021-48E6-9781-FBC861A70B79}"/>
    <cellStyle name="Currency 5 3 3 2 4 2 4" xfId="21592" xr:uid="{16640327-93F7-4AEB-AA6C-21030C0BCB57}"/>
    <cellStyle name="Currency 5 3 3 2 4 2 5" xfId="30032" xr:uid="{4841C438-20A0-491A-883E-09FBC9E33461}"/>
    <cellStyle name="Currency 5 3 3 2 4 3" xfId="5897" xr:uid="{00000000-0005-0000-0000-0000EB0C0000}"/>
    <cellStyle name="Currency 5 3 3 2 4 3 2" xfId="15223" xr:uid="{3599E273-90BE-4D0E-BC1E-688D8914ED5D}"/>
    <cellStyle name="Currency 5 3 3 2 4 3 3" xfId="23664" xr:uid="{55658BC1-CE80-4AB8-95D5-0BC5BFEA299E}"/>
    <cellStyle name="Currency 5 3 3 2 4 3 4" xfId="32104" xr:uid="{5278BB6D-6D2D-408D-B666-2E65249E8209}"/>
    <cellStyle name="Currency 5 3 3 2 4 4" xfId="11006" xr:uid="{FB5B4C3B-0D87-48B6-8D06-9D0C914E654F}"/>
    <cellStyle name="Currency 5 3 3 2 4 5" xfId="19447" xr:uid="{6A18BD17-6CC8-4482-A478-0E13D447F95A}"/>
    <cellStyle name="Currency 5 3 3 2 4 6" xfId="27887" xr:uid="{8A2687DA-FC1C-44AB-9136-12C8B7A3CD5E}"/>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2655DB61-CDD8-4CA7-A3BA-BC0F4247480B}"/>
    <cellStyle name="Currency 5 3 3 2 5 2 2 3" xfId="26222" xr:uid="{B24CC6C8-0FC5-41E4-B414-C12F06D61D11}"/>
    <cellStyle name="Currency 5 3 3 2 5 2 2 4" xfId="34662" xr:uid="{BB5EB79C-861C-4F70-B296-68FC8216D1C2}"/>
    <cellStyle name="Currency 5 3 3 2 5 2 3" xfId="13564" xr:uid="{10BF80F3-922F-4DE2-BE25-2C798842BC44}"/>
    <cellStyle name="Currency 5 3 3 2 5 2 4" xfId="22005" xr:uid="{8C360A87-D4BB-421C-845C-C09F3F3B770F}"/>
    <cellStyle name="Currency 5 3 3 2 5 2 5" xfId="30445" xr:uid="{D2BC630F-30DB-402E-B302-BBA342812A15}"/>
    <cellStyle name="Currency 5 3 3 2 5 3" xfId="6310" xr:uid="{00000000-0005-0000-0000-0000EF0C0000}"/>
    <cellStyle name="Currency 5 3 3 2 5 3 2" xfId="15636" xr:uid="{D9518536-0EFF-4FB7-8A83-186C45C337CE}"/>
    <cellStyle name="Currency 5 3 3 2 5 3 3" xfId="24077" xr:uid="{512EC0D4-4854-4736-81B4-DD99DCBE6412}"/>
    <cellStyle name="Currency 5 3 3 2 5 3 4" xfId="32517" xr:uid="{94B6B8D0-9B64-4212-B6CF-F01AB72B5E00}"/>
    <cellStyle name="Currency 5 3 3 2 5 4" xfId="11419" xr:uid="{144ECA51-BF2B-4F78-B2E3-3242440F2095}"/>
    <cellStyle name="Currency 5 3 3 2 5 5" xfId="19860" xr:uid="{DD64BA0B-D492-42E3-8BEA-F685ABC89C5E}"/>
    <cellStyle name="Currency 5 3 3 2 5 6" xfId="28300" xr:uid="{D97894B2-F833-4AFF-8440-CF096EC7C504}"/>
    <cellStyle name="Currency 5 3 3 2 6" xfId="2439" xr:uid="{00000000-0005-0000-0000-0000F00C0000}"/>
    <cellStyle name="Currency 5 3 3 2 6 2" xfId="6723" xr:uid="{00000000-0005-0000-0000-0000F10C0000}"/>
    <cellStyle name="Currency 5 3 3 2 6 2 2" xfId="16049" xr:uid="{3640C04D-73C0-4165-A903-F76A78F92DBA}"/>
    <cellStyle name="Currency 5 3 3 2 6 2 3" xfId="24490" xr:uid="{0409F1BB-1CE8-4BAF-A452-73B92C0926B6}"/>
    <cellStyle name="Currency 5 3 3 2 6 2 4" xfId="32930" xr:uid="{F23B3933-3C54-4106-8A2B-A773B20F15AD}"/>
    <cellStyle name="Currency 5 3 3 2 6 3" xfId="11832" xr:uid="{827DDDD9-47FE-4074-8B57-F0A97D0C7899}"/>
    <cellStyle name="Currency 5 3 3 2 6 4" xfId="20273" xr:uid="{36D463C0-AFD4-446A-8383-DDA0EF63C719}"/>
    <cellStyle name="Currency 5 3 3 2 6 5" xfId="28713" xr:uid="{8FB82B74-7631-42F6-A956-986898EC27BE}"/>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CF5270AE-F4B8-4338-A1B4-76A7BFC0A53F}"/>
    <cellStyle name="Currency 5 3 3 2 8 2 3" xfId="24807" xr:uid="{1D615803-77DA-4E8C-ACB7-8A20702802CF}"/>
    <cellStyle name="Currency 5 3 3 2 8 2 4" xfId="33247" xr:uid="{9AAB425A-2CED-4249-90A4-FCCC330A1A6C}"/>
    <cellStyle name="Currency 5 3 3 2 8 3" xfId="12149" xr:uid="{3419B8E0-77D5-43B9-B9E1-07D25E11B4BC}"/>
    <cellStyle name="Currency 5 3 3 2 8 4" xfId="20590" xr:uid="{5B7FCAC6-22FA-4950-A2A6-7E87B380F10C}"/>
    <cellStyle name="Currency 5 3 3 2 8 5" xfId="29030" xr:uid="{E3F93483-6508-42FB-A282-308692EFF634}"/>
    <cellStyle name="Currency 5 3 3 2 9" xfId="4657" xr:uid="{00000000-0005-0000-0000-0000F50C0000}"/>
    <cellStyle name="Currency 5 3 3 2 9 2" xfId="13983" xr:uid="{6C045A5B-27D6-4C66-ACD8-DFFC2452E698}"/>
    <cellStyle name="Currency 5 3 3 2 9 3" xfId="22424" xr:uid="{946817CA-D011-49A1-B6BD-CAFC94A51755}"/>
    <cellStyle name="Currency 5 3 3 2 9 4" xfId="30864" xr:uid="{D56826D0-38B1-44D4-A684-9F645DBD98BE}"/>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AAC0592D-3D44-42B5-851F-F6B3B09A6BF2}"/>
    <cellStyle name="Currency 5 3 3 3 2 2 3" xfId="24982" xr:uid="{38B95830-34B3-476F-A043-E943C3B12A6D}"/>
    <cellStyle name="Currency 5 3 3 3 2 2 4" xfId="33422" xr:uid="{060B4770-B6F3-46F8-9E8E-239C51460E3B}"/>
    <cellStyle name="Currency 5 3 3 3 2 3" xfId="12324" xr:uid="{B1389246-7392-48E2-8C2C-6A0E44624ADF}"/>
    <cellStyle name="Currency 5 3 3 3 2 4" xfId="20765" xr:uid="{3FCC02E1-99A3-4127-ACFA-A2F1EC16B942}"/>
    <cellStyle name="Currency 5 3 3 3 2 5" xfId="29205" xr:uid="{4400F0D5-0A39-4843-A4A8-BA445970BB53}"/>
    <cellStyle name="Currency 5 3 3 3 3" xfId="5070" xr:uid="{00000000-0005-0000-0000-0000F90C0000}"/>
    <cellStyle name="Currency 5 3 3 3 3 2" xfId="14396" xr:uid="{3C89F66A-520D-43CD-BD72-729F0AAE95B4}"/>
    <cellStyle name="Currency 5 3 3 3 3 3" xfId="22837" xr:uid="{38216A3D-2A11-4DB4-9FA7-2ECA346C1C4C}"/>
    <cellStyle name="Currency 5 3 3 3 3 4" xfId="31277" xr:uid="{7831E8FA-27C9-49CB-BB88-47BB05F9D1AC}"/>
    <cellStyle name="Currency 5 3 3 3 4" xfId="9307" xr:uid="{3F0512A0-B779-46E4-A963-62E327C6AC5F}"/>
    <cellStyle name="Currency 5 3 3 3 5" xfId="10179" xr:uid="{F78DA817-268B-4E20-B661-639F148A9AA1}"/>
    <cellStyle name="Currency 5 3 3 3 6" xfId="18620" xr:uid="{CFC1C85E-73E3-4813-A562-03F524035927}"/>
    <cellStyle name="Currency 5 3 3 3 7" xfId="27060" xr:uid="{9F62EDD0-03FF-4DC6-B0A2-5862F3CE4405}"/>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38372C44-07CA-403E-A29E-E7AE75BD273B}"/>
    <cellStyle name="Currency 5 3 3 4 2 2 3" xfId="25395" xr:uid="{D9C92CA1-2CC8-4F9C-904A-71DBE410826A}"/>
    <cellStyle name="Currency 5 3 3 4 2 2 4" xfId="33835" xr:uid="{D53575D6-E11D-4085-9D81-964224F82CE9}"/>
    <cellStyle name="Currency 5 3 3 4 2 3" xfId="12737" xr:uid="{70F7CAF7-5577-422B-91CF-77BB5B768D84}"/>
    <cellStyle name="Currency 5 3 3 4 2 4" xfId="21178" xr:uid="{F76AFE72-F9F8-42A1-83A6-01A5CC60E90F}"/>
    <cellStyle name="Currency 5 3 3 4 2 5" xfId="29618" xr:uid="{EED2EDE9-C578-4B42-A2F0-F6CB16A9D013}"/>
    <cellStyle name="Currency 5 3 3 4 3" xfId="5483" xr:uid="{00000000-0005-0000-0000-0000FD0C0000}"/>
    <cellStyle name="Currency 5 3 3 4 3 2" xfId="14809" xr:uid="{9DD959E2-0E5E-4279-9590-CE045F00B046}"/>
    <cellStyle name="Currency 5 3 3 4 3 3" xfId="23250" xr:uid="{5FD43FA0-2351-4775-873E-8EABA6877274}"/>
    <cellStyle name="Currency 5 3 3 4 3 4" xfId="31690" xr:uid="{973A22A5-3134-418D-804D-BBF10BC31EAF}"/>
    <cellStyle name="Currency 5 3 3 4 4" xfId="10592" xr:uid="{244F19FA-F0D8-48BB-8CAF-AC0532D06488}"/>
    <cellStyle name="Currency 5 3 3 4 5" xfId="19033" xr:uid="{E29284BF-455D-4B35-BFA6-9765CF791F4D}"/>
    <cellStyle name="Currency 5 3 3 4 6" xfId="27473" xr:uid="{91F8A567-380E-4A56-930E-A5AE7BD9E5DD}"/>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EBB9AC86-BA00-4698-B3F7-69E5EBCFF2DD}"/>
    <cellStyle name="Currency 5 3 3 5 2 2 3" xfId="25808" xr:uid="{0FAF6C49-EAF0-4248-900A-20754FBE142E}"/>
    <cellStyle name="Currency 5 3 3 5 2 2 4" xfId="34248" xr:uid="{758C0985-DD18-44A3-9A65-9006C7AF6E13}"/>
    <cellStyle name="Currency 5 3 3 5 2 3" xfId="13150" xr:uid="{029DCF74-6038-4BC3-8617-830B3DC6D093}"/>
    <cellStyle name="Currency 5 3 3 5 2 4" xfId="21591" xr:uid="{FE2011D0-1041-4378-B878-EE5E6066CED2}"/>
    <cellStyle name="Currency 5 3 3 5 2 5" xfId="30031" xr:uid="{4EBB30D3-7ADB-4923-AEBE-A35158E84CAD}"/>
    <cellStyle name="Currency 5 3 3 5 3" xfId="5896" xr:uid="{00000000-0005-0000-0000-0000010D0000}"/>
    <cellStyle name="Currency 5 3 3 5 3 2" xfId="15222" xr:uid="{AAEF03CF-192B-42AE-B61E-51197A3242E4}"/>
    <cellStyle name="Currency 5 3 3 5 3 3" xfId="23663" xr:uid="{75859A3E-EA01-4936-A122-9D6CC539C53F}"/>
    <cellStyle name="Currency 5 3 3 5 3 4" xfId="32103" xr:uid="{8B32BBF0-5F7C-4925-9CAC-744A3C792C25}"/>
    <cellStyle name="Currency 5 3 3 5 4" xfId="11005" xr:uid="{DB71AC6A-8AE0-446C-B994-4BF3D12C186D}"/>
    <cellStyle name="Currency 5 3 3 5 5" xfId="19446" xr:uid="{35394C0B-DE37-4338-9D01-2E213506A78C}"/>
    <cellStyle name="Currency 5 3 3 5 6" xfId="27886" xr:uid="{693FECFC-4F2A-4B7B-8BB6-89BF13AA3936}"/>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A4E8A710-3EB3-4AA1-9275-E15C54F948FF}"/>
    <cellStyle name="Currency 5 3 3 6 2 2 3" xfId="26221" xr:uid="{AFFC9CC6-A980-428B-9EF0-8F2044AD8EC5}"/>
    <cellStyle name="Currency 5 3 3 6 2 2 4" xfId="34661" xr:uid="{9F522E9A-C884-4351-80B9-50398D4F53C9}"/>
    <cellStyle name="Currency 5 3 3 6 2 3" xfId="13563" xr:uid="{326ACB32-1027-42C7-BFCE-CACB90A82975}"/>
    <cellStyle name="Currency 5 3 3 6 2 4" xfId="22004" xr:uid="{BD3BD984-B20C-41BB-9EB7-DBFE2EFC8600}"/>
    <cellStyle name="Currency 5 3 3 6 2 5" xfId="30444" xr:uid="{8EBDD0BC-7C95-48B3-A822-E3C3CE76E2FB}"/>
    <cellStyle name="Currency 5 3 3 6 3" xfId="6309" xr:uid="{00000000-0005-0000-0000-0000050D0000}"/>
    <cellStyle name="Currency 5 3 3 6 3 2" xfId="15635" xr:uid="{07887E9A-3E88-4071-9D24-0E5803000A69}"/>
    <cellStyle name="Currency 5 3 3 6 3 3" xfId="24076" xr:uid="{4F4FBD03-FA64-4166-B5B9-4CB054785449}"/>
    <cellStyle name="Currency 5 3 3 6 3 4" xfId="32516" xr:uid="{141A5B84-5C16-4B6B-A5FD-5E4BC9093E52}"/>
    <cellStyle name="Currency 5 3 3 6 4" xfId="11418" xr:uid="{D40C0BAB-5BA9-4B4A-9EBE-EB7B44C9771C}"/>
    <cellStyle name="Currency 5 3 3 6 5" xfId="19859" xr:uid="{E814FD18-BD31-4601-807C-9FAD0905D8FA}"/>
    <cellStyle name="Currency 5 3 3 6 6" xfId="28299" xr:uid="{314530F7-061B-4EFD-9F64-AA46702FE6B7}"/>
    <cellStyle name="Currency 5 3 3 7" xfId="2438" xr:uid="{00000000-0005-0000-0000-0000060D0000}"/>
    <cellStyle name="Currency 5 3 3 7 2" xfId="6722" xr:uid="{00000000-0005-0000-0000-0000070D0000}"/>
    <cellStyle name="Currency 5 3 3 7 2 2" xfId="16048" xr:uid="{104F1479-ED48-4663-BB62-C5D365FE90D3}"/>
    <cellStyle name="Currency 5 3 3 7 2 3" xfId="24489" xr:uid="{DB833CDF-BB40-47EF-BA2A-C4E64674726B}"/>
    <cellStyle name="Currency 5 3 3 7 2 4" xfId="32929" xr:uid="{CD2CDF32-A8BA-4575-AFB8-55E321B7210B}"/>
    <cellStyle name="Currency 5 3 3 7 3" xfId="11831" xr:uid="{7427AAC2-3C3A-49DF-B51D-BB6D879FE174}"/>
    <cellStyle name="Currency 5 3 3 7 4" xfId="20272" xr:uid="{3306F263-C53E-4613-8FA6-03E652A6AF23}"/>
    <cellStyle name="Currency 5 3 3 7 5" xfId="28712" xr:uid="{FBD68AF3-766E-4AF8-93C0-4C9F569F3FB2}"/>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2D212DE0-651B-4E98-B094-F7F590C9A49E}"/>
    <cellStyle name="Currency 5 3 3 9 2 3" xfId="24806" xr:uid="{1697A359-80F6-4DE4-98ED-A353A8F73878}"/>
    <cellStyle name="Currency 5 3 3 9 2 4" xfId="33246" xr:uid="{3401C1AE-C843-4675-8679-88C924F3C1DE}"/>
    <cellStyle name="Currency 5 3 3 9 3" xfId="12148" xr:uid="{49B69EA6-2C76-44FF-8A34-8E5F5E7E230A}"/>
    <cellStyle name="Currency 5 3 3 9 4" xfId="20589" xr:uid="{A7EC5C38-1DC2-4BA5-B781-6266C8BDCA12}"/>
    <cellStyle name="Currency 5 3 3 9 5" xfId="29029" xr:uid="{3A63B05B-7636-4BBD-8EC9-DCEE4177D777}"/>
    <cellStyle name="Currency 5 3 4" xfId="216" xr:uid="{00000000-0005-0000-0000-00000B0D0000}"/>
    <cellStyle name="Currency 5 3 4 10" xfId="8986" xr:uid="{4F6CFA4A-F10A-4043-AD92-C0A3F7F06459}"/>
    <cellStyle name="Currency 5 3 4 11" xfId="9767" xr:uid="{E164AD96-D4F1-4C69-90B3-69D3B3F4CF12}"/>
    <cellStyle name="Currency 5 3 4 12" xfId="18208" xr:uid="{1A4E67C6-E3FD-4101-B5D4-2C87310216BC}"/>
    <cellStyle name="Currency 5 3 4 13" xfId="26648" xr:uid="{1C3BE0C1-9CE6-49F8-B12A-74807E852DB5}"/>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4F01FCB4-0832-4900-A1D5-81B6B9C96695}"/>
    <cellStyle name="Currency 5 3 4 2 2 2 3" xfId="24984" xr:uid="{A91BEC56-25A2-45BA-B2A8-CA9C5755AF10}"/>
    <cellStyle name="Currency 5 3 4 2 2 2 4" xfId="33424" xr:uid="{4CAEED5C-5ED0-4473-8A71-1A357E667965}"/>
    <cellStyle name="Currency 5 3 4 2 2 3" xfId="12326" xr:uid="{3B577C12-0A6E-40B2-9FDE-578B5400F46E}"/>
    <cellStyle name="Currency 5 3 4 2 2 4" xfId="20767" xr:uid="{2D3245A9-1AB0-4A08-8886-51CD7EECEE59}"/>
    <cellStyle name="Currency 5 3 4 2 2 5" xfId="29207" xr:uid="{75022443-EE79-42A1-AE38-3F076A2B0A03}"/>
    <cellStyle name="Currency 5 3 4 2 3" xfId="5072" xr:uid="{00000000-0005-0000-0000-00000F0D0000}"/>
    <cellStyle name="Currency 5 3 4 2 3 2" xfId="14398" xr:uid="{AC39C5C7-6CE3-4D61-ADD2-6EDAB9624821}"/>
    <cellStyle name="Currency 5 3 4 2 3 3" xfId="22839" xr:uid="{6BCDC1E9-12DE-48D7-8511-4C32799737FA}"/>
    <cellStyle name="Currency 5 3 4 2 3 4" xfId="31279" xr:uid="{3844C06B-75CF-4164-BFF6-5F30CDA01F63}"/>
    <cellStyle name="Currency 5 3 4 2 4" xfId="9411" xr:uid="{2729DEB6-408B-463E-B468-91D932C31FD7}"/>
    <cellStyle name="Currency 5 3 4 2 5" xfId="10181" xr:uid="{BF2B4A01-884E-4139-90C4-C691E70980C8}"/>
    <cellStyle name="Currency 5 3 4 2 6" xfId="18622" xr:uid="{63ED3714-DC00-4B7E-8F8C-9A00F1FA3252}"/>
    <cellStyle name="Currency 5 3 4 2 7" xfId="27062" xr:uid="{A530782C-03FE-4D72-A1E2-44B2C43E11B4}"/>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AD468DE0-5E63-498A-A3A6-D8C9E65AC2A4}"/>
    <cellStyle name="Currency 5 3 4 3 2 2 3" xfId="25397" xr:uid="{40C2223D-170A-4E02-AB8E-A8182CE15BDE}"/>
    <cellStyle name="Currency 5 3 4 3 2 2 4" xfId="33837" xr:uid="{251F1307-9EAC-433A-9A52-7F8EA0A3AAF7}"/>
    <cellStyle name="Currency 5 3 4 3 2 3" xfId="12739" xr:uid="{6E78D5E5-EA8C-4141-9AF7-8E9BAFB2E0F0}"/>
    <cellStyle name="Currency 5 3 4 3 2 4" xfId="21180" xr:uid="{BE699ECE-0156-48A5-B20D-903B335B9199}"/>
    <cellStyle name="Currency 5 3 4 3 2 5" xfId="29620" xr:uid="{7B131577-B6DC-4F6A-B3A4-36063D686A06}"/>
    <cellStyle name="Currency 5 3 4 3 3" xfId="5485" xr:uid="{00000000-0005-0000-0000-0000130D0000}"/>
    <cellStyle name="Currency 5 3 4 3 3 2" xfId="14811" xr:uid="{7A0A1E66-AE4A-4525-A4C4-E0511D449D4C}"/>
    <cellStyle name="Currency 5 3 4 3 3 3" xfId="23252" xr:uid="{CC56E42C-48F3-4696-A69A-979B43F296E9}"/>
    <cellStyle name="Currency 5 3 4 3 3 4" xfId="31692" xr:uid="{C76B174F-44B3-486F-90D1-1D87A54A10FC}"/>
    <cellStyle name="Currency 5 3 4 3 4" xfId="10594" xr:uid="{F202C3CB-5944-4127-804E-89F4611B9760}"/>
    <cellStyle name="Currency 5 3 4 3 5" xfId="19035" xr:uid="{AFB38C70-AB07-4A1A-9755-C6CBE2559342}"/>
    <cellStyle name="Currency 5 3 4 3 6" xfId="27475" xr:uid="{43573CB9-2DF8-41C3-BCDB-D5F26A05DB36}"/>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5697F9F6-B183-4539-9833-ED7ED1A573F5}"/>
    <cellStyle name="Currency 5 3 4 4 2 2 3" xfId="25810" xr:uid="{CD2B6B88-B726-41A9-916C-C0F2BB91EE1E}"/>
    <cellStyle name="Currency 5 3 4 4 2 2 4" xfId="34250" xr:uid="{0A58B807-3E65-4A4A-90FF-F480F6513C03}"/>
    <cellStyle name="Currency 5 3 4 4 2 3" xfId="13152" xr:uid="{DF3985DB-22DD-47B7-B16F-D106EF1E9D2E}"/>
    <cellStyle name="Currency 5 3 4 4 2 4" xfId="21593" xr:uid="{55CB66E9-3D51-444D-952E-346290312EFF}"/>
    <cellStyle name="Currency 5 3 4 4 2 5" xfId="30033" xr:uid="{73241FB9-F021-43E3-A7B6-5164D10C5875}"/>
    <cellStyle name="Currency 5 3 4 4 3" xfId="5898" xr:uid="{00000000-0005-0000-0000-0000170D0000}"/>
    <cellStyle name="Currency 5 3 4 4 3 2" xfId="15224" xr:uid="{A6ABCECE-5A13-4C67-801F-AA19C54B1612}"/>
    <cellStyle name="Currency 5 3 4 4 3 3" xfId="23665" xr:uid="{A1B22F7B-DB21-4968-B352-FF19B667FFDD}"/>
    <cellStyle name="Currency 5 3 4 4 3 4" xfId="32105" xr:uid="{2F3722A7-D3F3-4027-AB45-802DD63210CF}"/>
    <cellStyle name="Currency 5 3 4 4 4" xfId="11007" xr:uid="{69827F0F-5CC3-4A32-8388-D0C6045E11B7}"/>
    <cellStyle name="Currency 5 3 4 4 5" xfId="19448" xr:uid="{A9A73ED1-2625-49F6-AE77-40523304E19A}"/>
    <cellStyle name="Currency 5 3 4 4 6" xfId="27888" xr:uid="{8A43774B-024F-48D7-9977-C364AE656334}"/>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4CB57208-D26A-440E-B21F-FCFB745C66D8}"/>
    <cellStyle name="Currency 5 3 4 5 2 2 3" xfId="26223" xr:uid="{92C35C28-E292-4E49-A19C-FEE36AD26EBB}"/>
    <cellStyle name="Currency 5 3 4 5 2 2 4" xfId="34663" xr:uid="{C1F57421-2E2B-4341-9503-70ED1B3EB0E3}"/>
    <cellStyle name="Currency 5 3 4 5 2 3" xfId="13565" xr:uid="{A47EEA14-C079-4C03-A3E0-E44049C92283}"/>
    <cellStyle name="Currency 5 3 4 5 2 4" xfId="22006" xr:uid="{9D9ED11B-6255-4BFD-AD79-71FEA8A12CAA}"/>
    <cellStyle name="Currency 5 3 4 5 2 5" xfId="30446" xr:uid="{E73AE48C-8092-4AD5-934A-604D2B14102C}"/>
    <cellStyle name="Currency 5 3 4 5 3" xfId="6311" xr:uid="{00000000-0005-0000-0000-00001B0D0000}"/>
    <cellStyle name="Currency 5 3 4 5 3 2" xfId="15637" xr:uid="{2A6085D2-A91B-4EC0-A937-44517DB192CB}"/>
    <cellStyle name="Currency 5 3 4 5 3 3" xfId="24078" xr:uid="{A40BD2A4-FB18-42BB-9829-BE2B54ABEABE}"/>
    <cellStyle name="Currency 5 3 4 5 3 4" xfId="32518" xr:uid="{C4E83036-BB83-439C-9B40-AD2AB4F2655F}"/>
    <cellStyle name="Currency 5 3 4 5 4" xfId="11420" xr:uid="{2F3000A4-503A-4E8D-A686-7514D7857B9A}"/>
    <cellStyle name="Currency 5 3 4 5 5" xfId="19861" xr:uid="{20106C73-6A2E-4DE5-A21B-DA5D5BF12377}"/>
    <cellStyle name="Currency 5 3 4 5 6" xfId="28301" xr:uid="{88302C07-392A-414B-A028-1EDDAAD49BF2}"/>
    <cellStyle name="Currency 5 3 4 6" xfId="2440" xr:uid="{00000000-0005-0000-0000-00001C0D0000}"/>
    <cellStyle name="Currency 5 3 4 6 2" xfId="6724" xr:uid="{00000000-0005-0000-0000-00001D0D0000}"/>
    <cellStyle name="Currency 5 3 4 6 2 2" xfId="16050" xr:uid="{20DAB976-E0FC-4924-9205-D529DAC7CEDB}"/>
    <cellStyle name="Currency 5 3 4 6 2 3" xfId="24491" xr:uid="{801ED2D1-031D-4CE4-8015-4E8A230370B2}"/>
    <cellStyle name="Currency 5 3 4 6 2 4" xfId="32931" xr:uid="{2A10B445-1277-48E6-9385-BD336C4A280E}"/>
    <cellStyle name="Currency 5 3 4 6 3" xfId="11833" xr:uid="{2561EEC0-FCF9-4687-B37A-C48D9FE5D880}"/>
    <cellStyle name="Currency 5 3 4 6 4" xfId="20274" xr:uid="{7DAD10D6-D414-4274-A64F-044E2D93E236}"/>
    <cellStyle name="Currency 5 3 4 6 5" xfId="28714" xr:uid="{C19085A0-A070-4BAF-B47D-24C33905FF7C}"/>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46957609-0742-47F9-8700-1CE9D3F36299}"/>
    <cellStyle name="Currency 5 3 4 8 2 3" xfId="24808" xr:uid="{52F63828-3073-4190-948C-94483BD23CDB}"/>
    <cellStyle name="Currency 5 3 4 8 2 4" xfId="33248" xr:uid="{6CE5E655-317D-4FDD-A173-176D969A26C0}"/>
    <cellStyle name="Currency 5 3 4 8 3" xfId="12150" xr:uid="{64FD55FB-A91D-4906-BE9F-AEB9CD4CBD3C}"/>
    <cellStyle name="Currency 5 3 4 8 4" xfId="20591" xr:uid="{4EB89DA9-E3AE-41D7-92A5-DA3CFEB38D0A}"/>
    <cellStyle name="Currency 5 3 4 8 5" xfId="29031" xr:uid="{49186D0C-0143-4ED1-B95D-C50AD81FD668}"/>
    <cellStyle name="Currency 5 3 4 9" xfId="4658" xr:uid="{00000000-0005-0000-0000-0000210D0000}"/>
    <cellStyle name="Currency 5 3 4 9 2" xfId="13984" xr:uid="{D18F2412-4336-443C-B2E0-1F70AC5CABEE}"/>
    <cellStyle name="Currency 5 3 4 9 3" xfId="22425" xr:uid="{E0893154-52B8-4776-9655-0E47F8C2076F}"/>
    <cellStyle name="Currency 5 3 4 9 4" xfId="30865" xr:uid="{BBE0EBD5-A9CE-4351-99E1-592BADA6EC64}"/>
    <cellStyle name="Currency 5 3 5" xfId="217" xr:uid="{00000000-0005-0000-0000-0000220D0000}"/>
    <cellStyle name="Currency 5 3 5 10" xfId="9203" xr:uid="{6167CBBD-227C-4457-B6B6-18EF5C089771}"/>
    <cellStyle name="Currency 5 3 5 11" xfId="9768" xr:uid="{81F1458C-E803-4B5E-918F-EFE8FAB27ACE}"/>
    <cellStyle name="Currency 5 3 5 12" xfId="18209" xr:uid="{196BAE27-A071-4C84-AAC2-99342C1F348F}"/>
    <cellStyle name="Currency 5 3 5 13" xfId="26649" xr:uid="{0B653915-5864-4EBE-94BA-2D84704143C7}"/>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C07CE4A6-D645-4379-8D0F-2C3BB9243805}"/>
    <cellStyle name="Currency 5 3 5 2 2 2 3" xfId="24985" xr:uid="{E4E03A87-4D4A-4686-8EC1-C81846DE47F6}"/>
    <cellStyle name="Currency 5 3 5 2 2 2 4" xfId="33425" xr:uid="{4564486D-29FF-44BB-BF62-5B4D4B486D0F}"/>
    <cellStyle name="Currency 5 3 5 2 2 3" xfId="12327" xr:uid="{577EF176-4EDC-4C79-B874-EB2C35A86128}"/>
    <cellStyle name="Currency 5 3 5 2 2 4" xfId="20768" xr:uid="{97CC3123-40D6-4A4C-A4B3-8D7F9D4420BD}"/>
    <cellStyle name="Currency 5 3 5 2 2 5" xfId="29208" xr:uid="{2D6E5BFF-8CD6-4749-9DE6-2E2CFF19191C}"/>
    <cellStyle name="Currency 5 3 5 2 3" xfId="5073" xr:uid="{00000000-0005-0000-0000-0000260D0000}"/>
    <cellStyle name="Currency 5 3 5 2 3 2" xfId="14399" xr:uid="{A779F66A-BA00-449E-885C-EE216C8ABEFB}"/>
    <cellStyle name="Currency 5 3 5 2 3 3" xfId="22840" xr:uid="{8760AB39-4411-4B7E-8024-6FA3B32D731A}"/>
    <cellStyle name="Currency 5 3 5 2 3 4" xfId="31280" xr:uid="{1ABF8904-30F5-400C-B784-60B6D79D5A2F}"/>
    <cellStyle name="Currency 5 3 5 2 4" xfId="9600" xr:uid="{650A4058-48FE-4F3E-8845-8F52DF332026}"/>
    <cellStyle name="Currency 5 3 5 2 5" xfId="10182" xr:uid="{506856FE-7C46-4068-871F-C7F18E515E08}"/>
    <cellStyle name="Currency 5 3 5 2 6" xfId="18623" xr:uid="{EF113D79-DD8F-4613-BDC7-3220AF647D4D}"/>
    <cellStyle name="Currency 5 3 5 2 7" xfId="27063" xr:uid="{74A8118A-3D91-479C-953F-B7A3A636FFEC}"/>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5A58AF5F-4E32-4022-A1D3-9EECE54A47A5}"/>
    <cellStyle name="Currency 5 3 5 3 2 2 3" xfId="25398" xr:uid="{8FC7CC18-05EE-483C-BD75-09A13534795A}"/>
    <cellStyle name="Currency 5 3 5 3 2 2 4" xfId="33838" xr:uid="{923FF9A6-46F6-4A54-83D4-86D697FD22F7}"/>
    <cellStyle name="Currency 5 3 5 3 2 3" xfId="12740" xr:uid="{A4D16CC6-C90B-400F-A5CB-4A8E3D739F10}"/>
    <cellStyle name="Currency 5 3 5 3 2 4" xfId="21181" xr:uid="{15FDD33C-E4A1-48E8-81FB-E8BC2A6E5EF7}"/>
    <cellStyle name="Currency 5 3 5 3 2 5" xfId="29621" xr:uid="{3B7FB91D-7B0F-4D2A-9E8C-1E93552F1CAF}"/>
    <cellStyle name="Currency 5 3 5 3 3" xfId="5486" xr:uid="{00000000-0005-0000-0000-00002A0D0000}"/>
    <cellStyle name="Currency 5 3 5 3 3 2" xfId="14812" xr:uid="{6DA6AA8D-B546-4035-9450-33200E4B931D}"/>
    <cellStyle name="Currency 5 3 5 3 3 3" xfId="23253" xr:uid="{4C288D40-67B8-4B6E-AFA6-766AE404A8A0}"/>
    <cellStyle name="Currency 5 3 5 3 3 4" xfId="31693" xr:uid="{44A41B28-B7E7-466C-893A-CB6E726EA390}"/>
    <cellStyle name="Currency 5 3 5 3 4" xfId="10595" xr:uid="{0E6188EC-8ADA-4599-B103-BC0234C4AB0B}"/>
    <cellStyle name="Currency 5 3 5 3 5" xfId="19036" xr:uid="{CE5EDE27-9752-4604-91A3-3A58A6880D2E}"/>
    <cellStyle name="Currency 5 3 5 3 6" xfId="27476" xr:uid="{05492B7E-99BE-4EE4-9191-DA98EFE910F9}"/>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DAE4FEE8-67CF-4149-88D9-3B7B7197F323}"/>
    <cellStyle name="Currency 5 3 5 4 2 2 3" xfId="25811" xr:uid="{7B1F6D8A-A314-46C5-8F4A-EF1A414F519C}"/>
    <cellStyle name="Currency 5 3 5 4 2 2 4" xfId="34251" xr:uid="{439EC4E3-49A3-4679-AF97-E344106C3A1B}"/>
    <cellStyle name="Currency 5 3 5 4 2 3" xfId="13153" xr:uid="{2D410DA2-A678-446C-8B7A-CDFC355B1542}"/>
    <cellStyle name="Currency 5 3 5 4 2 4" xfId="21594" xr:uid="{4E6DEFF2-899C-4044-9A22-72BEEA5981AE}"/>
    <cellStyle name="Currency 5 3 5 4 2 5" xfId="30034" xr:uid="{59EC277B-27FA-4026-9BDF-B037845F9D4F}"/>
    <cellStyle name="Currency 5 3 5 4 3" xfId="5899" xr:uid="{00000000-0005-0000-0000-00002E0D0000}"/>
    <cellStyle name="Currency 5 3 5 4 3 2" xfId="15225" xr:uid="{92EE81FB-8E8A-43B5-BE13-996B5A0A08BF}"/>
    <cellStyle name="Currency 5 3 5 4 3 3" xfId="23666" xr:uid="{58A2D39E-C0EE-4AB4-9616-E0C8EE7500C2}"/>
    <cellStyle name="Currency 5 3 5 4 3 4" xfId="32106" xr:uid="{53438BB4-85E8-4541-A209-7137030A5513}"/>
    <cellStyle name="Currency 5 3 5 4 4" xfId="11008" xr:uid="{42A5C8FF-ABAC-44BB-9C4E-17271167D4FC}"/>
    <cellStyle name="Currency 5 3 5 4 5" xfId="19449" xr:uid="{CC7E329A-F7D6-4C5B-AC2C-74E33F61E6DD}"/>
    <cellStyle name="Currency 5 3 5 4 6" xfId="27889" xr:uid="{31A34A69-142E-4A12-90B5-F9C23C73C5CF}"/>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398E3AA5-0C37-4531-84F9-811323579B1B}"/>
    <cellStyle name="Currency 5 3 5 5 2 2 3" xfId="26224" xr:uid="{1AA283A7-A40B-49D3-BDE5-C0C99F618B6D}"/>
    <cellStyle name="Currency 5 3 5 5 2 2 4" xfId="34664" xr:uid="{657C17AE-64AC-4846-9197-9A8C312FD2A1}"/>
    <cellStyle name="Currency 5 3 5 5 2 3" xfId="13566" xr:uid="{889D4771-DF17-4B41-9E1F-DE44B7D517C2}"/>
    <cellStyle name="Currency 5 3 5 5 2 4" xfId="22007" xr:uid="{35C06730-F509-4321-9238-38400E501244}"/>
    <cellStyle name="Currency 5 3 5 5 2 5" xfId="30447" xr:uid="{15DF016C-8491-4CC2-8F16-F795895DD713}"/>
    <cellStyle name="Currency 5 3 5 5 3" xfId="6312" xr:uid="{00000000-0005-0000-0000-0000320D0000}"/>
    <cellStyle name="Currency 5 3 5 5 3 2" xfId="15638" xr:uid="{78126C2E-ECF3-4230-B269-219B72057DDF}"/>
    <cellStyle name="Currency 5 3 5 5 3 3" xfId="24079" xr:uid="{63209371-D60A-4E2B-AED7-6B68B90C67A4}"/>
    <cellStyle name="Currency 5 3 5 5 3 4" xfId="32519" xr:uid="{AAFB2821-39FF-4A63-8922-69128248D053}"/>
    <cellStyle name="Currency 5 3 5 5 4" xfId="11421" xr:uid="{FECD785D-AA0F-495A-B49C-982A7D8787BF}"/>
    <cellStyle name="Currency 5 3 5 5 5" xfId="19862" xr:uid="{B29177FC-6302-4F36-82B6-893F30C3B190}"/>
    <cellStyle name="Currency 5 3 5 5 6" xfId="28302" xr:uid="{ECE08392-C09C-4B6F-A4AB-BFDD43E192F8}"/>
    <cellStyle name="Currency 5 3 5 6" xfId="2441" xr:uid="{00000000-0005-0000-0000-0000330D0000}"/>
    <cellStyle name="Currency 5 3 5 6 2" xfId="6725" xr:uid="{00000000-0005-0000-0000-0000340D0000}"/>
    <cellStyle name="Currency 5 3 5 6 2 2" xfId="16051" xr:uid="{D4638069-1003-4210-BB98-28896B0199CA}"/>
    <cellStyle name="Currency 5 3 5 6 2 3" xfId="24492" xr:uid="{14DCCFB0-42BF-4602-BD4B-AE55F5BF74DF}"/>
    <cellStyle name="Currency 5 3 5 6 2 4" xfId="32932" xr:uid="{05714640-543F-42FA-8CE3-1489F406A1C6}"/>
    <cellStyle name="Currency 5 3 5 6 3" xfId="11834" xr:uid="{84417AFA-3006-45EC-95CE-A313EBA24BAE}"/>
    <cellStyle name="Currency 5 3 5 6 4" xfId="20275" xr:uid="{1BCB9D11-5D5E-4466-95B5-4E661EBE44F1}"/>
    <cellStyle name="Currency 5 3 5 6 5" xfId="28715" xr:uid="{D3E67440-27BB-4FE8-8F6C-0527C021D110}"/>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A8A67D7F-7DEF-4D33-8C42-AC1EF8FEA954}"/>
    <cellStyle name="Currency 5 3 5 8 2 3" xfId="24809" xr:uid="{63E7AC56-175A-45E4-A546-EC0A58A74348}"/>
    <cellStyle name="Currency 5 3 5 8 2 4" xfId="33249" xr:uid="{BB29B5A2-9913-4EBB-8F29-2D7EEEB64998}"/>
    <cellStyle name="Currency 5 3 5 8 3" xfId="12151" xr:uid="{D38C79E9-07B7-4BEF-8EB6-AC412BDBBABE}"/>
    <cellStyle name="Currency 5 3 5 8 4" xfId="20592" xr:uid="{308BB311-A078-4581-8356-4DFD0DCFCB2B}"/>
    <cellStyle name="Currency 5 3 5 8 5" xfId="29032" xr:uid="{674FD410-2349-4752-A782-13C0D84D1FB1}"/>
    <cellStyle name="Currency 5 3 5 9" xfId="4659" xr:uid="{00000000-0005-0000-0000-0000380D0000}"/>
    <cellStyle name="Currency 5 3 5 9 2" xfId="13985" xr:uid="{3CB9C560-ED42-4FF8-879C-2FA7C4646E8D}"/>
    <cellStyle name="Currency 5 3 5 9 3" xfId="22426" xr:uid="{76A85CBD-1155-4336-BEE2-D394FDCD95A2}"/>
    <cellStyle name="Currency 5 3 5 9 4" xfId="30866" xr:uid="{9DA26BB4-D381-4867-A012-80B8149B0108}"/>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510ECB25-62FE-4059-8827-E1E9AB757447}"/>
    <cellStyle name="Currency 5 5 10 3" xfId="22427" xr:uid="{36DEF070-2FEE-473E-B02A-D6D4147953F8}"/>
    <cellStyle name="Currency 5 5 10 4" xfId="30867" xr:uid="{92CE2A36-04F6-48F5-9430-22AA71F2EDD5}"/>
    <cellStyle name="Currency 5 5 11" xfId="8850" xr:uid="{8F129173-F323-478F-8B06-1E2599EB26C1}"/>
    <cellStyle name="Currency 5 5 12" xfId="9769" xr:uid="{EA5ACF39-3113-4D8E-8494-83F34F2C64EB}"/>
    <cellStyle name="Currency 5 5 13" xfId="18210" xr:uid="{259A6C63-993F-43C1-AEB1-55A0F2EBAA00}"/>
    <cellStyle name="Currency 5 5 14" xfId="26650" xr:uid="{BAE95DB3-A7C4-4798-AE88-D05406DEBE5B}"/>
    <cellStyle name="Currency 5 5 2" xfId="220" xr:uid="{00000000-0005-0000-0000-00003D0D0000}"/>
    <cellStyle name="Currency 5 5 2 10" xfId="9057" xr:uid="{90E61E49-0971-4EC1-90D8-E015846E4FB2}"/>
    <cellStyle name="Currency 5 5 2 11" xfId="9770" xr:uid="{083343B3-032D-4F74-89B5-5A7155211D0E}"/>
    <cellStyle name="Currency 5 5 2 12" xfId="18211" xr:uid="{B5329991-DBD5-4132-97C0-20460E87F396}"/>
    <cellStyle name="Currency 5 5 2 13" xfId="26651" xr:uid="{5F3B70BE-E4F4-49F2-9D3C-7F24CAFDFB62}"/>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0314C2A8-9C2A-40B0-9E67-41B944A40208}"/>
    <cellStyle name="Currency 5 5 2 2 2 2 3" xfId="24987" xr:uid="{C6EEECEA-52F1-435D-AA49-7CE7C8FC44FD}"/>
    <cellStyle name="Currency 5 5 2 2 2 2 4" xfId="33427" xr:uid="{486394AB-F039-4D55-B665-0DC1972AD0A7}"/>
    <cellStyle name="Currency 5 5 2 2 2 3" xfId="12329" xr:uid="{8B99BD89-1E13-4514-84D6-CBD55BFB919F}"/>
    <cellStyle name="Currency 5 5 2 2 2 4" xfId="20770" xr:uid="{8F6D9187-D2E1-41D8-BC27-96E7C041529C}"/>
    <cellStyle name="Currency 5 5 2 2 2 5" xfId="29210" xr:uid="{336C661E-9837-49AD-968F-F5C04B1B0B7A}"/>
    <cellStyle name="Currency 5 5 2 2 3" xfId="5075" xr:uid="{00000000-0005-0000-0000-0000410D0000}"/>
    <cellStyle name="Currency 5 5 2 2 3 2" xfId="14401" xr:uid="{0B840FA6-5D60-4DEB-BF41-C0666200B798}"/>
    <cellStyle name="Currency 5 5 2 2 3 3" xfId="22842" xr:uid="{A9CC0875-3142-48FA-92A4-CAB7B5095DF1}"/>
    <cellStyle name="Currency 5 5 2 2 3 4" xfId="31282" xr:uid="{E03F3C7D-95D9-4915-821A-07AC777AC0DA}"/>
    <cellStyle name="Currency 5 5 2 2 4" xfId="9482" xr:uid="{ECEE3E7C-42CD-4A2D-A90F-D54FFBA7E41F}"/>
    <cellStyle name="Currency 5 5 2 2 5" xfId="10184" xr:uid="{E9FECAE2-9DE4-4938-8E53-F49C8B40E548}"/>
    <cellStyle name="Currency 5 5 2 2 6" xfId="18625" xr:uid="{21096719-F3F0-4432-BEE2-F7BCA2FDEDC2}"/>
    <cellStyle name="Currency 5 5 2 2 7" xfId="27065" xr:uid="{DF38A6D6-7057-4B01-B2E7-B3A9849F4F3A}"/>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49FD4FF5-2578-4B7E-B984-AF9786ED5C6C}"/>
    <cellStyle name="Currency 5 5 2 3 2 2 3" xfId="25400" xr:uid="{9E81E543-1710-4346-BC7D-BE6EFBE7D6B8}"/>
    <cellStyle name="Currency 5 5 2 3 2 2 4" xfId="33840" xr:uid="{E8D355C3-81CF-4235-A496-96E6E2C40FF4}"/>
    <cellStyle name="Currency 5 5 2 3 2 3" xfId="12742" xr:uid="{D11C6961-54C6-4E5A-B9D0-6F8DB10CB700}"/>
    <cellStyle name="Currency 5 5 2 3 2 4" xfId="21183" xr:uid="{2F9BD564-6F5B-4C2C-B180-3A690025D0FE}"/>
    <cellStyle name="Currency 5 5 2 3 2 5" xfId="29623" xr:uid="{1770A311-D56E-4B06-967F-469A08A2393F}"/>
    <cellStyle name="Currency 5 5 2 3 3" xfId="5488" xr:uid="{00000000-0005-0000-0000-0000450D0000}"/>
    <cellStyle name="Currency 5 5 2 3 3 2" xfId="14814" xr:uid="{52F983C9-9135-4C38-904C-52D3C7A2FA90}"/>
    <cellStyle name="Currency 5 5 2 3 3 3" xfId="23255" xr:uid="{D7B8A069-4506-40DC-B8FA-91D866A3FFCA}"/>
    <cellStyle name="Currency 5 5 2 3 3 4" xfId="31695" xr:uid="{93D53F5C-036E-4DAF-BF1E-9F55D3488F8A}"/>
    <cellStyle name="Currency 5 5 2 3 4" xfId="10597" xr:uid="{9991C383-0AEF-4F0A-8D47-49F48C443842}"/>
    <cellStyle name="Currency 5 5 2 3 5" xfId="19038" xr:uid="{25DE17C4-920C-416C-8DC9-27497118FD8B}"/>
    <cellStyle name="Currency 5 5 2 3 6" xfId="27478" xr:uid="{3809DDA7-0DAC-4E0D-B784-A9D527D025CB}"/>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7CC337FB-D874-4287-99DD-1B9406AFD110}"/>
    <cellStyle name="Currency 5 5 2 4 2 2 3" xfId="25813" xr:uid="{A18AB5C8-FBFA-4B7F-A0FB-3B17F1245B97}"/>
    <cellStyle name="Currency 5 5 2 4 2 2 4" xfId="34253" xr:uid="{8F6CEE83-CA02-4444-BBB5-B1970C848DA9}"/>
    <cellStyle name="Currency 5 5 2 4 2 3" xfId="13155" xr:uid="{912FC740-371A-4D51-B9EC-2B68D3C30A90}"/>
    <cellStyle name="Currency 5 5 2 4 2 4" xfId="21596" xr:uid="{3607EAB0-73C7-4F5A-9953-01B7DED3712F}"/>
    <cellStyle name="Currency 5 5 2 4 2 5" xfId="30036" xr:uid="{50712F49-6377-43E1-A5C1-A8BF25B75824}"/>
    <cellStyle name="Currency 5 5 2 4 3" xfId="5901" xr:uid="{00000000-0005-0000-0000-0000490D0000}"/>
    <cellStyle name="Currency 5 5 2 4 3 2" xfId="15227" xr:uid="{87191209-0867-4D6D-9030-FDAEB6DBA666}"/>
    <cellStyle name="Currency 5 5 2 4 3 3" xfId="23668" xr:uid="{BF69F131-27E1-4EB4-8F1E-63E4D22718C1}"/>
    <cellStyle name="Currency 5 5 2 4 3 4" xfId="32108" xr:uid="{5E461E7A-6833-4C6C-A790-E94633D5C83A}"/>
    <cellStyle name="Currency 5 5 2 4 4" xfId="11010" xr:uid="{A10AB6E8-B6E1-4174-ADAA-7DFC3A9CB5DD}"/>
    <cellStyle name="Currency 5 5 2 4 5" xfId="19451" xr:uid="{64DA9DEB-1F26-431C-A5C3-6B04A451397A}"/>
    <cellStyle name="Currency 5 5 2 4 6" xfId="27891" xr:uid="{B35C1658-C347-47EE-95CA-FD82361EA142}"/>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9BC6E229-C8AD-41C0-A2CC-179472FEEF3D}"/>
    <cellStyle name="Currency 5 5 2 5 2 2 3" xfId="26226" xr:uid="{B3308118-231B-4C21-AF7F-B8FF4DFD0974}"/>
    <cellStyle name="Currency 5 5 2 5 2 2 4" xfId="34666" xr:uid="{208EF794-5F8E-4DDA-A89C-26EE6D03DE50}"/>
    <cellStyle name="Currency 5 5 2 5 2 3" xfId="13568" xr:uid="{58DF46C5-09ED-46CA-ABAA-E354EA3CA28E}"/>
    <cellStyle name="Currency 5 5 2 5 2 4" xfId="22009" xr:uid="{EB518A99-2DF5-40B8-B2FF-AC481C7A3E35}"/>
    <cellStyle name="Currency 5 5 2 5 2 5" xfId="30449" xr:uid="{D67E510A-16ED-4DAF-A76B-A4F90A460C2A}"/>
    <cellStyle name="Currency 5 5 2 5 3" xfId="6314" xr:uid="{00000000-0005-0000-0000-00004D0D0000}"/>
    <cellStyle name="Currency 5 5 2 5 3 2" xfId="15640" xr:uid="{433568B0-C9CC-4C3B-84B7-80E1E7FD9B0C}"/>
    <cellStyle name="Currency 5 5 2 5 3 3" xfId="24081" xr:uid="{D94F9485-BFF4-4147-B1C8-291611306170}"/>
    <cellStyle name="Currency 5 5 2 5 3 4" xfId="32521" xr:uid="{12EA270A-E4F4-4E28-8E22-4AA8FED2940C}"/>
    <cellStyle name="Currency 5 5 2 5 4" xfId="11423" xr:uid="{5F03E270-EE14-4BD0-816D-B6CB207F91CA}"/>
    <cellStyle name="Currency 5 5 2 5 5" xfId="19864" xr:uid="{87767F5A-F7DB-4CCE-972A-F7B5C97D2E15}"/>
    <cellStyle name="Currency 5 5 2 5 6" xfId="28304" xr:uid="{36DDA6FF-3D59-4688-88DC-4B5C1190AFB6}"/>
    <cellStyle name="Currency 5 5 2 6" xfId="2443" xr:uid="{00000000-0005-0000-0000-00004E0D0000}"/>
    <cellStyle name="Currency 5 5 2 6 2" xfId="6727" xr:uid="{00000000-0005-0000-0000-00004F0D0000}"/>
    <cellStyle name="Currency 5 5 2 6 2 2" xfId="16053" xr:uid="{B94ECC4E-DAE6-424D-A060-8EB9E317BC0E}"/>
    <cellStyle name="Currency 5 5 2 6 2 3" xfId="24494" xr:uid="{1DD425CE-EE8F-4F7F-9F43-F53B15C3E5A8}"/>
    <cellStyle name="Currency 5 5 2 6 2 4" xfId="32934" xr:uid="{192BBE70-91AE-4E01-A3F0-88E369A853D8}"/>
    <cellStyle name="Currency 5 5 2 6 3" xfId="11836" xr:uid="{5A95ECD3-AB6F-454A-95E6-E4AD8AE2D1D0}"/>
    <cellStyle name="Currency 5 5 2 6 4" xfId="20277" xr:uid="{DE31EE4B-5DBB-42CE-BF5C-B0896DAB91B6}"/>
    <cellStyle name="Currency 5 5 2 6 5" xfId="28717" xr:uid="{9116C7D9-2717-46F9-B92A-8E99BA8EF6A4}"/>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FAC46349-1676-4BEA-9111-21DE1057A412}"/>
    <cellStyle name="Currency 5 5 2 8 2 3" xfId="24811" xr:uid="{661ACA00-083C-4056-99EB-7FFDB52F4322}"/>
    <cellStyle name="Currency 5 5 2 8 2 4" xfId="33251" xr:uid="{582DB8EA-519E-4F76-8DA1-F5E99A288FDF}"/>
    <cellStyle name="Currency 5 5 2 8 3" xfId="12153" xr:uid="{76C08033-0CE0-46D5-A474-AD1B592556CC}"/>
    <cellStyle name="Currency 5 5 2 8 4" xfId="20594" xr:uid="{53DD9B9A-1893-4B1D-9DAC-3046012C08C1}"/>
    <cellStyle name="Currency 5 5 2 8 5" xfId="29034" xr:uid="{9CB12498-E0F6-4BE9-81AA-C6A4942DD3BD}"/>
    <cellStyle name="Currency 5 5 2 9" xfId="4661" xr:uid="{00000000-0005-0000-0000-0000530D0000}"/>
    <cellStyle name="Currency 5 5 2 9 2" xfId="13987" xr:uid="{B0865AF8-899D-404C-9E85-5D2AE9A42937}"/>
    <cellStyle name="Currency 5 5 2 9 3" xfId="22428" xr:uid="{4ED7F0AF-4DF1-4554-860C-EA8DE7F4FA36}"/>
    <cellStyle name="Currency 5 5 2 9 4" xfId="30868" xr:uid="{616CC2C0-EBD5-4F83-9E16-DA2838ED6CAF}"/>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C14F8FEF-9190-470D-8417-23DD1E2E1F0C}"/>
    <cellStyle name="Currency 5 5 3 2 2 3" xfId="24986" xr:uid="{C2712190-15BD-41DC-821B-0E4369AFD37F}"/>
    <cellStyle name="Currency 5 5 3 2 2 4" xfId="33426" xr:uid="{FE3399C0-5767-4D88-9BE8-6EC305CBA1AD}"/>
    <cellStyle name="Currency 5 5 3 2 3" xfId="12328" xr:uid="{31680273-C921-4B4B-89C5-AE87B8C12A53}"/>
    <cellStyle name="Currency 5 5 3 2 4" xfId="20769" xr:uid="{322CC7C6-C41E-47A8-B359-AAC51D46AEFF}"/>
    <cellStyle name="Currency 5 5 3 2 5" xfId="29209" xr:uid="{56F11B0B-414D-4EA4-915C-521B9CCB6565}"/>
    <cellStyle name="Currency 5 5 3 3" xfId="5074" xr:uid="{00000000-0005-0000-0000-0000570D0000}"/>
    <cellStyle name="Currency 5 5 3 3 2" xfId="14400" xr:uid="{85C7A6FA-A57E-44B3-ACD5-E51E550D8D6B}"/>
    <cellStyle name="Currency 5 5 3 3 3" xfId="22841" xr:uid="{490FAE6A-DF77-4495-936C-DD43899CF229}"/>
    <cellStyle name="Currency 5 5 3 3 4" xfId="31281" xr:uid="{967D7A0F-6F99-4919-9F29-6C64C8FDF621}"/>
    <cellStyle name="Currency 5 5 3 4" xfId="9275" xr:uid="{54783F20-34E5-4A58-80AE-EC7CC69A89C9}"/>
    <cellStyle name="Currency 5 5 3 5" xfId="10183" xr:uid="{E67BB581-9008-42B0-AE32-C23D1B3219B6}"/>
    <cellStyle name="Currency 5 5 3 6" xfId="18624" xr:uid="{8DF3B524-6417-427D-9187-1E8D47B2414C}"/>
    <cellStyle name="Currency 5 5 3 7" xfId="27064" xr:uid="{D39E5F8F-B7E4-469F-9858-18BA0FCFC602}"/>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67C0AD09-22A6-48B2-BB9B-DF56E7A368BB}"/>
    <cellStyle name="Currency 5 5 4 2 2 3" xfId="25399" xr:uid="{E5C001A1-2C0A-470B-A222-A3F1DBEF41E7}"/>
    <cellStyle name="Currency 5 5 4 2 2 4" xfId="33839" xr:uid="{FBF31D71-83CF-43C0-B969-81F8C8BB5CC0}"/>
    <cellStyle name="Currency 5 5 4 2 3" xfId="12741" xr:uid="{6BE54361-32A9-4154-B80C-EBFECD2F7395}"/>
    <cellStyle name="Currency 5 5 4 2 4" xfId="21182" xr:uid="{DF6BFED9-C45C-4DB3-95A1-735470E96CA9}"/>
    <cellStyle name="Currency 5 5 4 2 5" xfId="29622" xr:uid="{25CE8DE2-DC29-4E31-8D98-A83624F60E4B}"/>
    <cellStyle name="Currency 5 5 4 3" xfId="5487" xr:uid="{00000000-0005-0000-0000-00005B0D0000}"/>
    <cellStyle name="Currency 5 5 4 3 2" xfId="14813" xr:uid="{6B43A3D4-6CB3-4D91-95D0-0A638B61788A}"/>
    <cellStyle name="Currency 5 5 4 3 3" xfId="23254" xr:uid="{0F3A618B-DF6D-49FC-BDE3-583B9ACE571B}"/>
    <cellStyle name="Currency 5 5 4 3 4" xfId="31694" xr:uid="{08E49994-A8CC-446E-AE44-B6773C418C71}"/>
    <cellStyle name="Currency 5 5 4 4" xfId="10596" xr:uid="{4C03B061-3A91-4FF6-9FCC-94AB72AD4C68}"/>
    <cellStyle name="Currency 5 5 4 5" xfId="19037" xr:uid="{C2D7B206-00FA-4646-BBCE-9155A3598F9D}"/>
    <cellStyle name="Currency 5 5 4 6" xfId="27477" xr:uid="{93256DC2-E50F-4F91-8B18-BAEEDB0A8972}"/>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BE950530-149B-4847-93A3-F483908CEF0F}"/>
    <cellStyle name="Currency 5 5 5 2 2 3" xfId="25812" xr:uid="{BEB915FA-A4CE-4CC7-A221-5442C3D10AC2}"/>
    <cellStyle name="Currency 5 5 5 2 2 4" xfId="34252" xr:uid="{E9C29826-6D8A-4828-8EA0-ED2B92DC2D1B}"/>
    <cellStyle name="Currency 5 5 5 2 3" xfId="13154" xr:uid="{61F08E34-EA60-44E1-B5AA-565696BED7CC}"/>
    <cellStyle name="Currency 5 5 5 2 4" xfId="21595" xr:uid="{DF2F8F35-F164-46C8-A6B4-5DAB7DE018BF}"/>
    <cellStyle name="Currency 5 5 5 2 5" xfId="30035" xr:uid="{6CB0EC7C-5ADD-476C-878B-579280A7ED46}"/>
    <cellStyle name="Currency 5 5 5 3" xfId="5900" xr:uid="{00000000-0005-0000-0000-00005F0D0000}"/>
    <cellStyle name="Currency 5 5 5 3 2" xfId="15226" xr:uid="{224ED08E-DE4E-4179-9D0F-A6374B39BE12}"/>
    <cellStyle name="Currency 5 5 5 3 3" xfId="23667" xr:uid="{51B8CCF4-54C2-4C46-907C-BD3CC9B9A096}"/>
    <cellStyle name="Currency 5 5 5 3 4" xfId="32107" xr:uid="{840990C1-CCCD-403C-B714-DD5F393C0CEB}"/>
    <cellStyle name="Currency 5 5 5 4" xfId="11009" xr:uid="{FB1EBB11-504D-4166-9405-DE8B6ADD4B80}"/>
    <cellStyle name="Currency 5 5 5 5" xfId="19450" xr:uid="{86123061-0132-4A4F-8FC6-7F90967AFA49}"/>
    <cellStyle name="Currency 5 5 5 6" xfId="27890" xr:uid="{F32F956F-7477-4440-A648-70561DF792C7}"/>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BECDBA6B-58C2-4302-93F3-FA8E15212264}"/>
    <cellStyle name="Currency 5 5 6 2 2 3" xfId="26225" xr:uid="{001D3504-8DD6-4A71-99CB-FB07B99FDF53}"/>
    <cellStyle name="Currency 5 5 6 2 2 4" xfId="34665" xr:uid="{9D78AEAF-819C-4273-896F-7AC1C7B20F80}"/>
    <cellStyle name="Currency 5 5 6 2 3" xfId="13567" xr:uid="{1A860ED8-1A5A-40D3-839B-750B3D8249D9}"/>
    <cellStyle name="Currency 5 5 6 2 4" xfId="22008" xr:uid="{F1EEDD22-1AD7-4CC9-9FF9-F6B316381DC6}"/>
    <cellStyle name="Currency 5 5 6 2 5" xfId="30448" xr:uid="{65FD8619-2A07-4AB4-9100-B48EA797C691}"/>
    <cellStyle name="Currency 5 5 6 3" xfId="6313" xr:uid="{00000000-0005-0000-0000-0000630D0000}"/>
    <cellStyle name="Currency 5 5 6 3 2" xfId="15639" xr:uid="{722F3DA6-C916-43AC-B03B-E38B993CA5EB}"/>
    <cellStyle name="Currency 5 5 6 3 3" xfId="24080" xr:uid="{5CBA618E-0B25-46C8-B1F9-1D54807AD98D}"/>
    <cellStyle name="Currency 5 5 6 3 4" xfId="32520" xr:uid="{FD562EBE-C702-43A2-AECF-E7E9FF1098D8}"/>
    <cellStyle name="Currency 5 5 6 4" xfId="11422" xr:uid="{6DB0CAB7-7BD8-44A8-A109-E4E66FCAF8F4}"/>
    <cellStyle name="Currency 5 5 6 5" xfId="19863" xr:uid="{906CF147-C953-4D51-99A6-F91104B20731}"/>
    <cellStyle name="Currency 5 5 6 6" xfId="28303" xr:uid="{30A0CC92-929D-4244-A414-BB15A76C0BD1}"/>
    <cellStyle name="Currency 5 5 7" xfId="2442" xr:uid="{00000000-0005-0000-0000-0000640D0000}"/>
    <cellStyle name="Currency 5 5 7 2" xfId="6726" xr:uid="{00000000-0005-0000-0000-0000650D0000}"/>
    <cellStyle name="Currency 5 5 7 2 2" xfId="16052" xr:uid="{4C8BB1F1-2992-4071-8E1E-6A6B776F1172}"/>
    <cellStyle name="Currency 5 5 7 2 3" xfId="24493" xr:uid="{1C6E2C07-E078-4384-A6AA-95C05A94DC82}"/>
    <cellStyle name="Currency 5 5 7 2 4" xfId="32933" xr:uid="{69DBF881-1A03-40C0-9026-6945D6C0F718}"/>
    <cellStyle name="Currency 5 5 7 3" xfId="11835" xr:uid="{80023DDA-FA4A-40D6-9FF9-93A6863D7857}"/>
    <cellStyle name="Currency 5 5 7 4" xfId="20276" xr:uid="{9F108147-823A-4C60-9E6F-8A7829DACA05}"/>
    <cellStyle name="Currency 5 5 7 5" xfId="28716" xr:uid="{1C9553D7-784B-4248-A3B1-454A90325518}"/>
    <cellStyle name="Currency 5 5 8" xfId="2739" xr:uid="{00000000-0005-0000-0000-0000660D0000}"/>
    <cellStyle name="Currency 5 5 9" xfId="2820" xr:uid="{00000000-0005-0000-0000-0000670D0000}"/>
    <cellStyle name="Currency 5 5 9 2" xfId="7043" xr:uid="{00000000-0005-0000-0000-0000680D0000}"/>
    <cellStyle name="Currency 5 5 9 2 2" xfId="16369" xr:uid="{FBAB56AE-B527-411E-8679-54524EFCFE59}"/>
    <cellStyle name="Currency 5 5 9 2 3" xfId="24810" xr:uid="{3CB36AB5-ABA3-49BD-9781-CD288006627E}"/>
    <cellStyle name="Currency 5 5 9 2 4" xfId="33250" xr:uid="{1E5ED013-6D8D-4F76-B37C-E0FFE7F98D46}"/>
    <cellStyle name="Currency 5 5 9 3" xfId="12152" xr:uid="{24D4492E-6472-44D2-A9C4-F5D9C0AED3B6}"/>
    <cellStyle name="Currency 5 5 9 4" xfId="20593" xr:uid="{63CACF29-C8BC-4988-98D3-6DB22E1B6311}"/>
    <cellStyle name="Currency 5 5 9 5" xfId="29033" xr:uid="{66F59556-F500-4827-A0E4-ACA51877BA05}"/>
    <cellStyle name="Currency 5 6" xfId="221" xr:uid="{00000000-0005-0000-0000-0000690D0000}"/>
    <cellStyle name="Currency 5 6 10" xfId="8966" xr:uid="{EC95BD1E-EAA8-4043-BDA7-06F3BBDBC3D5}"/>
    <cellStyle name="Currency 5 6 11" xfId="9771" xr:uid="{56BBD66D-7B4E-480B-91C3-952773298732}"/>
    <cellStyle name="Currency 5 6 12" xfId="18212" xr:uid="{4AF500E4-7027-4FBA-9FF6-00140ECE0534}"/>
    <cellStyle name="Currency 5 6 13" xfId="26652" xr:uid="{10FFCD41-4FC8-4A36-8099-CEF0C698B7E9}"/>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0AB97B74-99DC-4A66-97AF-563C8FECEA5B}"/>
    <cellStyle name="Currency 5 6 2 2 2 3" xfId="24988" xr:uid="{CDA9977B-6CAA-4FF7-90E0-176A828E0083}"/>
    <cellStyle name="Currency 5 6 2 2 2 4" xfId="33428" xr:uid="{204A1C1B-BC93-4F86-976F-39DB5536FC98}"/>
    <cellStyle name="Currency 5 6 2 2 3" xfId="12330" xr:uid="{D8693372-E8FC-4DB1-B363-79E9B8F01165}"/>
    <cellStyle name="Currency 5 6 2 2 4" xfId="20771" xr:uid="{4E664315-6905-4E1D-9C9E-4B4D10718CCC}"/>
    <cellStyle name="Currency 5 6 2 2 5" xfId="29211" xr:uid="{7AD7FAF1-1494-42AF-817B-93F53F27344D}"/>
    <cellStyle name="Currency 5 6 2 3" xfId="5076" xr:uid="{00000000-0005-0000-0000-00006D0D0000}"/>
    <cellStyle name="Currency 5 6 2 3 2" xfId="14402" xr:uid="{B01656FF-9B65-44C8-905B-D426F9F64666}"/>
    <cellStyle name="Currency 5 6 2 3 3" xfId="22843" xr:uid="{D49F508B-4518-4721-A42F-6FC39C8A9DB1}"/>
    <cellStyle name="Currency 5 6 2 3 4" xfId="31283" xr:uid="{6EF7D63D-9C3D-4387-9C1D-C388A9A75CE5}"/>
    <cellStyle name="Currency 5 6 2 4" xfId="9391" xr:uid="{8CBF3F74-51EC-4402-B96A-0759E6537FC7}"/>
    <cellStyle name="Currency 5 6 2 5" xfId="10185" xr:uid="{99D54A22-ABB2-46B9-8F6F-4E55CCC67D43}"/>
    <cellStyle name="Currency 5 6 2 6" xfId="18626" xr:uid="{8606194D-B82B-40FB-A550-AC8ACBD1AF35}"/>
    <cellStyle name="Currency 5 6 2 7" xfId="27066" xr:uid="{9A5535AF-C139-47C3-9B99-B85112589E09}"/>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82C28ADE-4F1B-474D-891C-EBA85334ED2F}"/>
    <cellStyle name="Currency 5 6 3 2 2 3" xfId="25401" xr:uid="{C2E62BF8-9F7B-4438-B9FB-EADBA6B6B485}"/>
    <cellStyle name="Currency 5 6 3 2 2 4" xfId="33841" xr:uid="{4A1C2FFD-EAFF-4159-948A-7F69D9E77905}"/>
    <cellStyle name="Currency 5 6 3 2 3" xfId="12743" xr:uid="{42CD5968-FC54-4BC2-8640-85797DF716F4}"/>
    <cellStyle name="Currency 5 6 3 2 4" xfId="21184" xr:uid="{74CA2557-3937-4790-A0F9-593503EF65C4}"/>
    <cellStyle name="Currency 5 6 3 2 5" xfId="29624" xr:uid="{1074A909-10A2-44D8-A6A0-380CA02F029A}"/>
    <cellStyle name="Currency 5 6 3 3" xfId="5489" xr:uid="{00000000-0005-0000-0000-0000710D0000}"/>
    <cellStyle name="Currency 5 6 3 3 2" xfId="14815" xr:uid="{53CDEF11-CF44-4089-9A33-86CD066309ED}"/>
    <cellStyle name="Currency 5 6 3 3 3" xfId="23256" xr:uid="{62F7880A-9DF8-4387-942D-4CE5A669F4B7}"/>
    <cellStyle name="Currency 5 6 3 3 4" xfId="31696" xr:uid="{4E8C1457-3A74-4A2B-AEA7-4A3A0E5D3A73}"/>
    <cellStyle name="Currency 5 6 3 4" xfId="10598" xr:uid="{28C6CC96-E49A-499E-B614-1AF9350D112F}"/>
    <cellStyle name="Currency 5 6 3 5" xfId="19039" xr:uid="{CFFF8591-9E41-422B-91E4-77A73D71043F}"/>
    <cellStyle name="Currency 5 6 3 6" xfId="27479" xr:uid="{843C6158-1D7C-4721-869C-FA350A112694}"/>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F692C160-0743-4633-8243-12CCE403F129}"/>
    <cellStyle name="Currency 5 6 4 2 2 3" xfId="25814" xr:uid="{76A405F7-4A90-4D75-98B2-346C43AC7FB3}"/>
    <cellStyle name="Currency 5 6 4 2 2 4" xfId="34254" xr:uid="{13975F79-F23B-423B-AE7F-69B6BA6CDDA5}"/>
    <cellStyle name="Currency 5 6 4 2 3" xfId="13156" xr:uid="{F0196C21-3F48-4015-8EB4-EC175610C65A}"/>
    <cellStyle name="Currency 5 6 4 2 4" xfId="21597" xr:uid="{7FB891E8-6315-4DD0-96AF-AEC98173D98B}"/>
    <cellStyle name="Currency 5 6 4 2 5" xfId="30037" xr:uid="{80C64E87-8B5C-4CE0-A524-C84F7A1F6654}"/>
    <cellStyle name="Currency 5 6 4 3" xfId="5902" xr:uid="{00000000-0005-0000-0000-0000750D0000}"/>
    <cellStyle name="Currency 5 6 4 3 2" xfId="15228" xr:uid="{91C8819E-B666-424D-81B9-DB19BE89469F}"/>
    <cellStyle name="Currency 5 6 4 3 3" xfId="23669" xr:uid="{097705F9-7E34-4ABE-8A08-059D5FC2155A}"/>
    <cellStyle name="Currency 5 6 4 3 4" xfId="32109" xr:uid="{8FBF4AB9-2B6D-41E9-B487-6BDEE8CFCB4E}"/>
    <cellStyle name="Currency 5 6 4 4" xfId="11011" xr:uid="{DEB940D5-15EC-41D3-BFC3-83B87AFB014E}"/>
    <cellStyle name="Currency 5 6 4 5" xfId="19452" xr:uid="{E9FA8EC6-CFAB-42A1-ACBD-7EE8DFE76B87}"/>
    <cellStyle name="Currency 5 6 4 6" xfId="27892" xr:uid="{4EC0C847-C960-4BCB-8739-8BEE14365A9E}"/>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E3ECCC4B-A46D-4697-9E09-F1ADA4051DF0}"/>
    <cellStyle name="Currency 5 6 5 2 2 3" xfId="26227" xr:uid="{C1AAD798-C754-47B4-A38C-3C5CC4056945}"/>
    <cellStyle name="Currency 5 6 5 2 2 4" xfId="34667" xr:uid="{BA13410F-F848-40B6-8B24-5800BA6E2224}"/>
    <cellStyle name="Currency 5 6 5 2 3" xfId="13569" xr:uid="{E2E40BE1-A0BA-4E8C-9946-C2C8524F46AE}"/>
    <cellStyle name="Currency 5 6 5 2 4" xfId="22010" xr:uid="{6C5C8A8A-EF42-45CA-8EF5-C2A4048786DC}"/>
    <cellStyle name="Currency 5 6 5 2 5" xfId="30450" xr:uid="{AECDF0AF-46EB-4914-885E-9F4D4A977659}"/>
    <cellStyle name="Currency 5 6 5 3" xfId="6315" xr:uid="{00000000-0005-0000-0000-0000790D0000}"/>
    <cellStyle name="Currency 5 6 5 3 2" xfId="15641" xr:uid="{950FE07D-53AB-42C4-A24E-6417D180DDBA}"/>
    <cellStyle name="Currency 5 6 5 3 3" xfId="24082" xr:uid="{5ABB18AF-EDAF-44B7-A159-43EEA0486F16}"/>
    <cellStyle name="Currency 5 6 5 3 4" xfId="32522" xr:uid="{32AD5B55-9029-4BE3-B5E4-C673B929E56A}"/>
    <cellStyle name="Currency 5 6 5 4" xfId="11424" xr:uid="{B69B4AE3-1487-48EB-8327-D2BA922EE49A}"/>
    <cellStyle name="Currency 5 6 5 5" xfId="19865" xr:uid="{B89C22E9-1137-415B-A78D-D8A7E9A06319}"/>
    <cellStyle name="Currency 5 6 5 6" xfId="28305" xr:uid="{0583F124-577E-450F-8B8C-67CAB8A4B369}"/>
    <cellStyle name="Currency 5 6 6" xfId="2444" xr:uid="{00000000-0005-0000-0000-00007A0D0000}"/>
    <cellStyle name="Currency 5 6 6 2" xfId="6728" xr:uid="{00000000-0005-0000-0000-00007B0D0000}"/>
    <cellStyle name="Currency 5 6 6 2 2" xfId="16054" xr:uid="{B5AFABD2-7AB9-4E9A-A7EE-FEBF6F776F09}"/>
    <cellStyle name="Currency 5 6 6 2 3" xfId="24495" xr:uid="{2B459429-C2B1-48EE-BEAD-2A39B5DBACAC}"/>
    <cellStyle name="Currency 5 6 6 2 4" xfId="32935" xr:uid="{E0E583CB-4C9E-401F-B4D1-57C48181ED7A}"/>
    <cellStyle name="Currency 5 6 6 3" xfId="11837" xr:uid="{D3B7802A-5712-4D46-B68F-142789B059C8}"/>
    <cellStyle name="Currency 5 6 6 4" xfId="20278" xr:uid="{4F9FAC79-6FEF-4E7F-A7F9-A90A35F958B3}"/>
    <cellStyle name="Currency 5 6 6 5" xfId="28718" xr:uid="{8A49E8A0-A214-4561-88CF-BBFE5786791D}"/>
    <cellStyle name="Currency 5 6 7" xfId="2741" xr:uid="{00000000-0005-0000-0000-00007C0D0000}"/>
    <cellStyle name="Currency 5 6 8" xfId="2822" xr:uid="{00000000-0005-0000-0000-00007D0D0000}"/>
    <cellStyle name="Currency 5 6 8 2" xfId="7045" xr:uid="{00000000-0005-0000-0000-00007E0D0000}"/>
    <cellStyle name="Currency 5 6 8 2 2" xfId="16371" xr:uid="{9D87F587-74C1-48A7-80AD-CA9EF0FFEB78}"/>
    <cellStyle name="Currency 5 6 8 2 3" xfId="24812" xr:uid="{DC76BD20-AC40-4C44-8711-34A34E53C20F}"/>
    <cellStyle name="Currency 5 6 8 2 4" xfId="33252" xr:uid="{C168CD4C-9F45-45DB-A007-E159F71F084B}"/>
    <cellStyle name="Currency 5 6 8 3" xfId="12154" xr:uid="{0430964F-948E-4F63-9E23-CBCEF0D6280F}"/>
    <cellStyle name="Currency 5 6 8 4" xfId="20595" xr:uid="{39E8C5A9-E2C8-4FD4-A3D8-1FE12882C29A}"/>
    <cellStyle name="Currency 5 6 8 5" xfId="29035" xr:uid="{2B2A5C83-2C04-4513-9965-943B41AF3E34}"/>
    <cellStyle name="Currency 5 6 9" xfId="4662" xr:uid="{00000000-0005-0000-0000-00007F0D0000}"/>
    <cellStyle name="Currency 5 6 9 2" xfId="13988" xr:uid="{C2B5534D-587C-45FF-BDDF-62C3D54E3289}"/>
    <cellStyle name="Currency 5 6 9 3" xfId="22429" xr:uid="{64EE715D-AA50-4436-B013-519495ACE2DC}"/>
    <cellStyle name="Currency 5 6 9 4" xfId="30869" xr:uid="{60437AE3-C76C-414E-8228-20AB81B0F1F0}"/>
    <cellStyle name="Currency 5 7" xfId="222" xr:uid="{00000000-0005-0000-0000-0000800D0000}"/>
    <cellStyle name="Currency 5 7 10" xfId="9169" xr:uid="{7A886DE7-136A-429E-90E2-A7C712D111D8}"/>
    <cellStyle name="Currency 5 7 11" xfId="9772" xr:uid="{3A8FD412-0AE9-438F-B3E5-864142AC0D7F}"/>
    <cellStyle name="Currency 5 7 12" xfId="18213" xr:uid="{A41746BF-5D6F-474F-9F53-7D35F4E9601D}"/>
    <cellStyle name="Currency 5 7 13" xfId="26653" xr:uid="{ADE81780-E93C-4CAD-B1BC-840179E49473}"/>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6720D64E-0EE7-458A-A2FF-6AC27E038F15}"/>
    <cellStyle name="Currency 5 7 2 2 2 3" xfId="24989" xr:uid="{4E846FC4-B810-49AC-92C5-DEFBCA4B1E90}"/>
    <cellStyle name="Currency 5 7 2 2 2 4" xfId="33429" xr:uid="{BB4A5973-F9CB-4DDA-A7BE-F5CDDB6DBE1C}"/>
    <cellStyle name="Currency 5 7 2 2 3" xfId="12331" xr:uid="{CEDEEE24-7EF6-4D01-B3D9-F1C564C9B4AA}"/>
    <cellStyle name="Currency 5 7 2 2 4" xfId="20772" xr:uid="{5617FEEE-FE10-4E47-B8DA-F854DD3C1E71}"/>
    <cellStyle name="Currency 5 7 2 2 5" xfId="29212" xr:uid="{6EA8B256-0269-457E-B8E6-1B07E0346E88}"/>
    <cellStyle name="Currency 5 7 2 3" xfId="5077" xr:uid="{00000000-0005-0000-0000-0000840D0000}"/>
    <cellStyle name="Currency 5 7 2 3 2" xfId="14403" xr:uid="{B554D21F-943A-4E87-8603-5F2B3E551492}"/>
    <cellStyle name="Currency 5 7 2 3 3" xfId="22844" xr:uid="{5E646A12-81F5-4C91-AEA9-7FF71CC75029}"/>
    <cellStyle name="Currency 5 7 2 3 4" xfId="31284" xr:uid="{DD900895-500F-4BDE-A078-21DA31292C9A}"/>
    <cellStyle name="Currency 5 7 2 4" xfId="9601" xr:uid="{DC93A830-0AF1-4EC4-B764-C728922F3FEF}"/>
    <cellStyle name="Currency 5 7 2 5" xfId="10186" xr:uid="{83DA7949-0AA2-48CE-87D4-17A5D4D88A29}"/>
    <cellStyle name="Currency 5 7 2 6" xfId="18627" xr:uid="{0852276E-8291-48A3-B896-7ACD5E39743E}"/>
    <cellStyle name="Currency 5 7 2 7" xfId="27067" xr:uid="{BD23C14D-9ADC-42AD-8B69-99523D9E2544}"/>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BBE43B8F-638B-466F-BE7F-917E613C2169}"/>
    <cellStyle name="Currency 5 7 3 2 2 3" xfId="25402" xr:uid="{BC8D7400-DACC-44BE-B64D-3451C33FC492}"/>
    <cellStyle name="Currency 5 7 3 2 2 4" xfId="33842" xr:uid="{CAC332A5-0F93-41F0-B315-1C61F8B64A2E}"/>
    <cellStyle name="Currency 5 7 3 2 3" xfId="12744" xr:uid="{FACEA746-69A5-4490-B6E3-4649B7263539}"/>
    <cellStyle name="Currency 5 7 3 2 4" xfId="21185" xr:uid="{2D2DEBD8-6AD0-413D-B7BF-D46B1613E031}"/>
    <cellStyle name="Currency 5 7 3 2 5" xfId="29625" xr:uid="{ED342184-E8AA-4BD0-8417-808BDAA08AA0}"/>
    <cellStyle name="Currency 5 7 3 3" xfId="5490" xr:uid="{00000000-0005-0000-0000-0000880D0000}"/>
    <cellStyle name="Currency 5 7 3 3 2" xfId="14816" xr:uid="{E249505C-4F4B-4BC3-8103-9FCDA0196347}"/>
    <cellStyle name="Currency 5 7 3 3 3" xfId="23257" xr:uid="{CA0A83EC-CB4C-45B7-8270-4C68B53B097B}"/>
    <cellStyle name="Currency 5 7 3 3 4" xfId="31697" xr:uid="{3F01554A-1791-4AEB-BE44-2F2DCE323C31}"/>
    <cellStyle name="Currency 5 7 3 4" xfId="10599" xr:uid="{1EE47D3D-1F1A-4647-92AA-F771BDB5BA64}"/>
    <cellStyle name="Currency 5 7 3 5" xfId="19040" xr:uid="{B8E7F9D0-2689-4F23-BB16-45C203696EB9}"/>
    <cellStyle name="Currency 5 7 3 6" xfId="27480" xr:uid="{EE696CB6-CE88-4B38-AF0E-334B4A59D136}"/>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95B650AB-5E78-4FE6-BCAC-56C2DAA99719}"/>
    <cellStyle name="Currency 5 7 4 2 2 3" xfId="25815" xr:uid="{74BB1ACD-8F09-4C3C-B19D-337C870F1190}"/>
    <cellStyle name="Currency 5 7 4 2 2 4" xfId="34255" xr:uid="{DCF3135E-31ED-4484-9355-4F734226A12A}"/>
    <cellStyle name="Currency 5 7 4 2 3" xfId="13157" xr:uid="{92486FF1-CE95-4F32-B1A4-046B51660191}"/>
    <cellStyle name="Currency 5 7 4 2 4" xfId="21598" xr:uid="{88F66754-EAF5-4F73-A550-4268BF6166D0}"/>
    <cellStyle name="Currency 5 7 4 2 5" xfId="30038" xr:uid="{23C34586-D98F-4A43-9E03-4422A4E7E2FB}"/>
    <cellStyle name="Currency 5 7 4 3" xfId="5903" xr:uid="{00000000-0005-0000-0000-00008C0D0000}"/>
    <cellStyle name="Currency 5 7 4 3 2" xfId="15229" xr:uid="{40A98796-219C-4FE6-B7DE-E0062F6A16AA}"/>
    <cellStyle name="Currency 5 7 4 3 3" xfId="23670" xr:uid="{05D33084-C61A-4C89-B400-8A4E04EF39E8}"/>
    <cellStyle name="Currency 5 7 4 3 4" xfId="32110" xr:uid="{4C1EDAC2-258A-4222-BE15-8905B0C70837}"/>
    <cellStyle name="Currency 5 7 4 4" xfId="11012" xr:uid="{E4377920-0BAE-4D4B-B757-38A4E7F13BC9}"/>
    <cellStyle name="Currency 5 7 4 5" xfId="19453" xr:uid="{23504C00-9DDA-4062-A5AD-5DA4E3214D14}"/>
    <cellStyle name="Currency 5 7 4 6" xfId="27893" xr:uid="{315B7085-847E-4634-AFA5-8A04D7CA489B}"/>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B4F6A4F6-BAA0-43B7-8276-1947B24CBF67}"/>
    <cellStyle name="Currency 5 7 5 2 2 3" xfId="26228" xr:uid="{00E69729-40CC-4B30-A77E-D14F51E23FE3}"/>
    <cellStyle name="Currency 5 7 5 2 2 4" xfId="34668" xr:uid="{F73A07D9-BCF7-43EA-8E44-29BD339E89B0}"/>
    <cellStyle name="Currency 5 7 5 2 3" xfId="13570" xr:uid="{9A1DD477-DDDF-4CD3-95A7-EDB78D6EBD2E}"/>
    <cellStyle name="Currency 5 7 5 2 4" xfId="22011" xr:uid="{FFFB7D57-BA27-4A8E-855B-263998CF3223}"/>
    <cellStyle name="Currency 5 7 5 2 5" xfId="30451" xr:uid="{C850FBBA-F196-418D-AEF1-70D52937EBAC}"/>
    <cellStyle name="Currency 5 7 5 3" xfId="6316" xr:uid="{00000000-0005-0000-0000-0000900D0000}"/>
    <cellStyle name="Currency 5 7 5 3 2" xfId="15642" xr:uid="{40E24FB0-3D81-4F4C-82A9-4567BE1049F4}"/>
    <cellStyle name="Currency 5 7 5 3 3" xfId="24083" xr:uid="{1514B82B-B401-42B2-BB2E-4FF74F11AFB5}"/>
    <cellStyle name="Currency 5 7 5 3 4" xfId="32523" xr:uid="{7D86C55E-FAAD-4E9D-A06A-B955764B2B8B}"/>
    <cellStyle name="Currency 5 7 5 4" xfId="11425" xr:uid="{6C77DE4F-6064-44E8-A355-7F6D8BFC91D7}"/>
    <cellStyle name="Currency 5 7 5 5" xfId="19866" xr:uid="{D4E8D2E0-CE71-47C7-AFE2-BA2A5911D2A7}"/>
    <cellStyle name="Currency 5 7 5 6" xfId="28306" xr:uid="{6D433167-378B-47FF-A449-4296E1360F4C}"/>
    <cellStyle name="Currency 5 7 6" xfId="2445" xr:uid="{00000000-0005-0000-0000-0000910D0000}"/>
    <cellStyle name="Currency 5 7 6 2" xfId="6729" xr:uid="{00000000-0005-0000-0000-0000920D0000}"/>
    <cellStyle name="Currency 5 7 6 2 2" xfId="16055" xr:uid="{B75074D1-8A77-4877-95F3-7BB8133997E0}"/>
    <cellStyle name="Currency 5 7 6 2 3" xfId="24496" xr:uid="{9B7CD3A8-CA70-462C-840C-EB2F358F852E}"/>
    <cellStyle name="Currency 5 7 6 2 4" xfId="32936" xr:uid="{DDE71BD6-A18F-46FC-B992-793E6638EBA1}"/>
    <cellStyle name="Currency 5 7 6 3" xfId="11838" xr:uid="{D6FDA1CD-AC81-4AAA-A152-D118A76CF05B}"/>
    <cellStyle name="Currency 5 7 6 4" xfId="20279" xr:uid="{30F0BCD4-62DB-4BAE-BD78-D8B8915DBFE6}"/>
    <cellStyle name="Currency 5 7 6 5" xfId="28719" xr:uid="{B2F05328-EC1F-4805-929C-F2BD33D21D75}"/>
    <cellStyle name="Currency 5 7 7" xfId="2742" xr:uid="{00000000-0005-0000-0000-0000930D0000}"/>
    <cellStyle name="Currency 5 7 8" xfId="2823" xr:uid="{00000000-0005-0000-0000-0000940D0000}"/>
    <cellStyle name="Currency 5 7 8 2" xfId="7046" xr:uid="{00000000-0005-0000-0000-0000950D0000}"/>
    <cellStyle name="Currency 5 7 8 2 2" xfId="16372" xr:uid="{2698E82D-03CD-46F4-9D8D-0B5D24F8A27A}"/>
    <cellStyle name="Currency 5 7 8 2 3" xfId="24813" xr:uid="{3DCCDD8B-2079-482A-8681-6F9630211CA3}"/>
    <cellStyle name="Currency 5 7 8 2 4" xfId="33253" xr:uid="{EB904EFE-BE95-41D7-BA52-BC9DD67B9455}"/>
    <cellStyle name="Currency 5 7 8 3" xfId="12155" xr:uid="{BEB23216-2575-4960-8BF1-394DA30F04BC}"/>
    <cellStyle name="Currency 5 7 8 4" xfId="20596" xr:uid="{20432D4A-E26B-4382-9922-3ED55CA480D1}"/>
    <cellStyle name="Currency 5 7 8 5" xfId="29036" xr:uid="{7456A53D-BB08-400D-A935-49293603CCD4}"/>
    <cellStyle name="Currency 5 7 9" xfId="4663" xr:uid="{00000000-0005-0000-0000-0000960D0000}"/>
    <cellStyle name="Currency 5 7 9 2" xfId="13989" xr:uid="{062DAEF2-1109-490E-AAAD-02714C8348EE}"/>
    <cellStyle name="Currency 5 7 9 3" xfId="22430" xr:uid="{19F6E087-D514-442F-A581-761EA205D487}"/>
    <cellStyle name="Currency 5 7 9 4" xfId="30870" xr:uid="{E50F581A-B892-40C5-BA22-13155F33E53D}"/>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12E254D5-5CEF-47D5-B5F1-DA5006A1B7F5}"/>
    <cellStyle name="Normal 12 10 2 3" xfId="24497" xr:uid="{6BB67095-4BE6-4DA9-9582-28A4ECC0EADC}"/>
    <cellStyle name="Normal 12 10 2 4" xfId="32937" xr:uid="{318CC4A2-5293-4FA5-A1FF-83FB3E5A93AE}"/>
    <cellStyle name="Normal 12 10 3" xfId="11839" xr:uid="{0C0DC914-6C1B-4851-8D65-404CFD00BBFC}"/>
    <cellStyle name="Normal 12 10 4" xfId="20280" xr:uid="{BD58BAA6-2DAC-47F4-A22A-661129EBA507}"/>
    <cellStyle name="Normal 12 10 5" xfId="28720" xr:uid="{C481600C-B9DC-4C73-B85C-C170DC956B74}"/>
    <cellStyle name="Normal 12 11" xfId="4664" xr:uid="{00000000-0005-0000-0000-0000CC0D0000}"/>
    <cellStyle name="Normal 12 11 2" xfId="13990" xr:uid="{617F04E9-A15D-4604-AD18-B7002A696CE0}"/>
    <cellStyle name="Normal 12 11 3" xfId="22431" xr:uid="{29240787-CCCD-4F92-8EE6-CA69B8E1B665}"/>
    <cellStyle name="Normal 12 11 4" xfId="30871" xr:uid="{6909702E-09B6-49C1-92BA-172B7DF5986F}"/>
    <cellStyle name="Normal 12 12" xfId="8770" xr:uid="{16E7F001-A88D-4413-825E-78352A31064A}"/>
    <cellStyle name="Normal 12 13" xfId="9773" xr:uid="{98C69737-26AF-431D-802C-1322A1C4B27E}"/>
    <cellStyle name="Normal 12 14" xfId="18214" xr:uid="{F1BB63F2-6CDA-4EED-AC98-CD4BD58E0780}"/>
    <cellStyle name="Normal 12 15" xfId="26654" xr:uid="{707338D9-10C4-4E2B-A0AA-9B0BC16698E3}"/>
    <cellStyle name="Normal 12 2" xfId="260" xr:uid="{00000000-0005-0000-0000-0000CD0D0000}"/>
    <cellStyle name="Normal 12 2 10" xfId="8811" xr:uid="{C610EFA7-DF28-475D-A7AA-61B6675A083B}"/>
    <cellStyle name="Normal 12 2 11" xfId="9774" xr:uid="{E9FC60CC-18F2-45B5-9375-274FD7D13140}"/>
    <cellStyle name="Normal 12 2 12" xfId="18215" xr:uid="{31F7947C-0EFF-4064-AE0D-F94481BB220A}"/>
    <cellStyle name="Normal 12 2 13" xfId="26655" xr:uid="{3A7B84A7-D8CD-4225-BECB-7BDFD76BC802}"/>
    <cellStyle name="Normal 12 2 2" xfId="261" xr:uid="{00000000-0005-0000-0000-0000CE0D0000}"/>
    <cellStyle name="Normal 12 2 2 10" xfId="9775" xr:uid="{6EAF6392-87D4-43C2-A065-A207D4E56AA8}"/>
    <cellStyle name="Normal 12 2 2 11" xfId="18216" xr:uid="{FD6E5724-4AC1-4E7A-A1B5-7AA195DFCE65}"/>
    <cellStyle name="Normal 12 2 2 12" xfId="26656" xr:uid="{C33CF57F-D4EB-4D88-B982-1AED3C8AA8DA}"/>
    <cellStyle name="Normal 12 2 2 2" xfId="262" xr:uid="{00000000-0005-0000-0000-0000CF0D0000}"/>
    <cellStyle name="Normal 12 2 2 2 10" xfId="18217" xr:uid="{3D3D60B2-8643-4835-99C7-B3868AE102B2}"/>
    <cellStyle name="Normal 12 2 2 2 11" xfId="26657" xr:uid="{A497F60D-D91B-4B6F-8BE1-EDB9CE8041EC}"/>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A8611C2F-86AA-4497-A32D-E7D09469B067}"/>
    <cellStyle name="Normal 12 2 2 2 2 2 2 3" xfId="24993" xr:uid="{0475F600-BBEB-4835-A30A-2F529EE62694}"/>
    <cellStyle name="Normal 12 2 2 2 2 2 2 4" xfId="33433" xr:uid="{573D070C-864D-4C2C-9F8D-8892C433E19E}"/>
    <cellStyle name="Normal 12 2 2 2 2 2 3" xfId="12335" xr:uid="{01D85550-4A84-4327-BFA5-D5141F2DB1DD}"/>
    <cellStyle name="Normal 12 2 2 2 2 2 4" xfId="20776" xr:uid="{16E37FFF-E2C1-4351-B9A5-5BDDBB9F3D7C}"/>
    <cellStyle name="Normal 12 2 2 2 2 2 5" xfId="29216" xr:uid="{132ABACB-C36E-47A4-820E-7802632B733F}"/>
    <cellStyle name="Normal 12 2 2 2 2 3" xfId="5081" xr:uid="{00000000-0005-0000-0000-0000D30D0000}"/>
    <cellStyle name="Normal 12 2 2 2 2 3 2" xfId="14407" xr:uid="{866DB50C-AEA7-4C5A-86D0-3710758CC6E1}"/>
    <cellStyle name="Normal 12 2 2 2 2 3 3" xfId="22848" xr:uid="{181D3D0F-500F-4125-A159-0387506DDAD4}"/>
    <cellStyle name="Normal 12 2 2 2 2 3 4" xfId="31288" xr:uid="{431D6CE2-FD1D-4222-925E-9AC7B784525F}"/>
    <cellStyle name="Normal 12 2 2 2 2 4" xfId="9546" xr:uid="{609DE280-4DA3-4355-9F1C-9E01708347EA}"/>
    <cellStyle name="Normal 12 2 2 2 2 5" xfId="10190" xr:uid="{AC33B9E0-A227-46BF-B135-8C8D235C6CCB}"/>
    <cellStyle name="Normal 12 2 2 2 2 6" xfId="18631" xr:uid="{455FF5E6-14FD-4BA4-8E30-3404C3F3F6D6}"/>
    <cellStyle name="Normal 12 2 2 2 2 7" xfId="27071" xr:uid="{8CC63292-62EE-441D-84AA-8C45F8B63B96}"/>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91693F8C-F139-441B-BBBB-7F6219B75966}"/>
    <cellStyle name="Normal 12 2 2 2 3 2 2 3" xfId="25406" xr:uid="{CA5479C8-3436-4A65-AF0B-C8D6028A4EA8}"/>
    <cellStyle name="Normal 12 2 2 2 3 2 2 4" xfId="33846" xr:uid="{9B2B3838-4CFA-49EF-B182-7323F4E27B5F}"/>
    <cellStyle name="Normal 12 2 2 2 3 2 3" xfId="12748" xr:uid="{89DF3579-A41A-429A-87D4-7D8705D458A7}"/>
    <cellStyle name="Normal 12 2 2 2 3 2 4" xfId="21189" xr:uid="{B2026F83-B6F8-487A-9E5B-6DAE18687A93}"/>
    <cellStyle name="Normal 12 2 2 2 3 2 5" xfId="29629" xr:uid="{23623BAA-CDC0-4CF8-9D9D-C4B44AD8702B}"/>
    <cellStyle name="Normal 12 2 2 2 3 3" xfId="5494" xr:uid="{00000000-0005-0000-0000-0000D70D0000}"/>
    <cellStyle name="Normal 12 2 2 2 3 3 2" xfId="14820" xr:uid="{D4B12166-7A65-4B0E-A041-1FF7E2EE7E7B}"/>
    <cellStyle name="Normal 12 2 2 2 3 3 3" xfId="23261" xr:uid="{CF12AE7E-61EA-4B17-B408-99173DF5EBFA}"/>
    <cellStyle name="Normal 12 2 2 2 3 3 4" xfId="31701" xr:uid="{A5B557E6-8E91-42E5-AE4D-AD1182838670}"/>
    <cellStyle name="Normal 12 2 2 2 3 4" xfId="10603" xr:uid="{965AC377-CDA8-42F4-874F-E95FBF34EAA7}"/>
    <cellStyle name="Normal 12 2 2 2 3 5" xfId="19044" xr:uid="{0EC0BDAB-DF0B-4E8B-BC34-0534D0259D61}"/>
    <cellStyle name="Normal 12 2 2 2 3 6" xfId="27484" xr:uid="{7462FBA6-43BA-47CF-836C-6577F568C3E4}"/>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BFB4B236-108B-449B-943B-E808E50AFB7E}"/>
    <cellStyle name="Normal 12 2 2 2 4 2 2 3" xfId="25819" xr:uid="{71FFDC52-D66D-4BD7-88FE-3E12B795F002}"/>
    <cellStyle name="Normal 12 2 2 2 4 2 2 4" xfId="34259" xr:uid="{5429B04C-2564-401D-9567-4B7F087E8BD0}"/>
    <cellStyle name="Normal 12 2 2 2 4 2 3" xfId="13161" xr:uid="{776DC44D-C112-4A2A-9950-5E92AE8E6480}"/>
    <cellStyle name="Normal 12 2 2 2 4 2 4" xfId="21602" xr:uid="{C118D74D-35FA-4270-B15C-541051910920}"/>
    <cellStyle name="Normal 12 2 2 2 4 2 5" xfId="30042" xr:uid="{A89F895D-ECB2-41BC-A86F-2634D5F67EA2}"/>
    <cellStyle name="Normal 12 2 2 2 4 3" xfId="5907" xr:uid="{00000000-0005-0000-0000-0000DB0D0000}"/>
    <cellStyle name="Normal 12 2 2 2 4 3 2" xfId="15233" xr:uid="{8B1F3FBE-D3E3-4FAF-998C-951A4BBF4A8C}"/>
    <cellStyle name="Normal 12 2 2 2 4 3 3" xfId="23674" xr:uid="{FDA372B1-4F19-431A-AC5A-FF224E88071D}"/>
    <cellStyle name="Normal 12 2 2 2 4 3 4" xfId="32114" xr:uid="{B5C0ED2A-5F36-43C9-BC78-7182441571BC}"/>
    <cellStyle name="Normal 12 2 2 2 4 4" xfId="11016" xr:uid="{E4A66FDE-EC0F-450D-93C7-A5E3CF03ABE6}"/>
    <cellStyle name="Normal 12 2 2 2 4 5" xfId="19457" xr:uid="{A3C23E38-CF1A-49AF-9EB5-07C4E0F1A226}"/>
    <cellStyle name="Normal 12 2 2 2 4 6" xfId="27897" xr:uid="{4DE22BCE-26EB-47EE-B4CF-407425612D08}"/>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C834AE6C-CD4B-4C7B-A8D9-A6BCE830E33B}"/>
    <cellStyle name="Normal 12 2 2 2 5 2 2 3" xfId="26232" xr:uid="{208E7545-36BC-4A13-B140-FD2D86850659}"/>
    <cellStyle name="Normal 12 2 2 2 5 2 2 4" xfId="34672" xr:uid="{87DBED6C-AD0B-4548-BFCF-24D7A06D47FB}"/>
    <cellStyle name="Normal 12 2 2 2 5 2 3" xfId="13574" xr:uid="{05CC5610-040C-4415-B7D6-4B30590618FF}"/>
    <cellStyle name="Normal 12 2 2 2 5 2 4" xfId="22015" xr:uid="{EA047807-C4B1-469A-9902-079BF0C32CEC}"/>
    <cellStyle name="Normal 12 2 2 2 5 2 5" xfId="30455" xr:uid="{5B7D5BDB-9C56-4393-A7CC-E94B5197878C}"/>
    <cellStyle name="Normal 12 2 2 2 5 3" xfId="6320" xr:uid="{00000000-0005-0000-0000-0000DF0D0000}"/>
    <cellStyle name="Normal 12 2 2 2 5 3 2" xfId="15646" xr:uid="{6737ED9A-B34F-4E6D-AC04-F4BBA6B72202}"/>
    <cellStyle name="Normal 12 2 2 2 5 3 3" xfId="24087" xr:uid="{6F27115E-935F-43B6-AE8C-FBD7536239E4}"/>
    <cellStyle name="Normal 12 2 2 2 5 3 4" xfId="32527" xr:uid="{9442275A-FBE5-4408-AA5E-986524013227}"/>
    <cellStyle name="Normal 12 2 2 2 5 4" xfId="11429" xr:uid="{B51DB560-47D2-4490-BF76-1B35393EE7FC}"/>
    <cellStyle name="Normal 12 2 2 2 5 5" xfId="19870" xr:uid="{742BA32E-343E-4E0A-9B65-922A55A8C74B}"/>
    <cellStyle name="Normal 12 2 2 2 5 6" xfId="28310" xr:uid="{B6A8061E-4BD7-4D33-84A7-71580EF3093D}"/>
    <cellStyle name="Normal 12 2 2 2 6" xfId="2450" xr:uid="{00000000-0005-0000-0000-0000E00D0000}"/>
    <cellStyle name="Normal 12 2 2 2 6 2" xfId="6733" xr:uid="{00000000-0005-0000-0000-0000E10D0000}"/>
    <cellStyle name="Normal 12 2 2 2 6 2 2" xfId="16059" xr:uid="{58B70063-9379-4721-9FFF-6E04E84EA21F}"/>
    <cellStyle name="Normal 12 2 2 2 6 2 3" xfId="24500" xr:uid="{2BCF3402-53E5-4842-A54A-41BC1B0CE46A}"/>
    <cellStyle name="Normal 12 2 2 2 6 2 4" xfId="32940" xr:uid="{A259A639-1018-47BB-A775-C0A42E1EE926}"/>
    <cellStyle name="Normal 12 2 2 2 6 3" xfId="11842" xr:uid="{4C74404F-4529-4793-B6C4-3A27EF8E5BC2}"/>
    <cellStyle name="Normal 12 2 2 2 6 4" xfId="20283" xr:uid="{ABE983C6-5B2D-46E7-82B5-8EC0A0695631}"/>
    <cellStyle name="Normal 12 2 2 2 6 5" xfId="28723" xr:uid="{39300D5C-9A6B-4E43-8D02-1F8D343B9975}"/>
    <cellStyle name="Normal 12 2 2 2 7" xfId="4667" xr:uid="{00000000-0005-0000-0000-0000E20D0000}"/>
    <cellStyle name="Normal 12 2 2 2 7 2" xfId="13993" xr:uid="{80E4ABC3-FE7E-42F4-90F2-7E9BFB4C129E}"/>
    <cellStyle name="Normal 12 2 2 2 7 3" xfId="22434" xr:uid="{7B456DC5-6122-4B83-A202-6C14DCD9ACA1}"/>
    <cellStyle name="Normal 12 2 2 2 7 4" xfId="30874" xr:uid="{9C54F1A6-467F-41A3-8278-ACAC7D17A649}"/>
    <cellStyle name="Normal 12 2 2 2 8" xfId="9121" xr:uid="{527C15BB-BE4D-46AB-9317-CC8E6838C91D}"/>
    <cellStyle name="Normal 12 2 2 2 9" xfId="9776" xr:uid="{A6715740-811B-40A5-8E73-F22083A3FD39}"/>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68A43952-E8E1-4EFB-8779-6D52BB7F135F}"/>
    <cellStyle name="Normal 12 2 2 3 2 2 3" xfId="24992" xr:uid="{67E844DA-8754-4D4B-AE38-3AAF7B488329}"/>
    <cellStyle name="Normal 12 2 2 3 2 2 4" xfId="33432" xr:uid="{2B1A6931-A0AA-49ED-AA5D-85AC67E98FC7}"/>
    <cellStyle name="Normal 12 2 2 3 2 3" xfId="12334" xr:uid="{1627A233-1828-483C-8720-46BA68E6A08F}"/>
    <cellStyle name="Normal 12 2 2 3 2 4" xfId="20775" xr:uid="{E81052A0-4617-42AA-A6B0-4BD41D223568}"/>
    <cellStyle name="Normal 12 2 2 3 2 5" xfId="29215" xr:uid="{2D07F0FB-27B1-451E-A03B-643ECAE89883}"/>
    <cellStyle name="Normal 12 2 2 3 3" xfId="5080" xr:uid="{00000000-0005-0000-0000-0000E60D0000}"/>
    <cellStyle name="Normal 12 2 2 3 3 2" xfId="14406" xr:uid="{49A8842C-420C-412E-A0B4-38EA1E6868FF}"/>
    <cellStyle name="Normal 12 2 2 3 3 3" xfId="22847" xr:uid="{B2D84BF3-E2F0-4316-8934-7012D79318CC}"/>
    <cellStyle name="Normal 12 2 2 3 3 4" xfId="31287" xr:uid="{A4613817-CE26-4A71-89CE-4E3C70B25911}"/>
    <cellStyle name="Normal 12 2 2 3 4" xfId="9339" xr:uid="{F3F800C1-92DF-4F1F-A561-C3F3C7F8BAD1}"/>
    <cellStyle name="Normal 12 2 2 3 5" xfId="10189" xr:uid="{C9C3666F-B8C7-49B3-92D7-AA38A134FBA9}"/>
    <cellStyle name="Normal 12 2 2 3 6" xfId="18630" xr:uid="{B7E7798E-9D36-4189-9C87-C791636C44D6}"/>
    <cellStyle name="Normal 12 2 2 3 7" xfId="27070" xr:uid="{2E1FD670-3B88-4C66-8BA2-ADBC3A2526EB}"/>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4B3176DC-B6AC-40A7-8E11-8BB9CEBB7521}"/>
    <cellStyle name="Normal 12 2 2 4 2 2 3" xfId="25405" xr:uid="{77647FC6-670E-4D0F-88FF-FECB30DED1DA}"/>
    <cellStyle name="Normal 12 2 2 4 2 2 4" xfId="33845" xr:uid="{83FDDA80-8BE7-490A-8541-31708DFE0121}"/>
    <cellStyle name="Normal 12 2 2 4 2 3" xfId="12747" xr:uid="{1FDEE7AD-8440-458E-9595-B38AAE5CD047}"/>
    <cellStyle name="Normal 12 2 2 4 2 4" xfId="21188" xr:uid="{28E717DD-6C86-4CEB-8D34-6CDB610429B0}"/>
    <cellStyle name="Normal 12 2 2 4 2 5" xfId="29628" xr:uid="{C46B5D83-D043-401E-BF7D-85B1F37BD56F}"/>
    <cellStyle name="Normal 12 2 2 4 3" xfId="5493" xr:uid="{00000000-0005-0000-0000-0000EA0D0000}"/>
    <cellStyle name="Normal 12 2 2 4 3 2" xfId="14819" xr:uid="{EF209DEE-32BD-4E14-9B79-316AC30E5B02}"/>
    <cellStyle name="Normal 12 2 2 4 3 3" xfId="23260" xr:uid="{80828680-A951-422F-B6BA-E6EB0AF4B5D9}"/>
    <cellStyle name="Normal 12 2 2 4 3 4" xfId="31700" xr:uid="{8F0DDA8B-2ABA-4624-A7ED-2B033BA302BA}"/>
    <cellStyle name="Normal 12 2 2 4 4" xfId="10602" xr:uid="{F8DE3FF0-24AB-4327-A261-B6920828E89B}"/>
    <cellStyle name="Normal 12 2 2 4 5" xfId="19043" xr:uid="{F773FF00-B76A-40A2-99BB-2D25471ABE2E}"/>
    <cellStyle name="Normal 12 2 2 4 6" xfId="27483" xr:uid="{E556CF94-0D39-4024-9C7D-87AC8ADACCF5}"/>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7140E030-7AA3-4215-9C38-85F953E38F30}"/>
    <cellStyle name="Normal 12 2 2 5 2 2 3" xfId="25818" xr:uid="{3A02A241-043F-4344-9DF1-4C80505AC157}"/>
    <cellStyle name="Normal 12 2 2 5 2 2 4" xfId="34258" xr:uid="{9C358E91-C4D8-4A94-BBB5-B36D1DB9DC90}"/>
    <cellStyle name="Normal 12 2 2 5 2 3" xfId="13160" xr:uid="{B08D7F29-2B69-4B88-A9B7-A59C7272C9A8}"/>
    <cellStyle name="Normal 12 2 2 5 2 4" xfId="21601" xr:uid="{CD717121-EA13-48C5-98AE-BCFD56CA5A97}"/>
    <cellStyle name="Normal 12 2 2 5 2 5" xfId="30041" xr:uid="{4E7C45EE-8B5C-44F6-86BA-A99B1EB282F3}"/>
    <cellStyle name="Normal 12 2 2 5 3" xfId="5906" xr:uid="{00000000-0005-0000-0000-0000EE0D0000}"/>
    <cellStyle name="Normal 12 2 2 5 3 2" xfId="15232" xr:uid="{0917B4C8-7ED1-4416-97AF-8BC6AA65F3DE}"/>
    <cellStyle name="Normal 12 2 2 5 3 3" xfId="23673" xr:uid="{E2F2A3A7-597C-478B-8FD6-28CB21184A61}"/>
    <cellStyle name="Normal 12 2 2 5 3 4" xfId="32113" xr:uid="{163EB735-089F-4AC5-AB07-7FD9DF781E53}"/>
    <cellStyle name="Normal 12 2 2 5 4" xfId="11015" xr:uid="{63A201A6-0913-4A00-AD35-B773D344CD16}"/>
    <cellStyle name="Normal 12 2 2 5 5" xfId="19456" xr:uid="{A0A1A10D-F091-4D82-824E-DB0CB6D5A56A}"/>
    <cellStyle name="Normal 12 2 2 5 6" xfId="27896" xr:uid="{C69CAD7B-BB21-4216-967A-911A4BBA2160}"/>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0AE0FA05-0140-412E-9AF5-9C460E9FFDF8}"/>
    <cellStyle name="Normal 12 2 2 6 2 2 3" xfId="26231" xr:uid="{0B0BFD32-BCFD-45DC-A2CB-FEED0DFADEC0}"/>
    <cellStyle name="Normal 12 2 2 6 2 2 4" xfId="34671" xr:uid="{1CB0449F-8546-499D-8EB8-7049EAC37C7E}"/>
    <cellStyle name="Normal 12 2 2 6 2 3" xfId="13573" xr:uid="{0BC00914-2FFF-4281-B8CF-7B453C59F58B}"/>
    <cellStyle name="Normal 12 2 2 6 2 4" xfId="22014" xr:uid="{C18BB7B7-4C6D-40F5-B420-72D217543154}"/>
    <cellStyle name="Normal 12 2 2 6 2 5" xfId="30454" xr:uid="{40FFD347-FEB7-4B7B-B937-4179F6E355F4}"/>
    <cellStyle name="Normal 12 2 2 6 3" xfId="6319" xr:uid="{00000000-0005-0000-0000-0000F20D0000}"/>
    <cellStyle name="Normal 12 2 2 6 3 2" xfId="15645" xr:uid="{EF686EE5-6CD8-4A98-9F92-DF8F4E525E8B}"/>
    <cellStyle name="Normal 12 2 2 6 3 3" xfId="24086" xr:uid="{4E0364D7-8F2F-42B6-86B2-FE7EC2E0271D}"/>
    <cellStyle name="Normal 12 2 2 6 3 4" xfId="32526" xr:uid="{BCFB11A1-0BF4-4708-8FD8-A282F0549B40}"/>
    <cellStyle name="Normal 12 2 2 6 4" xfId="11428" xr:uid="{2563FF0C-588B-4EC7-875A-9D9E321E6AA5}"/>
    <cellStyle name="Normal 12 2 2 6 5" xfId="19869" xr:uid="{1136CD95-6309-42AD-A628-886E12E630D4}"/>
    <cellStyle name="Normal 12 2 2 6 6" xfId="28309" xr:uid="{A2978732-E0A4-4818-BD2F-04708AA83B14}"/>
    <cellStyle name="Normal 12 2 2 7" xfId="2449" xr:uid="{00000000-0005-0000-0000-0000F30D0000}"/>
    <cellStyle name="Normal 12 2 2 7 2" xfId="6732" xr:uid="{00000000-0005-0000-0000-0000F40D0000}"/>
    <cellStyle name="Normal 12 2 2 7 2 2" xfId="16058" xr:uid="{0D65D37D-C560-4B27-ADC1-941F08ABA3CA}"/>
    <cellStyle name="Normal 12 2 2 7 2 3" xfId="24499" xr:uid="{21DF6C3C-DF29-4672-92E7-56BCD097E499}"/>
    <cellStyle name="Normal 12 2 2 7 2 4" xfId="32939" xr:uid="{CC0F82F6-318C-4B49-A075-CEC88EC2F750}"/>
    <cellStyle name="Normal 12 2 2 7 3" xfId="11841" xr:uid="{3FD55A5D-22E7-45DC-A07D-4ECA96003B6D}"/>
    <cellStyle name="Normal 12 2 2 7 4" xfId="20282" xr:uid="{57094455-FA3A-4FE7-A4B3-688EDCCCD46C}"/>
    <cellStyle name="Normal 12 2 2 7 5" xfId="28722" xr:uid="{FE88071B-4642-4917-935A-DFD6F19D34DE}"/>
    <cellStyle name="Normal 12 2 2 8" xfId="4666" xr:uid="{00000000-0005-0000-0000-0000F50D0000}"/>
    <cellStyle name="Normal 12 2 2 8 2" xfId="13992" xr:uid="{8AA07D15-22DE-40BE-9E74-2ABA02220B2C}"/>
    <cellStyle name="Normal 12 2 2 8 3" xfId="22433" xr:uid="{AEE11820-6A8D-4193-A6A2-280D5ED72F8C}"/>
    <cellStyle name="Normal 12 2 2 8 4" xfId="30873" xr:uid="{CDE22558-D06B-4261-93CA-A8E54D78FB54}"/>
    <cellStyle name="Normal 12 2 2 9" xfId="8914" xr:uid="{85903DBC-FA0A-4A9D-9FB4-BA36A4B6F510}"/>
    <cellStyle name="Normal 12 2 3" xfId="263" xr:uid="{00000000-0005-0000-0000-0000F60D0000}"/>
    <cellStyle name="Normal 12 2 3 10" xfId="18218" xr:uid="{E3306A7E-0CF1-4289-82D2-B8527B55F006}"/>
    <cellStyle name="Normal 12 2 3 11" xfId="26658" xr:uid="{DDA4BCFF-47A5-41D3-BC0B-5FC9C3CC8389}"/>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526D5B9D-FAEB-41E7-B010-ADC94C286E8D}"/>
    <cellStyle name="Normal 12 2 3 2 2 2 3" xfId="24994" xr:uid="{9212693D-55ED-49E7-AB49-9120801B377B}"/>
    <cellStyle name="Normal 12 2 3 2 2 2 4" xfId="33434" xr:uid="{4CBEE328-F1CA-47BC-9F75-0C88B6FC6924}"/>
    <cellStyle name="Normal 12 2 3 2 2 3" xfId="12336" xr:uid="{30E1BEDE-40D7-40E7-9110-150166B488FE}"/>
    <cellStyle name="Normal 12 2 3 2 2 4" xfId="20777" xr:uid="{7490BD69-9E01-4E3D-9C69-8802E23113E0}"/>
    <cellStyle name="Normal 12 2 3 2 2 5" xfId="29217" xr:uid="{05CB224D-EC98-4942-8783-3242A41D4162}"/>
    <cellStyle name="Normal 12 2 3 2 3" xfId="5082" xr:uid="{00000000-0005-0000-0000-0000FA0D0000}"/>
    <cellStyle name="Normal 12 2 3 2 3 2" xfId="14408" xr:uid="{0BFBF2B7-6645-4974-B4D8-1FE49A9EAA83}"/>
    <cellStyle name="Normal 12 2 3 2 3 3" xfId="22849" xr:uid="{692D41D1-5068-4270-A517-07FDE3FA5B89}"/>
    <cellStyle name="Normal 12 2 3 2 3 4" xfId="31289" xr:uid="{1673105F-B296-477B-AA55-6311515A6C67}"/>
    <cellStyle name="Normal 12 2 3 2 4" xfId="9443" xr:uid="{61F0A971-1285-4215-8170-49D07520551A}"/>
    <cellStyle name="Normal 12 2 3 2 5" xfId="10191" xr:uid="{4E0CB853-6EDB-416E-AFA6-674675430757}"/>
    <cellStyle name="Normal 12 2 3 2 6" xfId="18632" xr:uid="{77C9F7E7-E095-4ADC-AD73-F0C5FF1C4156}"/>
    <cellStyle name="Normal 12 2 3 2 7" xfId="27072" xr:uid="{26C322EA-0C70-4F3F-8A64-7238815D1B0B}"/>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19D149D1-C573-4A48-8C07-F8FA3F223D72}"/>
    <cellStyle name="Normal 12 2 3 3 2 2 3" xfId="25407" xr:uid="{B5096EFB-8E74-4003-8C19-BFDFEF6F8138}"/>
    <cellStyle name="Normal 12 2 3 3 2 2 4" xfId="33847" xr:uid="{0DA2337F-28D0-4CA7-976A-B33E479E92DF}"/>
    <cellStyle name="Normal 12 2 3 3 2 3" xfId="12749" xr:uid="{D7647F8F-2DD0-4496-AED9-6ED80649B329}"/>
    <cellStyle name="Normal 12 2 3 3 2 4" xfId="21190" xr:uid="{D7B7B646-0606-4DD7-9510-9BC4AC227238}"/>
    <cellStyle name="Normal 12 2 3 3 2 5" xfId="29630" xr:uid="{AC7B1907-E7ED-45D3-AEFF-27891903DB56}"/>
    <cellStyle name="Normal 12 2 3 3 3" xfId="5495" xr:uid="{00000000-0005-0000-0000-0000FE0D0000}"/>
    <cellStyle name="Normal 12 2 3 3 3 2" xfId="14821" xr:uid="{56D5D41E-9BD5-4FC6-B246-F36BA0B94B08}"/>
    <cellStyle name="Normal 12 2 3 3 3 3" xfId="23262" xr:uid="{E63E5A2C-F45C-44A3-90F0-751EB4743817}"/>
    <cellStyle name="Normal 12 2 3 3 3 4" xfId="31702" xr:uid="{50554BE7-9AD6-4B53-8038-0037391BF4AA}"/>
    <cellStyle name="Normal 12 2 3 3 4" xfId="10604" xr:uid="{05072980-5805-461D-9DE7-BBA34140F6EE}"/>
    <cellStyle name="Normal 12 2 3 3 5" xfId="19045" xr:uid="{B771A413-EF3F-49A1-9083-7D846CC353E0}"/>
    <cellStyle name="Normal 12 2 3 3 6" xfId="27485" xr:uid="{5671719A-817B-453C-AF8F-CA6FA6591922}"/>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7CF0E6F5-8D9F-44D1-9CB4-B40CB30ACED1}"/>
    <cellStyle name="Normal 12 2 3 4 2 2 3" xfId="25820" xr:uid="{BB3FC885-E9B6-4D24-AFBA-7FA6C78FC468}"/>
    <cellStyle name="Normal 12 2 3 4 2 2 4" xfId="34260" xr:uid="{3D32856B-60FF-4021-9FA2-AB0D546394D4}"/>
    <cellStyle name="Normal 12 2 3 4 2 3" xfId="13162" xr:uid="{465A0E50-A686-4BDD-B013-72F4D981BB5A}"/>
    <cellStyle name="Normal 12 2 3 4 2 4" xfId="21603" xr:uid="{BDB9B288-28E4-41D4-9FFF-00E84D2290B8}"/>
    <cellStyle name="Normal 12 2 3 4 2 5" xfId="30043" xr:uid="{79E67A47-EC2A-4CB6-9AF6-DF310A94A204}"/>
    <cellStyle name="Normal 12 2 3 4 3" xfId="5908" xr:uid="{00000000-0005-0000-0000-0000020E0000}"/>
    <cellStyle name="Normal 12 2 3 4 3 2" xfId="15234" xr:uid="{E3CEAFBB-D25D-46D5-BEFA-82E7542D1220}"/>
    <cellStyle name="Normal 12 2 3 4 3 3" xfId="23675" xr:uid="{98D4ADDE-58CE-4379-A4A8-CE8337B3C67A}"/>
    <cellStyle name="Normal 12 2 3 4 3 4" xfId="32115" xr:uid="{AEE3A08E-8F18-408B-87F1-F80DEDDFE895}"/>
    <cellStyle name="Normal 12 2 3 4 4" xfId="11017" xr:uid="{2DB8B78E-C876-448C-A817-8105BDB47376}"/>
    <cellStyle name="Normal 12 2 3 4 5" xfId="19458" xr:uid="{75632D55-BE10-4201-892C-B283FECB3DDA}"/>
    <cellStyle name="Normal 12 2 3 4 6" xfId="27898" xr:uid="{985116E7-5272-49FA-94DA-D3026833D1B1}"/>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4F8B5DFA-0CF4-4B88-A84C-4151B1820B43}"/>
    <cellStyle name="Normal 12 2 3 5 2 2 3" xfId="26233" xr:uid="{0F9D3D1D-0128-44B1-82A6-488C1CF2A01B}"/>
    <cellStyle name="Normal 12 2 3 5 2 2 4" xfId="34673" xr:uid="{089CFA69-D070-4C8E-8AC8-75E7203F2713}"/>
    <cellStyle name="Normal 12 2 3 5 2 3" xfId="13575" xr:uid="{8A2ECAE8-0167-4368-9936-FEE665FE973E}"/>
    <cellStyle name="Normal 12 2 3 5 2 4" xfId="22016" xr:uid="{E41C6842-E4E9-4E22-8119-76B3F9E3C947}"/>
    <cellStyle name="Normal 12 2 3 5 2 5" xfId="30456" xr:uid="{EB349840-6641-4ECD-91B4-DB0DD18E506B}"/>
    <cellStyle name="Normal 12 2 3 5 3" xfId="6321" xr:uid="{00000000-0005-0000-0000-0000060E0000}"/>
    <cellStyle name="Normal 12 2 3 5 3 2" xfId="15647" xr:uid="{D2F248CE-FE6B-466B-8C1F-2E026B6305A0}"/>
    <cellStyle name="Normal 12 2 3 5 3 3" xfId="24088" xr:uid="{6BE885D2-1E3A-4ECB-B56B-A0A0EF554436}"/>
    <cellStyle name="Normal 12 2 3 5 3 4" xfId="32528" xr:uid="{5C5793CD-A00F-4781-81DD-0192AAC80CC8}"/>
    <cellStyle name="Normal 12 2 3 5 4" xfId="11430" xr:uid="{3481AA6C-1D3B-4225-844C-83F48974C85E}"/>
    <cellStyle name="Normal 12 2 3 5 5" xfId="19871" xr:uid="{49C2C73D-39D9-4925-B05B-BF55E80D731F}"/>
    <cellStyle name="Normal 12 2 3 5 6" xfId="28311" xr:uid="{26BE0DD6-468A-4E09-950B-5E2C96C00B41}"/>
    <cellStyle name="Normal 12 2 3 6" xfId="2451" xr:uid="{00000000-0005-0000-0000-0000070E0000}"/>
    <cellStyle name="Normal 12 2 3 6 2" xfId="6734" xr:uid="{00000000-0005-0000-0000-0000080E0000}"/>
    <cellStyle name="Normal 12 2 3 6 2 2" xfId="16060" xr:uid="{6FEF3131-3B85-49A2-8965-23BB97DC7C08}"/>
    <cellStyle name="Normal 12 2 3 6 2 3" xfId="24501" xr:uid="{3AACCB48-42D0-4F5E-86F7-1094651640E2}"/>
    <cellStyle name="Normal 12 2 3 6 2 4" xfId="32941" xr:uid="{01037FC2-A979-4208-B3B3-D7DBA7C6F263}"/>
    <cellStyle name="Normal 12 2 3 6 3" xfId="11843" xr:uid="{C4EFEE0A-6907-4980-A99D-211BC63ABE63}"/>
    <cellStyle name="Normal 12 2 3 6 4" xfId="20284" xr:uid="{BE175436-A2C0-4351-972D-047445968074}"/>
    <cellStyle name="Normal 12 2 3 6 5" xfId="28724" xr:uid="{25C724A9-5EDF-4057-B40B-51241065FE0D}"/>
    <cellStyle name="Normal 12 2 3 7" xfId="4668" xr:uid="{00000000-0005-0000-0000-0000090E0000}"/>
    <cellStyle name="Normal 12 2 3 7 2" xfId="13994" xr:uid="{B12D8EBB-1A19-41A1-926A-1505D1DA27BF}"/>
    <cellStyle name="Normal 12 2 3 7 3" xfId="22435" xr:uid="{86566C63-7FCC-431C-8C3D-C8CD8B798BC6}"/>
    <cellStyle name="Normal 12 2 3 7 4" xfId="30875" xr:uid="{D07486D8-58EC-4273-A1BF-A8EDF575E429}"/>
    <cellStyle name="Normal 12 2 3 8" xfId="9018" xr:uid="{C3F41DC6-3A80-4145-A68D-169ABB54B6D0}"/>
    <cellStyle name="Normal 12 2 3 9" xfId="9777" xr:uid="{BE484191-D0DA-4C88-97D3-9BE8307887C2}"/>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64C31A76-16CD-4BE4-870D-5C9FAB1B2829}"/>
    <cellStyle name="Normal 12 2 4 2 2 3" xfId="24991" xr:uid="{2FA6C7F8-B0D0-48E0-A239-6BF44DA6D91C}"/>
    <cellStyle name="Normal 12 2 4 2 2 4" xfId="33431" xr:uid="{602DE1D1-C5AF-4D29-A115-3211E9CDB629}"/>
    <cellStyle name="Normal 12 2 4 2 3" xfId="12333" xr:uid="{C6759602-43EE-4931-852D-A21D8F3382FB}"/>
    <cellStyle name="Normal 12 2 4 2 4" xfId="20774" xr:uid="{5D0D3DE7-CF93-4A02-ACBF-C3B393309027}"/>
    <cellStyle name="Normal 12 2 4 2 5" xfId="29214" xr:uid="{920B9AD4-2D44-4855-ABF1-816770E684F4}"/>
    <cellStyle name="Normal 12 2 4 3" xfId="5079" xr:uid="{00000000-0005-0000-0000-00000D0E0000}"/>
    <cellStyle name="Normal 12 2 4 3 2" xfId="14405" xr:uid="{BE5BB220-C2C8-4F70-A815-1CC3CFA0B952}"/>
    <cellStyle name="Normal 12 2 4 3 3" xfId="22846" xr:uid="{4BE04040-FDFA-4E15-89EF-3E3A7C6F3266}"/>
    <cellStyle name="Normal 12 2 4 3 4" xfId="31286" xr:uid="{B67F4FC5-0BDD-4B34-AD42-C616F5DB444A}"/>
    <cellStyle name="Normal 12 2 4 4" xfId="9236" xr:uid="{C3D0196D-4BB3-4870-9762-A3CF40E5B45B}"/>
    <cellStyle name="Normal 12 2 4 5" xfId="10188" xr:uid="{8FFCA51A-4AEF-4C32-9D38-98BDF23FA4EA}"/>
    <cellStyle name="Normal 12 2 4 6" xfId="18629" xr:uid="{7987E979-D795-4E60-87A7-EE899FF4FFCA}"/>
    <cellStyle name="Normal 12 2 4 7" xfId="27069" xr:uid="{99F67BC4-1D57-4314-8507-4F41EAB80152}"/>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F7B25090-D185-4778-9D09-9E7FC09FB1A6}"/>
    <cellStyle name="Normal 12 2 5 2 2 3" xfId="25404" xr:uid="{2738B4A7-4664-48DA-8695-E0E4D4906922}"/>
    <cellStyle name="Normal 12 2 5 2 2 4" xfId="33844" xr:uid="{228E7A18-A37B-4C71-809E-310C74CD448E}"/>
    <cellStyle name="Normal 12 2 5 2 3" xfId="12746" xr:uid="{64527D7B-590C-47AC-92A5-EC76CBBBEC49}"/>
    <cellStyle name="Normal 12 2 5 2 4" xfId="21187" xr:uid="{6A168361-19EB-4736-BBBE-4564DE2E52D9}"/>
    <cellStyle name="Normal 12 2 5 2 5" xfId="29627" xr:uid="{AC5805E4-5DA4-4E90-830E-E23A3BC0E704}"/>
    <cellStyle name="Normal 12 2 5 3" xfId="5492" xr:uid="{00000000-0005-0000-0000-0000110E0000}"/>
    <cellStyle name="Normal 12 2 5 3 2" xfId="14818" xr:uid="{44FB2C53-2EF8-4DC3-BCEC-5C693E282149}"/>
    <cellStyle name="Normal 12 2 5 3 3" xfId="23259" xr:uid="{955B0829-9B38-45CC-A973-AE6734B73F06}"/>
    <cellStyle name="Normal 12 2 5 3 4" xfId="31699" xr:uid="{EE5D1187-C08A-4B47-8BE6-B6CAC7B8450B}"/>
    <cellStyle name="Normal 12 2 5 4" xfId="10601" xr:uid="{AE3D5B46-24FE-4206-B884-371131D2A06D}"/>
    <cellStyle name="Normal 12 2 5 5" xfId="19042" xr:uid="{18247AD1-81A1-4CE6-BC08-C62253FEB476}"/>
    <cellStyle name="Normal 12 2 5 6" xfId="27482" xr:uid="{0C4EC146-5C92-4F62-B19F-62ACE0BE9F44}"/>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B4C166F4-3A06-44AB-8F4B-32E60671076C}"/>
    <cellStyle name="Normal 12 2 6 2 2 3" xfId="25817" xr:uid="{F3D2A909-F904-4F26-B06D-E48BC386559F}"/>
    <cellStyle name="Normal 12 2 6 2 2 4" xfId="34257" xr:uid="{F53B7B7A-CE10-4020-8E63-8E11700C4C6D}"/>
    <cellStyle name="Normal 12 2 6 2 3" xfId="13159" xr:uid="{ADECA150-DA23-4613-8D14-F76F15C2B052}"/>
    <cellStyle name="Normal 12 2 6 2 4" xfId="21600" xr:uid="{BFAE25E5-B884-4F21-8310-3DB52620E9E2}"/>
    <cellStyle name="Normal 12 2 6 2 5" xfId="30040" xr:uid="{33CF8D4F-D4A8-4372-8211-096640D5A872}"/>
    <cellStyle name="Normal 12 2 6 3" xfId="5905" xr:uid="{00000000-0005-0000-0000-0000150E0000}"/>
    <cellStyle name="Normal 12 2 6 3 2" xfId="15231" xr:uid="{77DD2C0A-3E90-4022-9D31-37A77C7FC2BD}"/>
    <cellStyle name="Normal 12 2 6 3 3" xfId="23672" xr:uid="{FF990F62-E3FD-4453-BA76-DDE9798F38F1}"/>
    <cellStyle name="Normal 12 2 6 3 4" xfId="32112" xr:uid="{DDB64AB7-BE4A-4A4A-8FA8-80486147700D}"/>
    <cellStyle name="Normal 12 2 6 4" xfId="11014" xr:uid="{0D09E859-3DCF-48AA-9413-621E76856519}"/>
    <cellStyle name="Normal 12 2 6 5" xfId="19455" xr:uid="{5D4E52A2-7A8A-4597-81F7-72E9FC793382}"/>
    <cellStyle name="Normal 12 2 6 6" xfId="27895" xr:uid="{4F7B53AA-90E2-4893-B3AD-F1DBAEB76E8D}"/>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150C71A7-7E95-415A-973E-1D75F90784E1}"/>
    <cellStyle name="Normal 12 2 7 2 2 3" xfId="26230" xr:uid="{B65CB8B2-3B29-4A3F-932A-DD3FA17ED711}"/>
    <cellStyle name="Normal 12 2 7 2 2 4" xfId="34670" xr:uid="{C6D1CF76-E8DD-4B8F-9AC0-6FC68FDD1DBD}"/>
    <cellStyle name="Normal 12 2 7 2 3" xfId="13572" xr:uid="{48A78ECB-A6BA-4603-AD01-B0C26D3C6660}"/>
    <cellStyle name="Normal 12 2 7 2 4" xfId="22013" xr:uid="{85E31C1A-D7C5-41BB-AFA7-154DEBFE1676}"/>
    <cellStyle name="Normal 12 2 7 2 5" xfId="30453" xr:uid="{06DDFA79-6FCA-4680-A77D-2A3246CB444C}"/>
    <cellStyle name="Normal 12 2 7 3" xfId="6318" xr:uid="{00000000-0005-0000-0000-0000190E0000}"/>
    <cellStyle name="Normal 12 2 7 3 2" xfId="15644" xr:uid="{30DBD00C-6017-4911-B9EA-212FC90916A4}"/>
    <cellStyle name="Normal 12 2 7 3 3" xfId="24085" xr:uid="{6F8E80E1-4CF3-4A67-956A-2C99E3FC997E}"/>
    <cellStyle name="Normal 12 2 7 3 4" xfId="32525" xr:uid="{057929DA-88C4-42F0-8931-350C44D15B98}"/>
    <cellStyle name="Normal 12 2 7 4" xfId="11427" xr:uid="{F8EEE48B-19B9-4DF3-B139-8F8A98892E62}"/>
    <cellStyle name="Normal 12 2 7 5" xfId="19868" xr:uid="{F0968C88-7189-4E4D-BC0A-1EAD39198A66}"/>
    <cellStyle name="Normal 12 2 7 6" xfId="28308" xr:uid="{C745A4B5-C298-49FA-9827-8CDAAD01E888}"/>
    <cellStyle name="Normal 12 2 8" xfId="2448" xr:uid="{00000000-0005-0000-0000-00001A0E0000}"/>
    <cellStyle name="Normal 12 2 8 2" xfId="6731" xr:uid="{00000000-0005-0000-0000-00001B0E0000}"/>
    <cellStyle name="Normal 12 2 8 2 2" xfId="16057" xr:uid="{92432311-F35B-4343-B52C-C770886A884D}"/>
    <cellStyle name="Normal 12 2 8 2 3" xfId="24498" xr:uid="{C401AA47-60E8-454F-8080-8377A6A65124}"/>
    <cellStyle name="Normal 12 2 8 2 4" xfId="32938" xr:uid="{58B1F4CD-77FF-4B18-A2CF-6F75822D4E1A}"/>
    <cellStyle name="Normal 12 2 8 3" xfId="11840" xr:uid="{487CAA00-284C-4EA2-9CDB-492A0E09DEAE}"/>
    <cellStyle name="Normal 12 2 8 4" xfId="20281" xr:uid="{41AB59CE-7F84-42A8-A861-07379B99B116}"/>
    <cellStyle name="Normal 12 2 8 5" xfId="28721" xr:uid="{37387204-34C7-41DF-8846-D2892E5440C7}"/>
    <cellStyle name="Normal 12 2 9" xfId="4665" xr:uid="{00000000-0005-0000-0000-00001C0E0000}"/>
    <cellStyle name="Normal 12 2 9 2" xfId="13991" xr:uid="{EF2054F5-128B-4691-B3EE-BDF90D9DC140}"/>
    <cellStyle name="Normal 12 2 9 3" xfId="22432" xr:uid="{F61B43DF-AC1C-4240-B6C3-28BEED82BB29}"/>
    <cellStyle name="Normal 12 2 9 4" xfId="30872" xr:uid="{DE0D7932-1E8F-40F4-9358-D1B64E8FC737}"/>
    <cellStyle name="Normal 12 3" xfId="264" xr:uid="{00000000-0005-0000-0000-00001D0E0000}"/>
    <cellStyle name="Normal 12 3 10" xfId="9778" xr:uid="{36931298-8433-4293-A2B3-1261AC5030E9}"/>
    <cellStyle name="Normal 12 3 11" xfId="18219" xr:uid="{6DE72653-24FD-4490-B68B-E8B187396E27}"/>
    <cellStyle name="Normal 12 3 12" xfId="26659" xr:uid="{CBCFC16F-A067-45A3-BB29-62229C478770}"/>
    <cellStyle name="Normal 12 3 2" xfId="265" xr:uid="{00000000-0005-0000-0000-00001E0E0000}"/>
    <cellStyle name="Normal 12 3 2 10" xfId="18220" xr:uid="{99A07266-46DD-4DFE-816D-EECA70A386DD}"/>
    <cellStyle name="Normal 12 3 2 11" xfId="26660" xr:uid="{8430F4C1-C301-43C6-A4C6-3210BD6985E7}"/>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899738B5-8354-4783-906F-32810FA45C21}"/>
    <cellStyle name="Normal 12 3 2 2 2 2 3" xfId="24996" xr:uid="{D066C862-41A6-4E91-9D73-7FF21E9C34A7}"/>
    <cellStyle name="Normal 12 3 2 2 2 2 4" xfId="33436" xr:uid="{2F01E11D-19F1-48EF-B490-90971F13BB5D}"/>
    <cellStyle name="Normal 12 3 2 2 2 3" xfId="12338" xr:uid="{BB45C367-C432-4498-B755-7AA223FEABC8}"/>
    <cellStyle name="Normal 12 3 2 2 2 4" xfId="20779" xr:uid="{E780335D-4C31-46FA-978B-FC883EA6E150}"/>
    <cellStyle name="Normal 12 3 2 2 2 5" xfId="29219" xr:uid="{1FB8A4D7-A8A9-4E0E-9504-6865378830D9}"/>
    <cellStyle name="Normal 12 3 2 2 3" xfId="5084" xr:uid="{00000000-0005-0000-0000-0000220E0000}"/>
    <cellStyle name="Normal 12 3 2 2 3 2" xfId="14410" xr:uid="{626EFC5E-9F34-4ECB-973D-8224708B4249}"/>
    <cellStyle name="Normal 12 3 2 2 3 3" xfId="22851" xr:uid="{5D007B58-362B-4129-B5AA-2CBBF88DD6AC}"/>
    <cellStyle name="Normal 12 3 2 2 3 4" xfId="31291" xr:uid="{D0A8B8DB-CBEC-4469-A476-3EF0FF193717}"/>
    <cellStyle name="Normal 12 3 2 2 4" xfId="9505" xr:uid="{B127619B-367D-40AD-851E-01DDBB2DCD13}"/>
    <cellStyle name="Normal 12 3 2 2 5" xfId="10193" xr:uid="{1A4A9105-8263-4038-87D7-B322D0B30674}"/>
    <cellStyle name="Normal 12 3 2 2 6" xfId="18634" xr:uid="{5319E525-FD9B-4269-B68A-2CD01CD8B05E}"/>
    <cellStyle name="Normal 12 3 2 2 7" xfId="27074" xr:uid="{FA658980-1BA5-4753-A403-5F404D15E68F}"/>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D1F0976E-15BB-4A9F-9707-F2C2EF81456F}"/>
    <cellStyle name="Normal 12 3 2 3 2 2 3" xfId="25409" xr:uid="{3F687819-A4C7-4A87-8D6F-12D0DA952AC2}"/>
    <cellStyle name="Normal 12 3 2 3 2 2 4" xfId="33849" xr:uid="{C5F38527-C019-4015-9B74-1D6539670A12}"/>
    <cellStyle name="Normal 12 3 2 3 2 3" xfId="12751" xr:uid="{C3D73E3F-7F15-44E4-B096-7233213F1DBB}"/>
    <cellStyle name="Normal 12 3 2 3 2 4" xfId="21192" xr:uid="{B6241A35-7564-4AFD-A39C-5E1AED167501}"/>
    <cellStyle name="Normal 12 3 2 3 2 5" xfId="29632" xr:uid="{CDBE5ED2-C658-4AF4-B0A9-DAA2CD4E397C}"/>
    <cellStyle name="Normal 12 3 2 3 3" xfId="5497" xr:uid="{00000000-0005-0000-0000-0000260E0000}"/>
    <cellStyle name="Normal 12 3 2 3 3 2" xfId="14823" xr:uid="{5C0739DB-2EBA-47E8-9BD7-A177BEFCA17F}"/>
    <cellStyle name="Normal 12 3 2 3 3 3" xfId="23264" xr:uid="{C152273A-D728-4166-B6E0-8A199CE74630}"/>
    <cellStyle name="Normal 12 3 2 3 3 4" xfId="31704" xr:uid="{1766E2C9-2317-45C1-9A8F-0F688188DA67}"/>
    <cellStyle name="Normal 12 3 2 3 4" xfId="10606" xr:uid="{C98946AE-5202-4DA8-936F-C858DC967552}"/>
    <cellStyle name="Normal 12 3 2 3 5" xfId="19047" xr:uid="{903CDF4F-F00C-450E-88DA-0891425FCFFE}"/>
    <cellStyle name="Normal 12 3 2 3 6" xfId="27487" xr:uid="{1BFC4372-F0F0-4B3C-A7F3-82748DA035A6}"/>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FC70F1D1-2D69-40BA-9D20-F8BD716A78FE}"/>
    <cellStyle name="Normal 12 3 2 4 2 2 3" xfId="25822" xr:uid="{EFFA1F25-8C8D-48A4-8CDA-43F1F30A69F6}"/>
    <cellStyle name="Normal 12 3 2 4 2 2 4" xfId="34262" xr:uid="{08B12124-C058-475A-9B80-E599BC4EF304}"/>
    <cellStyle name="Normal 12 3 2 4 2 3" xfId="13164" xr:uid="{76944B74-C354-4538-9404-C7E303B4F146}"/>
    <cellStyle name="Normal 12 3 2 4 2 4" xfId="21605" xr:uid="{1AA2AFAE-2631-4FDB-9533-078D1F0FCBE2}"/>
    <cellStyle name="Normal 12 3 2 4 2 5" xfId="30045" xr:uid="{3424409E-E087-4FDF-9E7A-7442307341B4}"/>
    <cellStyle name="Normal 12 3 2 4 3" xfId="5910" xr:uid="{00000000-0005-0000-0000-00002A0E0000}"/>
    <cellStyle name="Normal 12 3 2 4 3 2" xfId="15236" xr:uid="{53C41154-45FC-48BE-8B13-FA742CC005EA}"/>
    <cellStyle name="Normal 12 3 2 4 3 3" xfId="23677" xr:uid="{7B0694A6-B741-4912-9008-B9BD700BF8B0}"/>
    <cellStyle name="Normal 12 3 2 4 3 4" xfId="32117" xr:uid="{69056125-16CA-413F-8852-9F9CC78E40BD}"/>
    <cellStyle name="Normal 12 3 2 4 4" xfId="11019" xr:uid="{8861190A-C35F-4AF1-87F3-685060EA0333}"/>
    <cellStyle name="Normal 12 3 2 4 5" xfId="19460" xr:uid="{F13FFCA6-5BAC-43CF-8176-14FF2D7E7B30}"/>
    <cellStyle name="Normal 12 3 2 4 6" xfId="27900" xr:uid="{B1AEF50D-33A8-4777-9831-F764C306FF48}"/>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C1900BA6-6EC5-4C24-BA96-E8EA355AAB53}"/>
    <cellStyle name="Normal 12 3 2 5 2 2 3" xfId="26235" xr:uid="{AF07B957-B79E-403C-BFE8-ED5F74AC5D8B}"/>
    <cellStyle name="Normal 12 3 2 5 2 2 4" xfId="34675" xr:uid="{6E18E32D-26C7-4838-89E3-7C2E379DB990}"/>
    <cellStyle name="Normal 12 3 2 5 2 3" xfId="13577" xr:uid="{02D5D9F1-D815-4FC6-B791-CD37CABFFF6F}"/>
    <cellStyle name="Normal 12 3 2 5 2 4" xfId="22018" xr:uid="{E2472796-AB6F-4610-B5A1-15BF66133473}"/>
    <cellStyle name="Normal 12 3 2 5 2 5" xfId="30458" xr:uid="{BDA7D255-66E0-4D25-93AB-42CF9EE91DA9}"/>
    <cellStyle name="Normal 12 3 2 5 3" xfId="6323" xr:uid="{00000000-0005-0000-0000-00002E0E0000}"/>
    <cellStyle name="Normal 12 3 2 5 3 2" xfId="15649" xr:uid="{91B188F8-07D9-41E0-A7A7-A32AFDF9A3BD}"/>
    <cellStyle name="Normal 12 3 2 5 3 3" xfId="24090" xr:uid="{E1627AFE-DA36-4A71-8A84-68316A03E1FB}"/>
    <cellStyle name="Normal 12 3 2 5 3 4" xfId="32530" xr:uid="{2F52AC11-A2D3-454D-88CF-896D50C0B010}"/>
    <cellStyle name="Normal 12 3 2 5 4" xfId="11432" xr:uid="{DA933B4E-A6AD-4C2E-B47B-9CE8C9B3087A}"/>
    <cellStyle name="Normal 12 3 2 5 5" xfId="19873" xr:uid="{117488DE-949F-485E-B34B-4F23A4FF597C}"/>
    <cellStyle name="Normal 12 3 2 5 6" xfId="28313" xr:uid="{A8C23035-7132-4BBE-B5A9-86981C5BF977}"/>
    <cellStyle name="Normal 12 3 2 6" xfId="2453" xr:uid="{00000000-0005-0000-0000-00002F0E0000}"/>
    <cellStyle name="Normal 12 3 2 6 2" xfId="6736" xr:uid="{00000000-0005-0000-0000-0000300E0000}"/>
    <cellStyle name="Normal 12 3 2 6 2 2" xfId="16062" xr:uid="{3ACE62FC-E7D0-4CB3-B4D8-D7D3545D6C94}"/>
    <cellStyle name="Normal 12 3 2 6 2 3" xfId="24503" xr:uid="{A201AE06-3880-4C87-A0ED-13F41EF20CA8}"/>
    <cellStyle name="Normal 12 3 2 6 2 4" xfId="32943" xr:uid="{15499007-6D02-4892-B1C4-6A891B58D9FB}"/>
    <cellStyle name="Normal 12 3 2 6 3" xfId="11845" xr:uid="{65C9B8D5-1CB3-46BD-8409-F390D9FFA021}"/>
    <cellStyle name="Normal 12 3 2 6 4" xfId="20286" xr:uid="{1713711A-1C62-49EF-AED3-A18407640FD5}"/>
    <cellStyle name="Normal 12 3 2 6 5" xfId="28726" xr:uid="{AC18831E-633D-452C-967D-50625FEFE500}"/>
    <cellStyle name="Normal 12 3 2 7" xfId="4670" xr:uid="{00000000-0005-0000-0000-0000310E0000}"/>
    <cellStyle name="Normal 12 3 2 7 2" xfId="13996" xr:uid="{DDC929FF-113E-4F09-94A1-72BC7E9DE237}"/>
    <cellStyle name="Normal 12 3 2 7 3" xfId="22437" xr:uid="{DE44DEC6-CD47-4E81-A618-1A00DF9F5901}"/>
    <cellStyle name="Normal 12 3 2 7 4" xfId="30877" xr:uid="{8125E9AE-7B88-4022-A826-444BF7D0183A}"/>
    <cellStyle name="Normal 12 3 2 8" xfId="9080" xr:uid="{403F3083-4A9F-4295-B676-C31241B8936E}"/>
    <cellStyle name="Normal 12 3 2 9" xfId="9779" xr:uid="{25EA1592-5C96-41C5-8388-3F3BEEFC5BE0}"/>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42E2DFC5-8FDD-4ECC-A96F-1D1383CABDA8}"/>
    <cellStyle name="Normal 12 3 3 2 2 3" xfId="24995" xr:uid="{481FF85C-0F62-4E45-9F29-F21734C13F1F}"/>
    <cellStyle name="Normal 12 3 3 2 2 4" xfId="33435" xr:uid="{B2D19FDC-5C3C-4BB5-A09A-EE56FEE8D103}"/>
    <cellStyle name="Normal 12 3 3 2 3" xfId="12337" xr:uid="{5D3623BD-506F-47B6-BA15-A59D7D61B890}"/>
    <cellStyle name="Normal 12 3 3 2 4" xfId="20778" xr:uid="{80C47D99-1CD0-4DE3-871E-5076B6D9D4C4}"/>
    <cellStyle name="Normal 12 3 3 2 5" xfId="29218" xr:uid="{CC1C3BB3-D7D5-4AED-9A13-417A3E357AA9}"/>
    <cellStyle name="Normal 12 3 3 3" xfId="5083" xr:uid="{00000000-0005-0000-0000-0000350E0000}"/>
    <cellStyle name="Normal 12 3 3 3 2" xfId="14409" xr:uid="{C769F5B6-157C-4740-8B70-45705E53B7B5}"/>
    <cellStyle name="Normal 12 3 3 3 3" xfId="22850" xr:uid="{760A90D0-C38C-4AE4-A1BE-FE47D8F34CA4}"/>
    <cellStyle name="Normal 12 3 3 3 4" xfId="31290" xr:uid="{F38B892D-D7D9-498E-BE4A-BB881471DE92}"/>
    <cellStyle name="Normal 12 3 3 4" xfId="9298" xr:uid="{A6F9D711-F86A-406D-B160-91678C261745}"/>
    <cellStyle name="Normal 12 3 3 5" xfId="10192" xr:uid="{879DA9B3-8917-4F04-B4FB-A586173F3295}"/>
    <cellStyle name="Normal 12 3 3 6" xfId="18633" xr:uid="{FE2C35E8-657F-45C8-9263-67204CA98A88}"/>
    <cellStyle name="Normal 12 3 3 7" xfId="27073" xr:uid="{CEAC6463-0D72-4E48-8F7A-ECC0633A406D}"/>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3EAE77FF-2CAC-483A-9D15-2E28EB82D24B}"/>
    <cellStyle name="Normal 12 3 4 2 2 3" xfId="25408" xr:uid="{EC9BA96A-A23A-48E8-A622-5F2D86A646FA}"/>
    <cellStyle name="Normal 12 3 4 2 2 4" xfId="33848" xr:uid="{4FD26EC0-0CDE-471E-8E1F-98DD1FADC324}"/>
    <cellStyle name="Normal 12 3 4 2 3" xfId="12750" xr:uid="{FC1DB840-07B6-4F55-A738-EF7D52A23D0B}"/>
    <cellStyle name="Normal 12 3 4 2 4" xfId="21191" xr:uid="{C0895E13-A94D-4BCC-AB45-59D515718CDA}"/>
    <cellStyle name="Normal 12 3 4 2 5" xfId="29631" xr:uid="{668B6424-C1CC-4FBC-9A28-1573AB8C9DC4}"/>
    <cellStyle name="Normal 12 3 4 3" xfId="5496" xr:uid="{00000000-0005-0000-0000-0000390E0000}"/>
    <cellStyle name="Normal 12 3 4 3 2" xfId="14822" xr:uid="{6F19616B-7F33-4E8D-B680-4A4AED4DA302}"/>
    <cellStyle name="Normal 12 3 4 3 3" xfId="23263" xr:uid="{1BDABD5F-1431-436D-B25E-3B607C444596}"/>
    <cellStyle name="Normal 12 3 4 3 4" xfId="31703" xr:uid="{34F59627-B1B6-4287-BB8A-98DE868D5820}"/>
    <cellStyle name="Normal 12 3 4 4" xfId="10605" xr:uid="{0241AB10-4568-4B34-9875-AF87004ABC17}"/>
    <cellStyle name="Normal 12 3 4 5" xfId="19046" xr:uid="{492A35E0-4962-4CAE-B3AB-5B1276E0FB8A}"/>
    <cellStyle name="Normal 12 3 4 6" xfId="27486" xr:uid="{76DFECAF-16B5-44BB-863E-337D45DF7BD4}"/>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4B93BAFD-338E-4EFB-977D-7A738378B894}"/>
    <cellStyle name="Normal 12 3 5 2 2 3" xfId="25821" xr:uid="{76816793-5FE5-469D-9D9F-CFCEE916BC8B}"/>
    <cellStyle name="Normal 12 3 5 2 2 4" xfId="34261" xr:uid="{DFEEBEC8-D8FC-46C0-B05B-1E1F1B4E3061}"/>
    <cellStyle name="Normal 12 3 5 2 3" xfId="13163" xr:uid="{3915A768-472C-4844-A9F8-D11FFEB69C23}"/>
    <cellStyle name="Normal 12 3 5 2 4" xfId="21604" xr:uid="{7E95BDF4-C364-48E3-9C41-16DEA006960D}"/>
    <cellStyle name="Normal 12 3 5 2 5" xfId="30044" xr:uid="{48C7F533-9934-4A16-9C37-36068605DD66}"/>
    <cellStyle name="Normal 12 3 5 3" xfId="5909" xr:uid="{00000000-0005-0000-0000-00003D0E0000}"/>
    <cellStyle name="Normal 12 3 5 3 2" xfId="15235" xr:uid="{84D16CB4-D297-479B-B0CB-62F5FE17F418}"/>
    <cellStyle name="Normal 12 3 5 3 3" xfId="23676" xr:uid="{5423B0DD-871C-4222-9232-DCA3C0B30093}"/>
    <cellStyle name="Normal 12 3 5 3 4" xfId="32116" xr:uid="{CD2EA8AD-9593-40C8-8B67-1E0F7D40FBCF}"/>
    <cellStyle name="Normal 12 3 5 4" xfId="11018" xr:uid="{959F823E-C194-4945-8DC8-490DDD6ABBAC}"/>
    <cellStyle name="Normal 12 3 5 5" xfId="19459" xr:uid="{7D91CC90-E976-4C7C-85DA-3C6EF548C78C}"/>
    <cellStyle name="Normal 12 3 5 6" xfId="27899" xr:uid="{07888C05-8188-49FF-AA1F-25EA5289D0D8}"/>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81E3880C-5CE5-4822-BB56-D2124B7B37B9}"/>
    <cellStyle name="Normal 12 3 6 2 2 3" xfId="26234" xr:uid="{9CAE3F35-460E-4226-BF05-44CF64202929}"/>
    <cellStyle name="Normal 12 3 6 2 2 4" xfId="34674" xr:uid="{67DE2099-B8B3-4A2E-98E3-7335692EEDFE}"/>
    <cellStyle name="Normal 12 3 6 2 3" xfId="13576" xr:uid="{F9C1B0A4-4A44-4DB8-B9E1-C65064D671ED}"/>
    <cellStyle name="Normal 12 3 6 2 4" xfId="22017" xr:uid="{F2682B11-E14A-4CFA-9FCC-A17C570F9E70}"/>
    <cellStyle name="Normal 12 3 6 2 5" xfId="30457" xr:uid="{CFF17F99-0829-427E-89DE-EBA5875CBA6C}"/>
    <cellStyle name="Normal 12 3 6 3" xfId="6322" xr:uid="{00000000-0005-0000-0000-0000410E0000}"/>
    <cellStyle name="Normal 12 3 6 3 2" xfId="15648" xr:uid="{4793C8A0-0CF0-4C0B-AAFE-58AE86E0F66E}"/>
    <cellStyle name="Normal 12 3 6 3 3" xfId="24089" xr:uid="{DA66EA52-32AA-4D81-8EE2-47FB86148954}"/>
    <cellStyle name="Normal 12 3 6 3 4" xfId="32529" xr:uid="{EA8E52D5-0ED5-4E6E-AE20-69BF7E097598}"/>
    <cellStyle name="Normal 12 3 6 4" xfId="11431" xr:uid="{ADE58D39-00F1-4D06-8B05-44A7B7252F75}"/>
    <cellStyle name="Normal 12 3 6 5" xfId="19872" xr:uid="{D7B5A5C7-F7E8-4024-BA5E-05C84BD0B313}"/>
    <cellStyle name="Normal 12 3 6 6" xfId="28312" xr:uid="{4A63335C-8854-473A-8C9D-6CB48D10F77D}"/>
    <cellStyle name="Normal 12 3 7" xfId="2452" xr:uid="{00000000-0005-0000-0000-0000420E0000}"/>
    <cellStyle name="Normal 12 3 7 2" xfId="6735" xr:uid="{00000000-0005-0000-0000-0000430E0000}"/>
    <cellStyle name="Normal 12 3 7 2 2" xfId="16061" xr:uid="{3B8BC472-A519-48E7-8FA2-D5BFC4D35E70}"/>
    <cellStyle name="Normal 12 3 7 2 3" xfId="24502" xr:uid="{F2D762A9-133E-4CF6-B209-53B5130EF4F6}"/>
    <cellStyle name="Normal 12 3 7 2 4" xfId="32942" xr:uid="{7F712A75-7823-45FA-A5EE-5A5398938DBA}"/>
    <cellStyle name="Normal 12 3 7 3" xfId="11844" xr:uid="{55BC8F18-94DE-4EF3-A83B-F0D28CAA72F6}"/>
    <cellStyle name="Normal 12 3 7 4" xfId="20285" xr:uid="{83A06205-199F-4416-899E-856D88166353}"/>
    <cellStyle name="Normal 12 3 7 5" xfId="28725" xr:uid="{E40E8B89-8EF7-4DA0-A955-621633D98BFF}"/>
    <cellStyle name="Normal 12 3 8" xfId="4669" xr:uid="{00000000-0005-0000-0000-0000440E0000}"/>
    <cellStyle name="Normal 12 3 8 2" xfId="13995" xr:uid="{6AB71B36-975A-4ED2-9697-222E367343AC}"/>
    <cellStyle name="Normal 12 3 8 3" xfId="22436" xr:uid="{C6ADD368-B2A9-49A7-B648-717FF042F787}"/>
    <cellStyle name="Normal 12 3 8 4" xfId="30876" xr:uid="{A9DDC36F-AF5D-4D78-9918-48A11DFA5D9A}"/>
    <cellStyle name="Normal 12 3 9" xfId="8873" xr:uid="{72AE7E6C-F254-4BFC-80A7-F73848FA4F21}"/>
    <cellStyle name="Normal 12 4" xfId="266" xr:uid="{00000000-0005-0000-0000-0000450E0000}"/>
    <cellStyle name="Normal 12 4 10" xfId="18221" xr:uid="{1C03D076-297E-487D-A1F5-DCD9DE9B8467}"/>
    <cellStyle name="Normal 12 4 11" xfId="26661" xr:uid="{64180BC7-A36E-4F3A-BFF5-93CA45F5CA2E}"/>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D32135A6-832A-44C2-8535-9D4C81B3ACCE}"/>
    <cellStyle name="Normal 12 4 2 2 2 3" xfId="24997" xr:uid="{26B7036A-9310-4291-AE50-275113953896}"/>
    <cellStyle name="Normal 12 4 2 2 2 4" xfId="33437" xr:uid="{41102FB9-6145-4865-BA3B-4EA8356B1B5C}"/>
    <cellStyle name="Normal 12 4 2 2 3" xfId="12339" xr:uid="{E1700ED0-5FB7-4A9E-B3A6-96947D07FB05}"/>
    <cellStyle name="Normal 12 4 2 2 4" xfId="20780" xr:uid="{8BC7674A-E043-4454-A739-E8DE62B9A7DA}"/>
    <cellStyle name="Normal 12 4 2 2 5" xfId="29220" xr:uid="{A71F6DD7-F9A1-4DDE-AF7B-AF2C8EE2FD07}"/>
    <cellStyle name="Normal 12 4 2 3" xfId="5085" xr:uid="{00000000-0005-0000-0000-0000490E0000}"/>
    <cellStyle name="Normal 12 4 2 3 2" xfId="14411" xr:uid="{E2E44C9F-39BE-4950-B17A-C6D1CCA87BFE}"/>
    <cellStyle name="Normal 12 4 2 3 3" xfId="22852" xr:uid="{C9C431C1-B312-42C6-A5A9-86460D85AE7B}"/>
    <cellStyle name="Normal 12 4 2 3 4" xfId="31292" xr:uid="{A7813DFC-C2B2-4423-86D2-D7E283A46D45}"/>
    <cellStyle name="Normal 12 4 2 4" xfId="9402" xr:uid="{F40C9AB7-F4D0-4A65-BBAA-FF5409160FE5}"/>
    <cellStyle name="Normal 12 4 2 5" xfId="10194" xr:uid="{0846AEE6-124C-4798-9D3F-D858D2ACE774}"/>
    <cellStyle name="Normal 12 4 2 6" xfId="18635" xr:uid="{3B9D3A14-887D-4B1A-8164-53B048DF7623}"/>
    <cellStyle name="Normal 12 4 2 7" xfId="27075" xr:uid="{0E1F06D2-7E0A-48D3-89B1-78A9FFA1F97D}"/>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90C72574-C7F3-4AF2-8D3B-4FE98938BB50}"/>
    <cellStyle name="Normal 12 4 3 2 2 3" xfId="25410" xr:uid="{43D9F602-8D96-486C-94C8-F35F4FCD4305}"/>
    <cellStyle name="Normal 12 4 3 2 2 4" xfId="33850" xr:uid="{B22F0FB7-2A8D-4EEC-9C00-B7F0B5EB6495}"/>
    <cellStyle name="Normal 12 4 3 2 3" xfId="12752" xr:uid="{188D526D-4DD9-41B3-981B-A5343A84408B}"/>
    <cellStyle name="Normal 12 4 3 2 4" xfId="21193" xr:uid="{3570FC95-394B-4B98-9778-0FFEF89C5C05}"/>
    <cellStyle name="Normal 12 4 3 2 5" xfId="29633" xr:uid="{549D9C92-E798-4F8F-BF41-775A44190368}"/>
    <cellStyle name="Normal 12 4 3 3" xfId="5498" xr:uid="{00000000-0005-0000-0000-00004D0E0000}"/>
    <cellStyle name="Normal 12 4 3 3 2" xfId="14824" xr:uid="{8322E106-9F38-464D-96EC-BA0D0187930B}"/>
    <cellStyle name="Normal 12 4 3 3 3" xfId="23265" xr:uid="{C67E31A7-A327-4327-BBA4-FB273801893A}"/>
    <cellStyle name="Normal 12 4 3 3 4" xfId="31705" xr:uid="{23E51B5B-1FC6-4035-83D6-E5A8E67B9D54}"/>
    <cellStyle name="Normal 12 4 3 4" xfId="10607" xr:uid="{38573967-A974-43D8-9A54-DDEAF9D15220}"/>
    <cellStyle name="Normal 12 4 3 5" xfId="19048" xr:uid="{26600F99-5F0A-4485-8909-9FE925A92143}"/>
    <cellStyle name="Normal 12 4 3 6" xfId="27488" xr:uid="{9BA2DB12-242B-45EF-9C74-CE660ACFA13C}"/>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66D01DF2-2E0E-4EF0-BD05-8FE136BA8675}"/>
    <cellStyle name="Normal 12 4 4 2 2 3" xfId="25823" xr:uid="{20624736-CD96-45E3-A36F-07B1CBED1880}"/>
    <cellStyle name="Normal 12 4 4 2 2 4" xfId="34263" xr:uid="{F4C880F5-A665-42EB-9652-A84F8C0F93B3}"/>
    <cellStyle name="Normal 12 4 4 2 3" xfId="13165" xr:uid="{BAA15E80-CBD9-40A1-84A5-ACA43B483925}"/>
    <cellStyle name="Normal 12 4 4 2 4" xfId="21606" xr:uid="{98295F03-3B30-4F46-B07D-3AD5FD301385}"/>
    <cellStyle name="Normal 12 4 4 2 5" xfId="30046" xr:uid="{F861A544-8561-430E-B237-6543F1977A06}"/>
    <cellStyle name="Normal 12 4 4 3" xfId="5911" xr:uid="{00000000-0005-0000-0000-0000510E0000}"/>
    <cellStyle name="Normal 12 4 4 3 2" xfId="15237" xr:uid="{F81B7048-1C89-43D6-80DB-7C2C8B82F1EF}"/>
    <cellStyle name="Normal 12 4 4 3 3" xfId="23678" xr:uid="{0AD910D7-B0A5-4791-BCBF-8D5E3D9A3994}"/>
    <cellStyle name="Normal 12 4 4 3 4" xfId="32118" xr:uid="{2DFAB4EB-ED35-498F-83A2-330D7074D7C0}"/>
    <cellStyle name="Normal 12 4 4 4" xfId="11020" xr:uid="{D5BB28D5-DA64-469C-B88D-E23AFA48AE07}"/>
    <cellStyle name="Normal 12 4 4 5" xfId="19461" xr:uid="{9F85056C-E6C5-40D9-B0D0-3A0A536E0BEC}"/>
    <cellStyle name="Normal 12 4 4 6" xfId="27901" xr:uid="{36C2D450-BF83-455E-880A-13911BDEAA4D}"/>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35427C6F-6B0D-4D70-B1BB-08D79DBDDFCE}"/>
    <cellStyle name="Normal 12 4 5 2 2 3" xfId="26236" xr:uid="{2C46D8DA-6AD2-4A00-B9AC-E3372D5AC0B9}"/>
    <cellStyle name="Normal 12 4 5 2 2 4" xfId="34676" xr:uid="{9B610934-F891-45E1-A46C-ADA6537761F2}"/>
    <cellStyle name="Normal 12 4 5 2 3" xfId="13578" xr:uid="{AA185FC6-FB64-40C9-991F-CD994CFCEADE}"/>
    <cellStyle name="Normal 12 4 5 2 4" xfId="22019" xr:uid="{E93D32F1-EDF5-40E8-9F95-97EDFA988B96}"/>
    <cellStyle name="Normal 12 4 5 2 5" xfId="30459" xr:uid="{610ACE00-22C4-4F3B-BA9F-4E9512EF4637}"/>
    <cellStyle name="Normal 12 4 5 3" xfId="6324" xr:uid="{00000000-0005-0000-0000-0000550E0000}"/>
    <cellStyle name="Normal 12 4 5 3 2" xfId="15650" xr:uid="{A0B3C38D-536B-4C2F-B808-FB9330C554E2}"/>
    <cellStyle name="Normal 12 4 5 3 3" xfId="24091" xr:uid="{D147BAA9-2457-4D1F-BCBE-28865246D167}"/>
    <cellStyle name="Normal 12 4 5 3 4" xfId="32531" xr:uid="{C94B5BCC-EFE6-4DEC-9314-FBC4DB9E773A}"/>
    <cellStyle name="Normal 12 4 5 4" xfId="11433" xr:uid="{D7C613EA-EC41-44A4-AD9C-5CB3DE549632}"/>
    <cellStyle name="Normal 12 4 5 5" xfId="19874" xr:uid="{90BFB3E3-8378-438F-A12D-3ACA2B8C37BE}"/>
    <cellStyle name="Normal 12 4 5 6" xfId="28314" xr:uid="{A3C77BE8-0117-4EB2-9FED-D1E60841920C}"/>
    <cellStyle name="Normal 12 4 6" xfId="2454" xr:uid="{00000000-0005-0000-0000-0000560E0000}"/>
    <cellStyle name="Normal 12 4 6 2" xfId="6737" xr:uid="{00000000-0005-0000-0000-0000570E0000}"/>
    <cellStyle name="Normal 12 4 6 2 2" xfId="16063" xr:uid="{118739D5-99C2-46E9-9467-926DD4C65A1C}"/>
    <cellStyle name="Normal 12 4 6 2 3" xfId="24504" xr:uid="{00015C50-84EB-4E85-8AF6-8F47276EC1F9}"/>
    <cellStyle name="Normal 12 4 6 2 4" xfId="32944" xr:uid="{83819982-3FCC-4C27-A5D1-F8290D38CCDC}"/>
    <cellStyle name="Normal 12 4 6 3" xfId="11846" xr:uid="{3815072F-B548-4DAD-AEE3-88FDC42EA6EA}"/>
    <cellStyle name="Normal 12 4 6 4" xfId="20287" xr:uid="{CE159075-B64D-40E0-BF80-779093F0A38B}"/>
    <cellStyle name="Normal 12 4 6 5" xfId="28727" xr:uid="{5421AAEA-26A4-45A2-9AF3-BF442932FFF3}"/>
    <cellStyle name="Normal 12 4 7" xfId="4671" xr:uid="{00000000-0005-0000-0000-0000580E0000}"/>
    <cellStyle name="Normal 12 4 7 2" xfId="13997" xr:uid="{C5150CDC-257E-481A-87E9-DD0A833DC5BB}"/>
    <cellStyle name="Normal 12 4 7 3" xfId="22438" xr:uid="{274CCCC8-E802-41E9-ACB3-53D7C5EDE9DA}"/>
    <cellStyle name="Normal 12 4 7 4" xfId="30878" xr:uid="{070C3A5B-1772-4C76-AADA-D10652E82465}"/>
    <cellStyle name="Normal 12 4 8" xfId="8977" xr:uid="{5BFFE5F3-99F6-4DA1-A3EF-BF749B3B7ACB}"/>
    <cellStyle name="Normal 12 4 9" xfId="9780" xr:uid="{820F9BFE-4239-42B3-B0A6-A7675C542ADF}"/>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6549" xr:uid="{6E9B6869-35DB-41F8-B512-6F3046834108}"/>
    <cellStyle name="Normal 12 6 2 2 3" xfId="24990" xr:uid="{7515FA78-DEBF-4DFA-A664-AFC8029DE1E0}"/>
    <cellStyle name="Normal 12 6 2 2 4" xfId="33430" xr:uid="{4EE4E307-0A63-4D09-BD4A-52718790E1FB}"/>
    <cellStyle name="Normal 12 6 2 3" xfId="12332" xr:uid="{593A2E98-F5FB-4321-82E8-AE69B45359D3}"/>
    <cellStyle name="Normal 12 6 2 4" xfId="20773" xr:uid="{C4A7CDBE-2E20-41B3-A694-514E4DC2ADFD}"/>
    <cellStyle name="Normal 12 6 2 5" xfId="29213" xr:uid="{5171039B-66F3-4C34-AC4B-FF63FA904B97}"/>
    <cellStyle name="Normal 12 6 3" xfId="5078" xr:uid="{00000000-0005-0000-0000-00005D0E0000}"/>
    <cellStyle name="Normal 12 6 3 2" xfId="14404" xr:uid="{8B93B5DF-E9F0-4459-A08B-72C6FB8194BA}"/>
    <cellStyle name="Normal 12 6 3 3" xfId="22845" xr:uid="{73676CE9-12A4-4B7E-B97F-4AACE34D2668}"/>
    <cellStyle name="Normal 12 6 3 4" xfId="31285" xr:uid="{1BF24F7C-496F-4574-B731-4FEC19033C90}"/>
    <cellStyle name="Normal 12 6 4" xfId="9194" xr:uid="{92D32932-3865-4F6F-A551-9A99EC116A43}"/>
    <cellStyle name="Normal 12 6 5" xfId="10187" xr:uid="{A941B151-26BF-4577-B0A3-6CE108B2F60A}"/>
    <cellStyle name="Normal 12 6 6" xfId="18628" xr:uid="{18571FA0-2859-4AAA-84D8-4201BA0C1C9D}"/>
    <cellStyle name="Normal 12 6 7" xfId="27068" xr:uid="{B7034498-0017-45BF-9909-9DF69DC1E19F}"/>
    <cellStyle name="Normal 12 7" xfId="1183" xr:uid="{00000000-0005-0000-0000-00005E0E0000}"/>
    <cellStyle name="Normal 12 7 2" xfId="3414" xr:uid="{00000000-0005-0000-0000-00005F0E0000}"/>
    <cellStyle name="Normal 12 7 2 2" xfId="7636" xr:uid="{00000000-0005-0000-0000-0000600E0000}"/>
    <cellStyle name="Normal 12 7 2 2 2" xfId="16962" xr:uid="{82FBB728-1054-4B1F-8737-8ACCABF259EB}"/>
    <cellStyle name="Normal 12 7 2 2 3" xfId="25403" xr:uid="{0A646321-F69D-4B20-8F56-AF3ABC265C96}"/>
    <cellStyle name="Normal 12 7 2 2 4" xfId="33843" xr:uid="{0860DB49-785C-4729-AFC2-FCAAC7EA485F}"/>
    <cellStyle name="Normal 12 7 2 3" xfId="12745" xr:uid="{F9BC6551-DF82-411F-B273-E6C3345BD8D8}"/>
    <cellStyle name="Normal 12 7 2 4" xfId="21186" xr:uid="{EDF9EA7A-4A7D-417C-A532-73FDAB4834D3}"/>
    <cellStyle name="Normal 12 7 2 5" xfId="29626" xr:uid="{35987649-6743-4568-A6D5-D5C1ED2158F6}"/>
    <cellStyle name="Normal 12 7 3" xfId="5491" xr:uid="{00000000-0005-0000-0000-0000610E0000}"/>
    <cellStyle name="Normal 12 7 3 2" xfId="14817" xr:uid="{8B849CD6-759A-4927-B164-1235357550B9}"/>
    <cellStyle name="Normal 12 7 3 3" xfId="23258" xr:uid="{9E4B4F92-795D-4746-8CBF-3AEB140B9A9E}"/>
    <cellStyle name="Normal 12 7 3 4" xfId="31698" xr:uid="{DE4FD7C2-E76D-42C5-9957-571936FF9383}"/>
    <cellStyle name="Normal 12 7 4" xfId="10600" xr:uid="{C076F90F-FB37-46EE-BF58-7A287C9BCA88}"/>
    <cellStyle name="Normal 12 7 5" xfId="19041" xr:uid="{990049E5-E5F7-4C12-9C05-1AF3611096DF}"/>
    <cellStyle name="Normal 12 7 6" xfId="27481" xr:uid="{7A3AAE43-C7C1-4639-B010-A0D48318DE8E}"/>
    <cellStyle name="Normal 12 8" xfId="1597" xr:uid="{00000000-0005-0000-0000-0000620E0000}"/>
    <cellStyle name="Normal 12 8 2" xfId="3827" xr:uid="{00000000-0005-0000-0000-0000630E0000}"/>
    <cellStyle name="Normal 12 8 2 2" xfId="8049" xr:uid="{00000000-0005-0000-0000-0000640E0000}"/>
    <cellStyle name="Normal 12 8 2 2 2" xfId="17375" xr:uid="{D743C26E-4550-43F4-8CE4-83151AD1BC9B}"/>
    <cellStyle name="Normal 12 8 2 2 3" xfId="25816" xr:uid="{1F41EF74-C51A-4461-84E0-FC9826B6FC7C}"/>
    <cellStyle name="Normal 12 8 2 2 4" xfId="34256" xr:uid="{2ED48886-6DDB-4300-AF5B-E82CFD779657}"/>
    <cellStyle name="Normal 12 8 2 3" xfId="13158" xr:uid="{D93E9141-BD56-4592-AF4D-EDE6C8FD209E}"/>
    <cellStyle name="Normal 12 8 2 4" xfId="21599" xr:uid="{E2E2D2DF-82A6-4C65-B0B9-841AD472BB2B}"/>
    <cellStyle name="Normal 12 8 2 5" xfId="30039" xr:uid="{81BC5937-3799-4C59-A0FC-E7EF79416ED8}"/>
    <cellStyle name="Normal 12 8 3" xfId="5904" xr:uid="{00000000-0005-0000-0000-0000650E0000}"/>
    <cellStyle name="Normal 12 8 3 2" xfId="15230" xr:uid="{7632A954-DE2E-4AF9-B773-007AD6555B36}"/>
    <cellStyle name="Normal 12 8 3 3" xfId="23671" xr:uid="{4A776F6D-95AC-4B9F-8023-E533898348E5}"/>
    <cellStyle name="Normal 12 8 3 4" xfId="32111" xr:uid="{3BCD7C8A-45A9-4FB9-9490-0CA6CBD43C4D}"/>
    <cellStyle name="Normal 12 8 4" xfId="11013" xr:uid="{852880D7-8931-4046-AEC4-D5F9982B3322}"/>
    <cellStyle name="Normal 12 8 5" xfId="19454" xr:uid="{9024A8B8-B897-4470-BA39-608E038D61B4}"/>
    <cellStyle name="Normal 12 8 6" xfId="27894" xr:uid="{D191F6B3-D9CD-4054-B3CF-06D99CDDCA4D}"/>
    <cellStyle name="Normal 12 9" xfId="2011" xr:uid="{00000000-0005-0000-0000-0000660E0000}"/>
    <cellStyle name="Normal 12 9 2" xfId="4240" xr:uid="{00000000-0005-0000-0000-0000670E0000}"/>
    <cellStyle name="Normal 12 9 2 2" xfId="8462" xr:uid="{00000000-0005-0000-0000-0000680E0000}"/>
    <cellStyle name="Normal 12 9 2 2 2" xfId="17788" xr:uid="{D562DA2F-647A-4800-99E6-E84DD9E82A8A}"/>
    <cellStyle name="Normal 12 9 2 2 3" xfId="26229" xr:uid="{48A3E4AF-C100-4481-B984-FDE905F004FC}"/>
    <cellStyle name="Normal 12 9 2 2 4" xfId="34669" xr:uid="{58747E0C-58D3-4C90-A845-090D5FF1CADE}"/>
    <cellStyle name="Normal 12 9 2 3" xfId="13571" xr:uid="{9798BE49-6597-4FE2-B5E7-78BF9D230D30}"/>
    <cellStyle name="Normal 12 9 2 4" xfId="22012" xr:uid="{B1612CA3-E5D3-4196-AA5C-EF3907E25786}"/>
    <cellStyle name="Normal 12 9 2 5" xfId="30452" xr:uid="{D9CC33BD-6047-4299-8CF4-90C4C77AD1E9}"/>
    <cellStyle name="Normal 12 9 3" xfId="6317" xr:uid="{00000000-0005-0000-0000-0000690E0000}"/>
    <cellStyle name="Normal 12 9 3 2" xfId="15643" xr:uid="{6C697866-A985-49A2-B808-E85EB8F2B4BA}"/>
    <cellStyle name="Normal 12 9 3 3" xfId="24084" xr:uid="{7BBA8188-B8DB-437D-8C73-56AD48EFC962}"/>
    <cellStyle name="Normal 12 9 3 4" xfId="32524" xr:uid="{26A037C6-A1B2-4F17-A012-076ADD0402D1}"/>
    <cellStyle name="Normal 12 9 4" xfId="11426" xr:uid="{05FC2F85-FFD4-4070-9A0B-2279329ACC0E}"/>
    <cellStyle name="Normal 12 9 5" xfId="19867" xr:uid="{22B7F562-419C-4629-A268-4E988F748441}"/>
    <cellStyle name="Normal 12 9 6" xfId="28307" xr:uid="{C011CF3B-590B-4BA7-9903-57CABFC1BBAB}"/>
    <cellStyle name="Normal 13" xfId="268" xr:uid="{00000000-0005-0000-0000-00006A0E0000}"/>
    <cellStyle name="Normal 13 2" xfId="269" xr:uid="{00000000-0005-0000-0000-00006B0E0000}"/>
    <cellStyle name="Normal 14" xfId="270" xr:uid="{00000000-0005-0000-0000-00006C0E0000}"/>
    <cellStyle name="Normal 14 10" xfId="18222" xr:uid="{FBDCFAB8-D76C-46ED-972D-F1FB0B8C95E6}"/>
    <cellStyle name="Normal 14 11" xfId="26662" xr:uid="{136BF74A-6CE2-4EBE-AA86-95C11CDD530C}"/>
    <cellStyle name="Normal 14 2" xfId="768" xr:uid="{00000000-0005-0000-0000-00006D0E0000}"/>
    <cellStyle name="Normal 14 2 2" xfId="3009" xr:uid="{00000000-0005-0000-0000-00006E0E0000}"/>
    <cellStyle name="Normal 14 2 2 2" xfId="7231" xr:uid="{00000000-0005-0000-0000-00006F0E0000}"/>
    <cellStyle name="Normal 14 2 2 2 2" xfId="16557" xr:uid="{13897589-9D11-440D-A99A-6F21E5BDF31F}"/>
    <cellStyle name="Normal 14 2 2 2 3" xfId="24998" xr:uid="{ACE17816-426D-4142-8693-9583F66D8B6A}"/>
    <cellStyle name="Normal 14 2 2 2 4" xfId="33438" xr:uid="{16178B0F-B17E-455D-BA40-E96440D859AA}"/>
    <cellStyle name="Normal 14 2 2 3" xfId="12340" xr:uid="{66FCD45A-3185-4BB6-893D-4E4C77F38E0C}"/>
    <cellStyle name="Normal 14 2 2 4" xfId="20781" xr:uid="{BFB82A54-1DC9-48CB-85CD-D8C062DF0D97}"/>
    <cellStyle name="Normal 14 2 2 5" xfId="29221" xr:uid="{1FB7EE64-08BC-40F0-A8ED-9EA26201ED0E}"/>
    <cellStyle name="Normal 14 2 3" xfId="5086" xr:uid="{00000000-0005-0000-0000-0000700E0000}"/>
    <cellStyle name="Normal 14 2 3 2" xfId="14412" xr:uid="{B2B661E1-17A8-4BA3-84C9-3FE83074D5DE}"/>
    <cellStyle name="Normal 14 2 3 3" xfId="22853" xr:uid="{622829C8-3745-4408-A42B-B10B122E781F}"/>
    <cellStyle name="Normal 14 2 3 4" xfId="31293" xr:uid="{A1596553-117B-4AB6-AACA-829C81A9D48F}"/>
    <cellStyle name="Normal 14 2 4" xfId="9371" xr:uid="{E1AFB5B4-F468-480A-B09F-3374B2F03BDA}"/>
    <cellStyle name="Normal 14 2 5" xfId="10195" xr:uid="{B5B31444-1147-4AAC-A992-FFDD69380616}"/>
    <cellStyle name="Normal 14 2 6" xfId="18636" xr:uid="{18EC96DE-5843-459E-AEF1-6654156CADF7}"/>
    <cellStyle name="Normal 14 2 7" xfId="27076" xr:uid="{A348B412-4378-46D1-9D79-7811D1B165C8}"/>
    <cellStyle name="Normal 14 3" xfId="1191" xr:uid="{00000000-0005-0000-0000-0000710E0000}"/>
    <cellStyle name="Normal 14 3 2" xfId="3422" xr:uid="{00000000-0005-0000-0000-0000720E0000}"/>
    <cellStyle name="Normal 14 3 2 2" xfId="7644" xr:uid="{00000000-0005-0000-0000-0000730E0000}"/>
    <cellStyle name="Normal 14 3 2 2 2" xfId="16970" xr:uid="{DF62E978-3D48-4123-8FC2-4BA165E265FA}"/>
    <cellStyle name="Normal 14 3 2 2 3" xfId="25411" xr:uid="{0722B927-B0A5-4A17-B097-9A22F09620A4}"/>
    <cellStyle name="Normal 14 3 2 2 4" xfId="33851" xr:uid="{6D09B0AA-1273-4CCC-8B7C-6CCFA6E02400}"/>
    <cellStyle name="Normal 14 3 2 3" xfId="12753" xr:uid="{9BD58E64-7F78-4315-AB27-92BE8A19C344}"/>
    <cellStyle name="Normal 14 3 2 4" xfId="21194" xr:uid="{A3686B11-B045-404C-A4A2-D6588B127277}"/>
    <cellStyle name="Normal 14 3 2 5" xfId="29634" xr:uid="{C6626E4C-E319-4EF3-ABC7-4C9A0AEA54E8}"/>
    <cellStyle name="Normal 14 3 3" xfId="5499" xr:uid="{00000000-0005-0000-0000-0000740E0000}"/>
    <cellStyle name="Normal 14 3 3 2" xfId="14825" xr:uid="{2D4ED137-4091-4BDD-BED9-BF3786725B9F}"/>
    <cellStyle name="Normal 14 3 3 3" xfId="23266" xr:uid="{8970956A-A6E2-43B2-9015-8250B9316E0F}"/>
    <cellStyle name="Normal 14 3 3 4" xfId="31706" xr:uid="{41C4BB8C-98B3-4669-8BB9-0BDE4347306A}"/>
    <cellStyle name="Normal 14 3 4" xfId="10608" xr:uid="{C6BFA962-0B9E-4195-A6B0-E616476DA445}"/>
    <cellStyle name="Normal 14 3 5" xfId="19049" xr:uid="{2DE3A44C-98C3-4505-BD0D-7C8D6F2D9D99}"/>
    <cellStyle name="Normal 14 3 6" xfId="27489" xr:uid="{375D42F9-EF42-4895-93F7-6EFE17962B66}"/>
    <cellStyle name="Normal 14 4" xfId="1605" xr:uid="{00000000-0005-0000-0000-0000750E0000}"/>
    <cellStyle name="Normal 14 4 2" xfId="3835" xr:uid="{00000000-0005-0000-0000-0000760E0000}"/>
    <cellStyle name="Normal 14 4 2 2" xfId="8057" xr:uid="{00000000-0005-0000-0000-0000770E0000}"/>
    <cellStyle name="Normal 14 4 2 2 2" xfId="17383" xr:uid="{0B7AEBA1-84F5-4E22-BE5D-A9672590AD7F}"/>
    <cellStyle name="Normal 14 4 2 2 3" xfId="25824" xr:uid="{8CDCB4D7-FED5-4A22-BF09-F6D3A26752EA}"/>
    <cellStyle name="Normal 14 4 2 2 4" xfId="34264" xr:uid="{D38BA962-021D-40F5-8B87-4A06344EC3ED}"/>
    <cellStyle name="Normal 14 4 2 3" xfId="13166" xr:uid="{C4E2AB33-E817-4DA0-8B68-0EDB6678560A}"/>
    <cellStyle name="Normal 14 4 2 4" xfId="21607" xr:uid="{EEBF5008-9629-4193-A90B-25136A19F9D8}"/>
    <cellStyle name="Normal 14 4 2 5" xfId="30047" xr:uid="{182C2AC9-4847-4ECB-9453-C282DAE1168F}"/>
    <cellStyle name="Normal 14 4 3" xfId="5912" xr:uid="{00000000-0005-0000-0000-0000780E0000}"/>
    <cellStyle name="Normal 14 4 3 2" xfId="15238" xr:uid="{3DBCFF69-5DAC-4610-BFAF-058482FD85C9}"/>
    <cellStyle name="Normal 14 4 3 3" xfId="23679" xr:uid="{E1E9CCC8-B9F1-426B-8626-A86B802D27B5}"/>
    <cellStyle name="Normal 14 4 3 4" xfId="32119" xr:uid="{3626BEA1-E067-43CF-B1FD-577A287664A8}"/>
    <cellStyle name="Normal 14 4 4" xfId="11021" xr:uid="{B14F8A78-DC8A-408E-872C-C98E8202A5F7}"/>
    <cellStyle name="Normal 14 4 5" xfId="19462" xr:uid="{7229945A-B204-43DE-822B-7970A6F65938}"/>
    <cellStyle name="Normal 14 4 6" xfId="27902" xr:uid="{C3B841DB-A120-45A3-A2C9-B533F4059A3B}"/>
    <cellStyle name="Normal 14 5" xfId="2019" xr:uid="{00000000-0005-0000-0000-0000790E0000}"/>
    <cellStyle name="Normal 14 5 2" xfId="4248" xr:uid="{00000000-0005-0000-0000-00007A0E0000}"/>
    <cellStyle name="Normal 14 5 2 2" xfId="8470" xr:uid="{00000000-0005-0000-0000-00007B0E0000}"/>
    <cellStyle name="Normal 14 5 2 2 2" xfId="17796" xr:uid="{B275D430-2FFD-43F1-8DEB-1D4C7430B937}"/>
    <cellStyle name="Normal 14 5 2 2 3" xfId="26237" xr:uid="{183A4BDE-69C5-4692-A1D5-FA3CEE748E8B}"/>
    <cellStyle name="Normal 14 5 2 2 4" xfId="34677" xr:uid="{162B1856-7333-4FAF-86F0-83EC90356F88}"/>
    <cellStyle name="Normal 14 5 2 3" xfId="13579" xr:uid="{17765E53-FB8D-4171-A99A-88E3D06060BB}"/>
    <cellStyle name="Normal 14 5 2 4" xfId="22020" xr:uid="{921109C6-EC6E-4B3A-8AB7-5D5B88804253}"/>
    <cellStyle name="Normal 14 5 2 5" xfId="30460" xr:uid="{547D6EB6-A9BC-48B1-86C7-9749C10F888A}"/>
    <cellStyle name="Normal 14 5 3" xfId="6325" xr:uid="{00000000-0005-0000-0000-00007C0E0000}"/>
    <cellStyle name="Normal 14 5 3 2" xfId="15651" xr:uid="{1BD2772F-962C-4AA6-976A-ECFE9840DE97}"/>
    <cellStyle name="Normal 14 5 3 3" xfId="24092" xr:uid="{20729BD2-2D10-44EB-9A67-EE811F1192A5}"/>
    <cellStyle name="Normal 14 5 3 4" xfId="32532" xr:uid="{8DB88C47-F94C-4ED4-9BB5-205CD12EE1E0}"/>
    <cellStyle name="Normal 14 5 4" xfId="11434" xr:uid="{3260C21E-DE99-4C22-8D2B-DADD99608DE3}"/>
    <cellStyle name="Normal 14 5 5" xfId="19875" xr:uid="{BF420CF9-1993-4CCA-8511-F211A28E4526}"/>
    <cellStyle name="Normal 14 5 6" xfId="28315" xr:uid="{6FFB6BF7-B621-4B31-A058-B699874E64DE}"/>
    <cellStyle name="Normal 14 6" xfId="2455" xr:uid="{00000000-0005-0000-0000-00007D0E0000}"/>
    <cellStyle name="Normal 14 6 2" xfId="6738" xr:uid="{00000000-0005-0000-0000-00007E0E0000}"/>
    <cellStyle name="Normal 14 6 2 2" xfId="16064" xr:uid="{4C8F688D-F8B4-4046-B7F3-1D0F06C6D080}"/>
    <cellStyle name="Normal 14 6 2 3" xfId="24505" xr:uid="{3C2C3B29-59C6-440A-9848-159592F5CCF8}"/>
    <cellStyle name="Normal 14 6 2 4" xfId="32945" xr:uid="{80EE1A4C-0075-4B79-9CCB-8668BA86A5F0}"/>
    <cellStyle name="Normal 14 6 3" xfId="11847" xr:uid="{1610FD66-9C10-4E1A-9C34-B606597E9D53}"/>
    <cellStyle name="Normal 14 6 4" xfId="20288" xr:uid="{B363979E-1866-4165-A48A-9B1958BF48B3}"/>
    <cellStyle name="Normal 14 6 5" xfId="28728" xr:uid="{4E217F95-CD82-492C-9E3C-0152FF6C5FE1}"/>
    <cellStyle name="Normal 14 7" xfId="4672" xr:uid="{00000000-0005-0000-0000-00007F0E0000}"/>
    <cellStyle name="Normal 14 7 2" xfId="13998" xr:uid="{05C3041B-AD16-42FE-AF1A-18A7811A7950}"/>
    <cellStyle name="Normal 14 7 3" xfId="22439" xr:uid="{677B6508-6874-4A6D-9F70-91EB5E946BE7}"/>
    <cellStyle name="Normal 14 7 4" xfId="30879" xr:uid="{5E9B6066-C1B9-47D4-893A-F9663165E56C}"/>
    <cellStyle name="Normal 14 8" xfId="8946" xr:uid="{DD997A1C-6669-41AA-8AC1-78121AFC796C}"/>
    <cellStyle name="Normal 14 9" xfId="9781" xr:uid="{96ABED26-63F2-4F21-9CEE-2BBA7A01AA76}"/>
    <cellStyle name="Normal 15" xfId="4496" xr:uid="{00000000-0005-0000-0000-0000800E0000}"/>
    <cellStyle name="Normal 15 2" xfId="9578" xr:uid="{99513E76-E7E2-49D8-ADC5-F882C61FFC79}"/>
    <cellStyle name="Normal 15 3" xfId="9155" xr:uid="{47700DD8-A88A-4CB4-BFAD-BA75A2D4FC8E}"/>
    <cellStyle name="Normal 15 4" xfId="13824" xr:uid="{052FCCA3-D91D-42E6-8112-F1A1BA267D70}"/>
    <cellStyle name="Normal 15 5" xfId="22265" xr:uid="{AD816BA4-F4C6-4EE7-B9CC-ADF0C58DAEDB}"/>
    <cellStyle name="Normal 15 6" xfId="30705" xr:uid="{BAEFE5E4-1D93-4E8B-965A-BE205B29D9A5}"/>
    <cellStyle name="Normal 16" xfId="4500" xr:uid="{00000000-0005-0000-0000-0000810E0000}"/>
    <cellStyle name="Normal 16 2" xfId="8715" xr:uid="{00000000-0005-0000-0000-0000820E0000}"/>
    <cellStyle name="Normal 16 2 2" xfId="18041" xr:uid="{8626DF96-1B07-4CC1-8C5F-DFCE119DF05D}"/>
    <cellStyle name="Normal 16 2 3" xfId="26482" xr:uid="{F712EBDA-7AAB-459E-B7E6-53F83E248D01}"/>
    <cellStyle name="Normal 16 2 4" xfId="34922" xr:uid="{A786CC10-537E-4A57-89CD-9B374CE8CD45}"/>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3" xfId="18050" xr:uid="{EDA69819-1965-404E-856A-028566A37162}"/>
    <cellStyle name="Normal 16 3 2 2 4" xfId="26491" xr:uid="{C7CBAFF6-814E-41C9-81C1-9CA2008DA0A5}"/>
    <cellStyle name="Normal 16 3 2 2 5" xfId="34931" xr:uid="{C67669EB-35F1-4CBF-A90D-B329D5CBAEDB}"/>
    <cellStyle name="Normal 16 3 2 3" xfId="18047" xr:uid="{FF52A6BB-B151-4D6E-8D61-62BCACA619F3}"/>
    <cellStyle name="Normal 16 3 2 4" xfId="26488" xr:uid="{F7B58020-E7B5-4A83-B1D0-6076A655556F}"/>
    <cellStyle name="Normal 16 3 2 5" xfId="34928" xr:uid="{A96AC16A-3299-42B6-9D1D-414F3DAE2709}"/>
    <cellStyle name="Normal 16 3 3" xfId="18044" xr:uid="{FF0A5026-DE81-4AB3-A3FF-65F8196BDFA6}"/>
    <cellStyle name="Normal 16 3 4" xfId="26485" xr:uid="{777BC873-BDA9-4BD9-858A-FE94B80E1EB1}"/>
    <cellStyle name="Normal 16 3 5" xfId="34925" xr:uid="{207163CB-E7D5-43A6-9D5A-5F479CEC6F59}"/>
    <cellStyle name="Normal 16 4" xfId="9612" xr:uid="{8729F6E8-3534-4DAE-B0B2-B2AF3CDCD313}"/>
    <cellStyle name="Normal 16 5" xfId="13827" xr:uid="{87CE1001-7012-4FD2-9113-E99993D4ED39}"/>
    <cellStyle name="Normal 16 6" xfId="22268" xr:uid="{768F0972-5957-4B74-B269-67FBA6223461}"/>
    <cellStyle name="Normal 16 7" xfId="30708" xr:uid="{07B25F96-1C83-4163-9641-F73AD79780A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E7F9D86D-9E1B-4C25-AB9A-418E1B06E750}"/>
    <cellStyle name="Normal 2 4 2 10 2 2 3" xfId="26238" xr:uid="{3340E75C-BFB4-4D08-9480-D321C0344CCC}"/>
    <cellStyle name="Normal 2 4 2 10 2 2 4" xfId="34678" xr:uid="{9149A6BE-4C7E-4A4C-B597-A9D22CE48550}"/>
    <cellStyle name="Normal 2 4 2 10 2 3" xfId="13580" xr:uid="{AA09EB07-55DC-4894-B174-CBA95C1347B7}"/>
    <cellStyle name="Normal 2 4 2 10 2 4" xfId="22021" xr:uid="{F617B367-7C67-4C0B-85F5-34E080D777E5}"/>
    <cellStyle name="Normal 2 4 2 10 2 5" xfId="30461" xr:uid="{49369ED4-DFA3-40DD-8016-6E1214C8FCDC}"/>
    <cellStyle name="Normal 2 4 2 10 3" xfId="6326" xr:uid="{00000000-0005-0000-0000-0000910E0000}"/>
    <cellStyle name="Normal 2 4 2 10 3 2" xfId="15652" xr:uid="{25B16156-F1C9-4B30-AD4C-BE66D11B86CB}"/>
    <cellStyle name="Normal 2 4 2 10 3 3" xfId="24093" xr:uid="{0437DE0A-6897-4921-BBDE-30E979617F33}"/>
    <cellStyle name="Normal 2 4 2 10 3 4" xfId="32533" xr:uid="{9BFFCB6D-2087-4FD4-BD12-A8F19572AD6A}"/>
    <cellStyle name="Normal 2 4 2 10 4" xfId="11435" xr:uid="{B04E7F72-67E5-45C9-B00E-ED5FC649E653}"/>
    <cellStyle name="Normal 2 4 2 10 5" xfId="19876" xr:uid="{A1935FC7-21B7-4A8A-9D4C-3A7546F6AD70}"/>
    <cellStyle name="Normal 2 4 2 10 6" xfId="28316" xr:uid="{A90F99C0-3284-47BE-A687-1BA28352FD27}"/>
    <cellStyle name="Normal 2 4 2 11" xfId="2456" xr:uid="{00000000-0005-0000-0000-0000920E0000}"/>
    <cellStyle name="Normal 2 4 2 11 2" xfId="6739" xr:uid="{00000000-0005-0000-0000-0000930E0000}"/>
    <cellStyle name="Normal 2 4 2 11 2 2" xfId="16065" xr:uid="{6C53990F-AB72-47BD-B37C-D3C31ED1910B}"/>
    <cellStyle name="Normal 2 4 2 11 2 3" xfId="24506" xr:uid="{245683C8-5AC7-49C6-9BE2-6AA226326EC7}"/>
    <cellStyle name="Normal 2 4 2 11 2 4" xfId="32946" xr:uid="{8C9405F7-9A6C-4A6F-BE69-392DBF3A89FF}"/>
    <cellStyle name="Normal 2 4 2 11 3" xfId="11848" xr:uid="{377E6305-A88C-4913-AA68-C09BC6F48110}"/>
    <cellStyle name="Normal 2 4 2 11 4" xfId="20289" xr:uid="{6A25B38A-FBBC-4F0F-AE5C-3B6E6530173A}"/>
    <cellStyle name="Normal 2 4 2 11 5" xfId="28729" xr:uid="{7A40F87C-9C40-428E-AFF4-4E52EF1185F1}"/>
    <cellStyle name="Normal 2 4 2 12" xfId="4673" xr:uid="{00000000-0005-0000-0000-0000940E0000}"/>
    <cellStyle name="Normal 2 4 2 12 2" xfId="13999" xr:uid="{507C440B-5471-4F9A-865E-66DA7DA8D4DC}"/>
    <cellStyle name="Normal 2 4 2 12 3" xfId="22440" xr:uid="{EBFAB490-DAEE-4F85-BEFA-9E4DA1E51591}"/>
    <cellStyle name="Normal 2 4 2 12 4" xfId="30880" xr:uid="{2661C4CF-68FC-442E-B7D1-4EA63CA95F0B}"/>
    <cellStyle name="Normal 2 4 2 13" xfId="8757" xr:uid="{563A76DD-F7DD-49F0-A61E-0419F4C31301}"/>
    <cellStyle name="Normal 2 4 2 14" xfId="9782" xr:uid="{3D44ACCE-E2A1-4DD7-982B-C42A64B7178A}"/>
    <cellStyle name="Normal 2 4 2 15" xfId="18223" xr:uid="{DC45DD51-284F-4696-8686-5C94D3F369B0}"/>
    <cellStyle name="Normal 2 4 2 16" xfId="26663" xr:uid="{CB6BEB1A-8A61-432F-88FD-9E55BBFA96D8}"/>
    <cellStyle name="Normal 2 4 2 2" xfId="280" xr:uid="{00000000-0005-0000-0000-0000950E0000}"/>
    <cellStyle name="Normal 2 4 2 3" xfId="281" xr:uid="{00000000-0005-0000-0000-0000960E0000}"/>
    <cellStyle name="Normal 2 4 2 3 10" xfId="4674" xr:uid="{00000000-0005-0000-0000-0000970E0000}"/>
    <cellStyle name="Normal 2 4 2 3 10 2" xfId="14000" xr:uid="{5891CB73-2B11-4E1F-A71F-430972171156}"/>
    <cellStyle name="Normal 2 4 2 3 10 3" xfId="22441" xr:uid="{53DA1E04-04B5-4409-9BB5-75F03B366D25}"/>
    <cellStyle name="Normal 2 4 2 3 10 4" xfId="30881" xr:uid="{EE60A942-3D4F-4121-928A-1931F17540AC}"/>
    <cellStyle name="Normal 2 4 2 3 11" xfId="8788" xr:uid="{EAD3D227-C8EF-4F54-8D24-EE1EA1F017BB}"/>
    <cellStyle name="Normal 2 4 2 3 12" xfId="9783" xr:uid="{F1625900-B568-4E1F-AB2C-A064B453A329}"/>
    <cellStyle name="Normal 2 4 2 3 13" xfId="18224" xr:uid="{3BF65EEC-D91D-477A-8062-7C9E842D79BB}"/>
    <cellStyle name="Normal 2 4 2 3 14" xfId="26664" xr:uid="{54B4E5BF-70F4-4692-8B1C-EEB4B758672B}"/>
    <cellStyle name="Normal 2 4 2 3 2" xfId="282" xr:uid="{00000000-0005-0000-0000-0000980E0000}"/>
    <cellStyle name="Normal 2 4 2 3 2 10" xfId="8813" xr:uid="{C03AE35D-2438-4E07-AE9C-6D04EC6DA2B7}"/>
    <cellStyle name="Normal 2 4 2 3 2 11" xfId="9784" xr:uid="{21D6A82B-D567-44BD-9CF3-7602096EFAB0}"/>
    <cellStyle name="Normal 2 4 2 3 2 12" xfId="18225" xr:uid="{CC670F12-8665-4CBD-BC97-3802B064152C}"/>
    <cellStyle name="Normal 2 4 2 3 2 13" xfId="26665" xr:uid="{6E39E294-49AF-4EA7-A68A-73F084749E4F}"/>
    <cellStyle name="Normal 2 4 2 3 2 2" xfId="283" xr:uid="{00000000-0005-0000-0000-0000990E0000}"/>
    <cellStyle name="Normal 2 4 2 3 2 2 10" xfId="9785" xr:uid="{49126620-63B1-493C-AA7B-362200A86D1C}"/>
    <cellStyle name="Normal 2 4 2 3 2 2 11" xfId="18226" xr:uid="{3E53F31E-D269-46CF-951C-79F1CB38F7A2}"/>
    <cellStyle name="Normal 2 4 2 3 2 2 12" xfId="26666" xr:uid="{C70DDF68-DBF9-4D46-8803-CC88FD416CDC}"/>
    <cellStyle name="Normal 2 4 2 3 2 2 2" xfId="284" xr:uid="{00000000-0005-0000-0000-00009A0E0000}"/>
    <cellStyle name="Normal 2 4 2 3 2 2 2 10" xfId="18227" xr:uid="{FD3C021E-3E2C-46D5-9136-30861DE5D55E}"/>
    <cellStyle name="Normal 2 4 2 3 2 2 2 11" xfId="26667" xr:uid="{E3B067B0-682F-4C09-A95A-077FA1F2A5CC}"/>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468D0E66-FF1E-4346-A331-A7D51EE0CA5B}"/>
    <cellStyle name="Normal 2 4 2 3 2 2 2 2 2 2 3" xfId="25003" xr:uid="{14C6B88D-1BCA-4B3C-95B1-EEBF9DC1FFFF}"/>
    <cellStyle name="Normal 2 4 2 3 2 2 2 2 2 2 4" xfId="33443" xr:uid="{4EA44759-33DF-420A-82F9-2223B6219B11}"/>
    <cellStyle name="Normal 2 4 2 3 2 2 2 2 2 3" xfId="12345" xr:uid="{4D110FE3-1AF8-4421-B373-0236573F3019}"/>
    <cellStyle name="Normal 2 4 2 3 2 2 2 2 2 4" xfId="20786" xr:uid="{C9A228EA-04AC-46B8-BDA0-916D5B879DD1}"/>
    <cellStyle name="Normal 2 4 2 3 2 2 2 2 2 5" xfId="29226" xr:uid="{80018828-10AA-41FF-A4C6-2F1737D94211}"/>
    <cellStyle name="Normal 2 4 2 3 2 2 2 2 3" xfId="5091" xr:uid="{00000000-0005-0000-0000-00009E0E0000}"/>
    <cellStyle name="Normal 2 4 2 3 2 2 2 2 3 2" xfId="14417" xr:uid="{B7320AB4-0637-4564-BF9F-3C2A80979AB7}"/>
    <cellStyle name="Normal 2 4 2 3 2 2 2 2 3 3" xfId="22858" xr:uid="{459E5669-539B-4F74-A7E1-57FB71224BAD}"/>
    <cellStyle name="Normal 2 4 2 3 2 2 2 2 3 4" xfId="31298" xr:uid="{C83206AA-BBDF-45EC-A5B1-CA2841769B95}"/>
    <cellStyle name="Normal 2 4 2 3 2 2 2 2 4" xfId="9548" xr:uid="{29E7289E-B3F4-4F63-9B9C-B531B0E50CEB}"/>
    <cellStyle name="Normal 2 4 2 3 2 2 2 2 5" xfId="10200" xr:uid="{907F08DC-AC31-42A8-9E0C-640BC439E835}"/>
    <cellStyle name="Normal 2 4 2 3 2 2 2 2 6" xfId="18641" xr:uid="{1F63C417-EB5F-42F0-A87C-E947C6AEDA68}"/>
    <cellStyle name="Normal 2 4 2 3 2 2 2 2 7" xfId="27081" xr:uid="{F99533CD-D439-43F5-ACC5-49DBE446E33E}"/>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A8C369B6-FABB-4068-A1C5-FE7B2C85E1FC}"/>
    <cellStyle name="Normal 2 4 2 3 2 2 2 3 2 2 3" xfId="25416" xr:uid="{E3BAA533-36F8-4955-86BE-DF4764399FB0}"/>
    <cellStyle name="Normal 2 4 2 3 2 2 2 3 2 2 4" xfId="33856" xr:uid="{6CCD5F66-3E85-468C-B54A-D862AF971E51}"/>
    <cellStyle name="Normal 2 4 2 3 2 2 2 3 2 3" xfId="12758" xr:uid="{A9CBF326-6D93-4D8D-B582-8CA18D44999A}"/>
    <cellStyle name="Normal 2 4 2 3 2 2 2 3 2 4" xfId="21199" xr:uid="{2B9581B6-1F00-4338-AD58-8BC5A276B543}"/>
    <cellStyle name="Normal 2 4 2 3 2 2 2 3 2 5" xfId="29639" xr:uid="{41145E2C-BF9C-46B8-B19E-7E8846FE7A81}"/>
    <cellStyle name="Normal 2 4 2 3 2 2 2 3 3" xfId="5504" xr:uid="{00000000-0005-0000-0000-0000A20E0000}"/>
    <cellStyle name="Normal 2 4 2 3 2 2 2 3 3 2" xfId="14830" xr:uid="{4571107F-0D3F-4538-BE5E-2B66CCD2D646}"/>
    <cellStyle name="Normal 2 4 2 3 2 2 2 3 3 3" xfId="23271" xr:uid="{CD533965-9837-4818-B38F-454F759988C7}"/>
    <cellStyle name="Normal 2 4 2 3 2 2 2 3 3 4" xfId="31711" xr:uid="{DD0A0878-698A-4C1D-8B92-D8B0F3FE56AA}"/>
    <cellStyle name="Normal 2 4 2 3 2 2 2 3 4" xfId="10613" xr:uid="{878947BF-7BC2-44FE-8179-5E70FD8EBACB}"/>
    <cellStyle name="Normal 2 4 2 3 2 2 2 3 5" xfId="19054" xr:uid="{18EFC8DC-4E8B-477C-BD2A-EA4E599B9004}"/>
    <cellStyle name="Normal 2 4 2 3 2 2 2 3 6" xfId="27494" xr:uid="{D4E52362-2F8C-4E67-B418-8EAB5246399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3BA7682D-77AC-4CFE-BFCC-F4CC811D7530}"/>
    <cellStyle name="Normal 2 4 2 3 2 2 2 4 2 2 3" xfId="25829" xr:uid="{E38CE9BC-F56B-4573-B056-62DCB5F25A6C}"/>
    <cellStyle name="Normal 2 4 2 3 2 2 2 4 2 2 4" xfId="34269" xr:uid="{6F6C5098-FA67-4237-99A5-2F99AE5AC3FC}"/>
    <cellStyle name="Normal 2 4 2 3 2 2 2 4 2 3" xfId="13171" xr:uid="{EBC3F0DD-751E-48BF-8B26-505980E60BB6}"/>
    <cellStyle name="Normal 2 4 2 3 2 2 2 4 2 4" xfId="21612" xr:uid="{C6999947-5AA4-4A17-B33C-680ED6C4C1E6}"/>
    <cellStyle name="Normal 2 4 2 3 2 2 2 4 2 5" xfId="30052" xr:uid="{A3D799E9-9787-4A00-89E5-4B3F3994BB17}"/>
    <cellStyle name="Normal 2 4 2 3 2 2 2 4 3" xfId="5917" xr:uid="{00000000-0005-0000-0000-0000A60E0000}"/>
    <cellStyle name="Normal 2 4 2 3 2 2 2 4 3 2" xfId="15243" xr:uid="{EA01AC99-A8F7-433A-B63A-4195901765ED}"/>
    <cellStyle name="Normal 2 4 2 3 2 2 2 4 3 3" xfId="23684" xr:uid="{E180FF88-5BCB-404A-9A23-7F9D8A43AEDC}"/>
    <cellStyle name="Normal 2 4 2 3 2 2 2 4 3 4" xfId="32124" xr:uid="{767826BE-0F54-4CA3-9E6E-A77224AB826C}"/>
    <cellStyle name="Normal 2 4 2 3 2 2 2 4 4" xfId="11026" xr:uid="{8CBD9FDD-B74E-47F8-9F9A-0238F0B5C9A6}"/>
    <cellStyle name="Normal 2 4 2 3 2 2 2 4 5" xfId="19467" xr:uid="{2E1F5A28-CA61-4854-BE6C-C7BF376960BC}"/>
    <cellStyle name="Normal 2 4 2 3 2 2 2 4 6" xfId="27907" xr:uid="{09CFEB89-FD13-4946-9262-34099730CA0D}"/>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A5CF64CA-1258-42F2-93F3-7384B7D9914E}"/>
    <cellStyle name="Normal 2 4 2 3 2 2 2 5 2 2 3" xfId="26242" xr:uid="{42EEC6D4-11C1-44E3-84B7-100672CF8DBC}"/>
    <cellStyle name="Normal 2 4 2 3 2 2 2 5 2 2 4" xfId="34682" xr:uid="{3348BB9F-2A4F-4FFD-B74C-08CC48343471}"/>
    <cellStyle name="Normal 2 4 2 3 2 2 2 5 2 3" xfId="13584" xr:uid="{5F18A3AF-C066-423D-BCC5-EBF9568AE6B2}"/>
    <cellStyle name="Normal 2 4 2 3 2 2 2 5 2 4" xfId="22025" xr:uid="{4A5574B9-C437-49C0-99B0-0FBA91AA529F}"/>
    <cellStyle name="Normal 2 4 2 3 2 2 2 5 2 5" xfId="30465" xr:uid="{637DCBC4-021C-434C-9070-811C244E1E5D}"/>
    <cellStyle name="Normal 2 4 2 3 2 2 2 5 3" xfId="6330" xr:uid="{00000000-0005-0000-0000-0000AA0E0000}"/>
    <cellStyle name="Normal 2 4 2 3 2 2 2 5 3 2" xfId="15656" xr:uid="{60179296-8123-4DF9-8C88-282407E40D34}"/>
    <cellStyle name="Normal 2 4 2 3 2 2 2 5 3 3" xfId="24097" xr:uid="{BEED7060-4593-4AAD-B1F7-1E725A40CBEC}"/>
    <cellStyle name="Normal 2 4 2 3 2 2 2 5 3 4" xfId="32537" xr:uid="{AA351B23-712A-45F1-9420-4702E80509A9}"/>
    <cellStyle name="Normal 2 4 2 3 2 2 2 5 4" xfId="11439" xr:uid="{2834995C-4D3F-4562-A009-B7BAB854F7F6}"/>
    <cellStyle name="Normal 2 4 2 3 2 2 2 5 5" xfId="19880" xr:uid="{F4AEDD58-D4F0-42A6-A5CE-96B56EC48D8C}"/>
    <cellStyle name="Normal 2 4 2 3 2 2 2 5 6" xfId="28320" xr:uid="{0A9D14F7-5F37-4AD4-A97C-40B9A63F5810}"/>
    <cellStyle name="Normal 2 4 2 3 2 2 2 6" xfId="2460" xr:uid="{00000000-0005-0000-0000-0000AB0E0000}"/>
    <cellStyle name="Normal 2 4 2 3 2 2 2 6 2" xfId="6743" xr:uid="{00000000-0005-0000-0000-0000AC0E0000}"/>
    <cellStyle name="Normal 2 4 2 3 2 2 2 6 2 2" xfId="16069" xr:uid="{1D3855D9-B3A7-4C08-8E6C-9E7BDE11FCDF}"/>
    <cellStyle name="Normal 2 4 2 3 2 2 2 6 2 3" xfId="24510" xr:uid="{34A8E7E1-377D-4EF4-9F03-C0AEACC1C603}"/>
    <cellStyle name="Normal 2 4 2 3 2 2 2 6 2 4" xfId="32950" xr:uid="{5F0AD418-C503-4344-B971-4664E58A69B8}"/>
    <cellStyle name="Normal 2 4 2 3 2 2 2 6 3" xfId="11852" xr:uid="{32EC1E9A-83E3-4818-822F-96EAC905FF31}"/>
    <cellStyle name="Normal 2 4 2 3 2 2 2 6 4" xfId="20293" xr:uid="{1E0EE579-771F-4D62-B2C1-08DD5C145B91}"/>
    <cellStyle name="Normal 2 4 2 3 2 2 2 6 5" xfId="28733" xr:uid="{473A280D-4D6B-4CFA-8153-0E9D76AF84AF}"/>
    <cellStyle name="Normal 2 4 2 3 2 2 2 7" xfId="4677" xr:uid="{00000000-0005-0000-0000-0000AD0E0000}"/>
    <cellStyle name="Normal 2 4 2 3 2 2 2 7 2" xfId="14003" xr:uid="{E7BD3C1F-E3CF-4648-AB6E-A5D04D383B72}"/>
    <cellStyle name="Normal 2 4 2 3 2 2 2 7 3" xfId="22444" xr:uid="{BCDB7798-A31A-4C7B-8239-F7FC3EC3D6EA}"/>
    <cellStyle name="Normal 2 4 2 3 2 2 2 7 4" xfId="30884" xr:uid="{216F6685-B371-4486-9EF1-CDCB662AAEEC}"/>
    <cellStyle name="Normal 2 4 2 3 2 2 2 8" xfId="9123" xr:uid="{9F0183A9-880D-46D9-BB7D-5696E4723F5F}"/>
    <cellStyle name="Normal 2 4 2 3 2 2 2 9" xfId="9786" xr:uid="{38F8269C-DF35-4FE7-A1E2-F72D40098ACE}"/>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DA9F79AF-1FCC-4D51-8AB3-1FC876E01771}"/>
    <cellStyle name="Normal 2 4 2 3 2 2 3 2 2 3" xfId="25002" xr:uid="{61AEF983-F029-4E76-843E-A2C1EEA3E03B}"/>
    <cellStyle name="Normal 2 4 2 3 2 2 3 2 2 4" xfId="33442" xr:uid="{8BEEB963-9CA1-47F4-8B2F-6A3229F34469}"/>
    <cellStyle name="Normal 2 4 2 3 2 2 3 2 3" xfId="12344" xr:uid="{5AED8829-E8C7-4019-B871-FC57B61B2343}"/>
    <cellStyle name="Normal 2 4 2 3 2 2 3 2 4" xfId="20785" xr:uid="{DED9F716-27C4-4239-8319-06DBE4F9FE47}"/>
    <cellStyle name="Normal 2 4 2 3 2 2 3 2 5" xfId="29225" xr:uid="{7A8C173A-F5C2-40BD-A16B-5DC2FCDBE0FB}"/>
    <cellStyle name="Normal 2 4 2 3 2 2 3 3" xfId="5090" xr:uid="{00000000-0005-0000-0000-0000B10E0000}"/>
    <cellStyle name="Normal 2 4 2 3 2 2 3 3 2" xfId="14416" xr:uid="{F701443C-D946-4382-B0AE-5DB5E80A2EE8}"/>
    <cellStyle name="Normal 2 4 2 3 2 2 3 3 3" xfId="22857" xr:uid="{D570BC71-AF55-4503-9B6D-806794A2A3D1}"/>
    <cellStyle name="Normal 2 4 2 3 2 2 3 3 4" xfId="31297" xr:uid="{38264F75-B49A-4EC5-8F13-6603B847C99A}"/>
    <cellStyle name="Normal 2 4 2 3 2 2 3 4" xfId="9341" xr:uid="{4F113FF5-050D-47D1-A7D5-F829C93D993D}"/>
    <cellStyle name="Normal 2 4 2 3 2 2 3 5" xfId="10199" xr:uid="{EC8F8CC9-CAF6-483E-A66E-D6BAC33E8921}"/>
    <cellStyle name="Normal 2 4 2 3 2 2 3 6" xfId="18640" xr:uid="{1CB3E59D-09B2-472A-B44F-7CC6646A9ADB}"/>
    <cellStyle name="Normal 2 4 2 3 2 2 3 7" xfId="27080" xr:uid="{976288D4-74D7-42FC-8748-7FAA4B458FAE}"/>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A38FB947-34A7-4B82-BF68-18D97345C582}"/>
    <cellStyle name="Normal 2 4 2 3 2 2 4 2 2 3" xfId="25415" xr:uid="{83BBD7D4-348B-4D0D-B00D-9844D999DBB3}"/>
    <cellStyle name="Normal 2 4 2 3 2 2 4 2 2 4" xfId="33855" xr:uid="{10C04D92-EFC6-4338-833E-A0FA2FE3B513}"/>
    <cellStyle name="Normal 2 4 2 3 2 2 4 2 3" xfId="12757" xr:uid="{B47D695B-7150-4EDD-91B5-05A7D3E673DC}"/>
    <cellStyle name="Normal 2 4 2 3 2 2 4 2 4" xfId="21198" xr:uid="{AA4C6B97-5036-4B6F-9F43-11E5D46B59A9}"/>
    <cellStyle name="Normal 2 4 2 3 2 2 4 2 5" xfId="29638" xr:uid="{7E7759B1-693A-456F-937E-DB3129A38725}"/>
    <cellStyle name="Normal 2 4 2 3 2 2 4 3" xfId="5503" xr:uid="{00000000-0005-0000-0000-0000B50E0000}"/>
    <cellStyle name="Normal 2 4 2 3 2 2 4 3 2" xfId="14829" xr:uid="{0F979527-DAD8-4A22-B8BE-5EC0815D1ECA}"/>
    <cellStyle name="Normal 2 4 2 3 2 2 4 3 3" xfId="23270" xr:uid="{81EF570C-2542-4584-9D74-ADEC17B599DA}"/>
    <cellStyle name="Normal 2 4 2 3 2 2 4 3 4" xfId="31710" xr:uid="{318A1BA1-1DAA-41E6-830B-513B3E87219C}"/>
    <cellStyle name="Normal 2 4 2 3 2 2 4 4" xfId="10612" xr:uid="{7B858D07-DC70-43D4-8EEC-DBE34B00E50E}"/>
    <cellStyle name="Normal 2 4 2 3 2 2 4 5" xfId="19053" xr:uid="{A3F4E585-9DC0-4DE8-B758-C00D316F39CB}"/>
    <cellStyle name="Normal 2 4 2 3 2 2 4 6" xfId="27493" xr:uid="{2DD1DBFD-2298-4392-A951-7B98C0A273B5}"/>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1B8FE1E7-D678-44F7-8220-C6E78CB188F8}"/>
    <cellStyle name="Normal 2 4 2 3 2 2 5 2 2 3" xfId="25828" xr:uid="{F29165A7-DC4D-4347-AA4F-4063A3C7F744}"/>
    <cellStyle name="Normal 2 4 2 3 2 2 5 2 2 4" xfId="34268" xr:uid="{A7146D43-9F03-463D-9C02-2AE0AD8DCF31}"/>
    <cellStyle name="Normal 2 4 2 3 2 2 5 2 3" xfId="13170" xr:uid="{AC508633-C7CF-4148-BCD6-4FBE87292765}"/>
    <cellStyle name="Normal 2 4 2 3 2 2 5 2 4" xfId="21611" xr:uid="{5421B328-7239-47DF-A3F6-F02AEC5B5BA1}"/>
    <cellStyle name="Normal 2 4 2 3 2 2 5 2 5" xfId="30051" xr:uid="{FFE562A5-15EB-45B4-9795-C04066FA5FC8}"/>
    <cellStyle name="Normal 2 4 2 3 2 2 5 3" xfId="5916" xr:uid="{00000000-0005-0000-0000-0000B90E0000}"/>
    <cellStyle name="Normal 2 4 2 3 2 2 5 3 2" xfId="15242" xr:uid="{1B3BDEA5-BF7E-46E1-9E89-F9E5327CB909}"/>
    <cellStyle name="Normal 2 4 2 3 2 2 5 3 3" xfId="23683" xr:uid="{195554A9-07AF-405D-9173-E13CD77A3C8C}"/>
    <cellStyle name="Normal 2 4 2 3 2 2 5 3 4" xfId="32123" xr:uid="{9CDD346C-7DF5-466B-A4B4-7AC2005B6868}"/>
    <cellStyle name="Normal 2 4 2 3 2 2 5 4" xfId="11025" xr:uid="{B8F33E39-3888-4367-83DF-4A4702C7A3F7}"/>
    <cellStyle name="Normal 2 4 2 3 2 2 5 5" xfId="19466" xr:uid="{A072D3BD-F678-4103-93FC-36C1EA2C5D80}"/>
    <cellStyle name="Normal 2 4 2 3 2 2 5 6" xfId="27906" xr:uid="{F8E98F65-8C33-47FC-ACA2-3E7C7E36395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123F0594-E1A4-4E63-B9A1-9F2F3BDB6575}"/>
    <cellStyle name="Normal 2 4 2 3 2 2 6 2 2 3" xfId="26241" xr:uid="{7420CCA8-AD6D-47B2-BEEF-4DDAC24572AC}"/>
    <cellStyle name="Normal 2 4 2 3 2 2 6 2 2 4" xfId="34681" xr:uid="{AE98D155-7271-47E3-AC7F-DB22C836C82F}"/>
    <cellStyle name="Normal 2 4 2 3 2 2 6 2 3" xfId="13583" xr:uid="{04FDDDA1-D499-430E-A336-55C7028F5807}"/>
    <cellStyle name="Normal 2 4 2 3 2 2 6 2 4" xfId="22024" xr:uid="{7090F6C0-238B-4D47-A985-EBBB6294118B}"/>
    <cellStyle name="Normal 2 4 2 3 2 2 6 2 5" xfId="30464" xr:uid="{EC0B7A2A-2C7B-494F-9539-EB7B543966F1}"/>
    <cellStyle name="Normal 2 4 2 3 2 2 6 3" xfId="6329" xr:uid="{00000000-0005-0000-0000-0000BD0E0000}"/>
    <cellStyle name="Normal 2 4 2 3 2 2 6 3 2" xfId="15655" xr:uid="{BFBCD80A-6A99-4BCB-ABF4-7AD5EE1DBE9D}"/>
    <cellStyle name="Normal 2 4 2 3 2 2 6 3 3" xfId="24096" xr:uid="{BE02AEED-3042-450C-B974-698B90114AAE}"/>
    <cellStyle name="Normal 2 4 2 3 2 2 6 3 4" xfId="32536" xr:uid="{D48AEC3D-1FF4-4ABF-B4D7-B37688749A87}"/>
    <cellStyle name="Normal 2 4 2 3 2 2 6 4" xfId="11438" xr:uid="{3843C633-5DB5-4252-85B8-A9B4BF7A4DD4}"/>
    <cellStyle name="Normal 2 4 2 3 2 2 6 5" xfId="19879" xr:uid="{659E552A-4767-43B6-851B-F414B27F014D}"/>
    <cellStyle name="Normal 2 4 2 3 2 2 6 6" xfId="28319" xr:uid="{348300A8-CB01-4F7A-9D48-448F489CC55B}"/>
    <cellStyle name="Normal 2 4 2 3 2 2 7" xfId="2459" xr:uid="{00000000-0005-0000-0000-0000BE0E0000}"/>
    <cellStyle name="Normal 2 4 2 3 2 2 7 2" xfId="6742" xr:uid="{00000000-0005-0000-0000-0000BF0E0000}"/>
    <cellStyle name="Normal 2 4 2 3 2 2 7 2 2" xfId="16068" xr:uid="{6189A6D3-5578-4945-801A-371467EACA83}"/>
    <cellStyle name="Normal 2 4 2 3 2 2 7 2 3" xfId="24509" xr:uid="{3887FAD7-55F7-47A1-9693-A4576400555B}"/>
    <cellStyle name="Normal 2 4 2 3 2 2 7 2 4" xfId="32949" xr:uid="{F70E9F8A-ABEC-49DC-9D98-94BBB849DE6A}"/>
    <cellStyle name="Normal 2 4 2 3 2 2 7 3" xfId="11851" xr:uid="{43CA1FC2-BB4C-42D1-A921-0F2BABF3ACD0}"/>
    <cellStyle name="Normal 2 4 2 3 2 2 7 4" xfId="20292" xr:uid="{5C6FE04E-BB72-4830-BF1E-A3E9A0FEBDF1}"/>
    <cellStyle name="Normal 2 4 2 3 2 2 7 5" xfId="28732" xr:uid="{088427F6-DCF7-4F43-95BD-A6093001EC0E}"/>
    <cellStyle name="Normal 2 4 2 3 2 2 8" xfId="4676" xr:uid="{00000000-0005-0000-0000-0000C00E0000}"/>
    <cellStyle name="Normal 2 4 2 3 2 2 8 2" xfId="14002" xr:uid="{443636FD-D51F-4646-A785-0085B256E5CF}"/>
    <cellStyle name="Normal 2 4 2 3 2 2 8 3" xfId="22443" xr:uid="{F480F59D-FB31-4775-808A-E85F0C0DD492}"/>
    <cellStyle name="Normal 2 4 2 3 2 2 8 4" xfId="30883" xr:uid="{055AB202-669F-4189-BE17-1E73E4D0B4DD}"/>
    <cellStyle name="Normal 2 4 2 3 2 2 9" xfId="8916" xr:uid="{1EF18CC7-44BB-43EB-8DB6-D193CEF128C1}"/>
    <cellStyle name="Normal 2 4 2 3 2 3" xfId="285" xr:uid="{00000000-0005-0000-0000-0000C10E0000}"/>
    <cellStyle name="Normal 2 4 2 3 2 3 10" xfId="18228" xr:uid="{78EC4B08-C69D-4247-9545-91021E3A0711}"/>
    <cellStyle name="Normal 2 4 2 3 2 3 11" xfId="26668" xr:uid="{1DCFEAF3-5CC6-4D99-A078-0DD3B6E40FFB}"/>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00F7DD1F-5741-4CF1-94B6-356D163ADD8A}"/>
    <cellStyle name="Normal 2 4 2 3 2 3 2 2 2 3" xfId="25004" xr:uid="{4FCD28E7-D4AA-4E43-A789-D4637201712A}"/>
    <cellStyle name="Normal 2 4 2 3 2 3 2 2 2 4" xfId="33444" xr:uid="{85D30552-3C2F-4EB3-B2D0-49BB7E0A224F}"/>
    <cellStyle name="Normal 2 4 2 3 2 3 2 2 3" xfId="12346" xr:uid="{B3690AF1-904F-4BD6-A5BF-8B28E0A6167B}"/>
    <cellStyle name="Normal 2 4 2 3 2 3 2 2 4" xfId="20787" xr:uid="{5E8377F4-F870-4CA9-9B72-F808A6745BE6}"/>
    <cellStyle name="Normal 2 4 2 3 2 3 2 2 5" xfId="29227" xr:uid="{5120119C-D321-4C87-A0FA-A53C245B82AA}"/>
    <cellStyle name="Normal 2 4 2 3 2 3 2 3" xfId="5092" xr:uid="{00000000-0005-0000-0000-0000C50E0000}"/>
    <cellStyle name="Normal 2 4 2 3 2 3 2 3 2" xfId="14418" xr:uid="{5F6EEDC6-0A0F-48F5-8CDE-7FD236E051A4}"/>
    <cellStyle name="Normal 2 4 2 3 2 3 2 3 3" xfId="22859" xr:uid="{8FDE1CB0-9434-4526-AA80-F7F27FB6BB33}"/>
    <cellStyle name="Normal 2 4 2 3 2 3 2 3 4" xfId="31299" xr:uid="{87FD3510-3A79-429E-B4F2-E253CB665819}"/>
    <cellStyle name="Normal 2 4 2 3 2 3 2 4" xfId="9445" xr:uid="{67F9E33C-8554-469D-8D7A-1147F632F3B0}"/>
    <cellStyle name="Normal 2 4 2 3 2 3 2 5" xfId="10201" xr:uid="{60B2AD08-1E24-42F7-882B-111DA17CD2AC}"/>
    <cellStyle name="Normal 2 4 2 3 2 3 2 6" xfId="18642" xr:uid="{41BEA8AF-A3A8-4EAB-B723-87FE92242ACA}"/>
    <cellStyle name="Normal 2 4 2 3 2 3 2 7" xfId="27082" xr:uid="{0FCCA957-0816-42C0-8D9D-38AF047997EC}"/>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CEA76467-A320-4525-9E02-B835DAF003D7}"/>
    <cellStyle name="Normal 2 4 2 3 2 3 3 2 2 3" xfId="25417" xr:uid="{2181F31F-E7B3-47C0-8132-6A4242D101F2}"/>
    <cellStyle name="Normal 2 4 2 3 2 3 3 2 2 4" xfId="33857" xr:uid="{4B0942A6-4BAC-4630-A607-31BAB664AB21}"/>
    <cellStyle name="Normal 2 4 2 3 2 3 3 2 3" xfId="12759" xr:uid="{6B8F2739-8005-491D-B8A5-252AF7233928}"/>
    <cellStyle name="Normal 2 4 2 3 2 3 3 2 4" xfId="21200" xr:uid="{2246A3EE-A332-45D9-9505-9D115F0F7897}"/>
    <cellStyle name="Normal 2 4 2 3 2 3 3 2 5" xfId="29640" xr:uid="{53367DD7-4E86-4795-A337-84CDD27DECD1}"/>
    <cellStyle name="Normal 2 4 2 3 2 3 3 3" xfId="5505" xr:uid="{00000000-0005-0000-0000-0000C90E0000}"/>
    <cellStyle name="Normal 2 4 2 3 2 3 3 3 2" xfId="14831" xr:uid="{054C3493-8A0E-4106-A05A-25578073E561}"/>
    <cellStyle name="Normal 2 4 2 3 2 3 3 3 3" xfId="23272" xr:uid="{9FCE3593-0B08-4F01-96BD-BBC6A217794C}"/>
    <cellStyle name="Normal 2 4 2 3 2 3 3 3 4" xfId="31712" xr:uid="{70910AFF-ED8F-4937-AA75-7EA051168EB1}"/>
    <cellStyle name="Normal 2 4 2 3 2 3 3 4" xfId="10614" xr:uid="{E8ACBCA5-970E-471D-8CB9-82C92A217FFB}"/>
    <cellStyle name="Normal 2 4 2 3 2 3 3 5" xfId="19055" xr:uid="{48EEC10E-D40C-419D-9C2C-7D00120B4567}"/>
    <cellStyle name="Normal 2 4 2 3 2 3 3 6" xfId="27495" xr:uid="{999365B2-1983-4F6A-B2F8-95583EED6789}"/>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66C8174D-AAF2-4BFE-AACE-AD3BB7CF2EE3}"/>
    <cellStyle name="Normal 2 4 2 3 2 3 4 2 2 3" xfId="25830" xr:uid="{65333E33-FF96-474F-9F5A-17CA27C284ED}"/>
    <cellStyle name="Normal 2 4 2 3 2 3 4 2 2 4" xfId="34270" xr:uid="{944089D1-3B2F-42AA-9E2C-DC10698CEF27}"/>
    <cellStyle name="Normal 2 4 2 3 2 3 4 2 3" xfId="13172" xr:uid="{972DBAA8-59D6-4E21-B118-F1DE28F38589}"/>
    <cellStyle name="Normal 2 4 2 3 2 3 4 2 4" xfId="21613" xr:uid="{65043454-883C-48AA-95D5-BCE1419EE550}"/>
    <cellStyle name="Normal 2 4 2 3 2 3 4 2 5" xfId="30053" xr:uid="{3F540B0B-9D8A-438D-AC27-72B0BA85BF58}"/>
    <cellStyle name="Normal 2 4 2 3 2 3 4 3" xfId="5918" xr:uid="{00000000-0005-0000-0000-0000CD0E0000}"/>
    <cellStyle name="Normal 2 4 2 3 2 3 4 3 2" xfId="15244" xr:uid="{ABD899B4-F9C0-4AA5-BE5B-50F891BF3650}"/>
    <cellStyle name="Normal 2 4 2 3 2 3 4 3 3" xfId="23685" xr:uid="{1FB93D3B-2B87-404C-9F71-33B3A1810C0A}"/>
    <cellStyle name="Normal 2 4 2 3 2 3 4 3 4" xfId="32125" xr:uid="{0DF1D350-FC48-46BE-A3D0-C2E4F19A5E48}"/>
    <cellStyle name="Normal 2 4 2 3 2 3 4 4" xfId="11027" xr:uid="{CEB8EA4C-826C-400F-8F21-336F06735350}"/>
    <cellStyle name="Normal 2 4 2 3 2 3 4 5" xfId="19468" xr:uid="{CE5E0E83-CBD9-4F66-8579-5BFF3536033F}"/>
    <cellStyle name="Normal 2 4 2 3 2 3 4 6" xfId="27908" xr:uid="{26934225-92F0-4A81-A871-1A89C2BA1D37}"/>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E841604E-5AAE-43BE-B4E0-1293361EBDB1}"/>
    <cellStyle name="Normal 2 4 2 3 2 3 5 2 2 3" xfId="26243" xr:uid="{0E53454E-1CEB-4288-A1F0-4399FAB03C5A}"/>
    <cellStyle name="Normal 2 4 2 3 2 3 5 2 2 4" xfId="34683" xr:uid="{7EDDC3B7-675A-4528-A832-951A33267F63}"/>
    <cellStyle name="Normal 2 4 2 3 2 3 5 2 3" xfId="13585" xr:uid="{66E433F3-3E6F-457C-B0F9-219251B006A3}"/>
    <cellStyle name="Normal 2 4 2 3 2 3 5 2 4" xfId="22026" xr:uid="{5C48EBBA-C7E5-419D-A426-81F8BEAF0A78}"/>
    <cellStyle name="Normal 2 4 2 3 2 3 5 2 5" xfId="30466" xr:uid="{369892BE-15FE-4DBC-AF77-704039731EB4}"/>
    <cellStyle name="Normal 2 4 2 3 2 3 5 3" xfId="6331" xr:uid="{00000000-0005-0000-0000-0000D10E0000}"/>
    <cellStyle name="Normal 2 4 2 3 2 3 5 3 2" xfId="15657" xr:uid="{A0D4DCEF-0D23-4236-824C-D29E254E622A}"/>
    <cellStyle name="Normal 2 4 2 3 2 3 5 3 3" xfId="24098" xr:uid="{AD331F5F-9BF2-4F53-BF29-07C2A8A43454}"/>
    <cellStyle name="Normal 2 4 2 3 2 3 5 3 4" xfId="32538" xr:uid="{E8A0FB26-5A65-4FD0-A4FE-45E2508C2B73}"/>
    <cellStyle name="Normal 2 4 2 3 2 3 5 4" xfId="11440" xr:uid="{2DBCBB7E-8AE1-4017-9F6C-1E99DC8E046C}"/>
    <cellStyle name="Normal 2 4 2 3 2 3 5 5" xfId="19881" xr:uid="{8916109B-2930-4571-870A-858CB46C2852}"/>
    <cellStyle name="Normal 2 4 2 3 2 3 5 6" xfId="28321" xr:uid="{EDA97476-0ED2-4DA0-A5E4-6064FDF8569F}"/>
    <cellStyle name="Normal 2 4 2 3 2 3 6" xfId="2461" xr:uid="{00000000-0005-0000-0000-0000D20E0000}"/>
    <cellStyle name="Normal 2 4 2 3 2 3 6 2" xfId="6744" xr:uid="{00000000-0005-0000-0000-0000D30E0000}"/>
    <cellStyle name="Normal 2 4 2 3 2 3 6 2 2" xfId="16070" xr:uid="{4BAA8DBA-4A92-4D13-A05F-4573223E1313}"/>
    <cellStyle name="Normal 2 4 2 3 2 3 6 2 3" xfId="24511" xr:uid="{E03A4102-9D5C-4583-B935-68A642087617}"/>
    <cellStyle name="Normal 2 4 2 3 2 3 6 2 4" xfId="32951" xr:uid="{E4AA4AAB-07EE-42DE-9595-51277EC3007B}"/>
    <cellStyle name="Normal 2 4 2 3 2 3 6 3" xfId="11853" xr:uid="{054B9409-FC38-4C27-9053-693ACBDF1F98}"/>
    <cellStyle name="Normal 2 4 2 3 2 3 6 4" xfId="20294" xr:uid="{92DF4076-7CCF-4013-95E4-B9EE8402B576}"/>
    <cellStyle name="Normal 2 4 2 3 2 3 6 5" xfId="28734" xr:uid="{DD57442E-DA7F-4CC8-A8B7-AF4ED90DE560}"/>
    <cellStyle name="Normal 2 4 2 3 2 3 7" xfId="4678" xr:uid="{00000000-0005-0000-0000-0000D40E0000}"/>
    <cellStyle name="Normal 2 4 2 3 2 3 7 2" xfId="14004" xr:uid="{DD45FB5A-F612-47F4-877D-FD8B9925D1B7}"/>
    <cellStyle name="Normal 2 4 2 3 2 3 7 3" xfId="22445" xr:uid="{42A83C4E-FFB0-40C0-B79E-06B022C36798}"/>
    <cellStyle name="Normal 2 4 2 3 2 3 7 4" xfId="30885" xr:uid="{5048A950-2084-4DF5-81E9-A261ABF3E883}"/>
    <cellStyle name="Normal 2 4 2 3 2 3 8" xfId="9020" xr:uid="{5718F785-8E2C-4B45-91D1-4597173D90A6}"/>
    <cellStyle name="Normal 2 4 2 3 2 3 9" xfId="9787" xr:uid="{CB8DFAE8-D0A1-42B1-90F5-3BAC88F4C198}"/>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82D423FB-1840-4A75-96D1-C5AB0C04BC8C}"/>
    <cellStyle name="Normal 2 4 2 3 2 4 2 2 3" xfId="25001" xr:uid="{D46D5966-2D1C-4E7C-A348-19DEAACADE51}"/>
    <cellStyle name="Normal 2 4 2 3 2 4 2 2 4" xfId="33441" xr:uid="{9214C8B4-A01A-438B-B3B4-5B8DE4F31D1F}"/>
    <cellStyle name="Normal 2 4 2 3 2 4 2 3" xfId="12343" xr:uid="{BB56C0D9-7F30-4388-9591-3B03316A4F6A}"/>
    <cellStyle name="Normal 2 4 2 3 2 4 2 4" xfId="20784" xr:uid="{7065607B-22AE-4EBE-95F7-5CAC1133946F}"/>
    <cellStyle name="Normal 2 4 2 3 2 4 2 5" xfId="29224" xr:uid="{714942E3-2334-45C1-83A5-BB36F870A9AA}"/>
    <cellStyle name="Normal 2 4 2 3 2 4 3" xfId="5089" xr:uid="{00000000-0005-0000-0000-0000D80E0000}"/>
    <cellStyle name="Normal 2 4 2 3 2 4 3 2" xfId="14415" xr:uid="{201F2E66-6053-46D1-9D93-71BC772DB352}"/>
    <cellStyle name="Normal 2 4 2 3 2 4 3 3" xfId="22856" xr:uid="{A6175356-9C72-49FD-9166-DE6B075CF94F}"/>
    <cellStyle name="Normal 2 4 2 3 2 4 3 4" xfId="31296" xr:uid="{2803E342-2294-43FA-8B04-52A5665B91E4}"/>
    <cellStyle name="Normal 2 4 2 3 2 4 4" xfId="9238" xr:uid="{BC6E5A3D-C256-46E9-A109-D643C24AA206}"/>
    <cellStyle name="Normal 2 4 2 3 2 4 5" xfId="10198" xr:uid="{27147C02-5F9F-40CB-89F3-3764CE5C461A}"/>
    <cellStyle name="Normal 2 4 2 3 2 4 6" xfId="18639" xr:uid="{9C35C558-6BCF-4DE3-9663-9F3638247C66}"/>
    <cellStyle name="Normal 2 4 2 3 2 4 7" xfId="27079" xr:uid="{86260D8A-4ECC-4E74-81BA-2AA5F3D0C157}"/>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5CE41B0A-B5CA-4305-AF67-F65E8F808D8E}"/>
    <cellStyle name="Normal 2 4 2 3 2 5 2 2 3" xfId="25414" xr:uid="{7C13B13D-3FC5-4799-9C12-D31B6A7F43A5}"/>
    <cellStyle name="Normal 2 4 2 3 2 5 2 2 4" xfId="33854" xr:uid="{BEBF79C7-865C-472C-B917-8C8F4B7A3099}"/>
    <cellStyle name="Normal 2 4 2 3 2 5 2 3" xfId="12756" xr:uid="{24DA0FCF-CD0C-45C3-A87F-314C5777E303}"/>
    <cellStyle name="Normal 2 4 2 3 2 5 2 4" xfId="21197" xr:uid="{78D9216E-AA06-409E-AAD8-86C7A3458968}"/>
    <cellStyle name="Normal 2 4 2 3 2 5 2 5" xfId="29637" xr:uid="{0C0EDD0D-2F4B-4158-B187-AC2BC06756D1}"/>
    <cellStyle name="Normal 2 4 2 3 2 5 3" xfId="5502" xr:uid="{00000000-0005-0000-0000-0000DC0E0000}"/>
    <cellStyle name="Normal 2 4 2 3 2 5 3 2" xfId="14828" xr:uid="{78BBAFB6-17B3-403D-BE23-A6ACA93B575F}"/>
    <cellStyle name="Normal 2 4 2 3 2 5 3 3" xfId="23269" xr:uid="{41D8FCC6-BC73-41D5-864D-AC6E68CF3CE2}"/>
    <cellStyle name="Normal 2 4 2 3 2 5 3 4" xfId="31709" xr:uid="{65F43960-A6C7-40CA-B2D7-EE1039ADC03A}"/>
    <cellStyle name="Normal 2 4 2 3 2 5 4" xfId="10611" xr:uid="{38C02231-80DC-4A5E-B4F1-292A58EA67B1}"/>
    <cellStyle name="Normal 2 4 2 3 2 5 5" xfId="19052" xr:uid="{E5764C05-99BD-464D-B034-62FD8B7E1A7B}"/>
    <cellStyle name="Normal 2 4 2 3 2 5 6" xfId="27492" xr:uid="{DCF16D92-10CD-4E67-9C31-6CBCEC329462}"/>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1DC8122E-60AF-4197-9A78-0FCD103DD29D}"/>
    <cellStyle name="Normal 2 4 2 3 2 6 2 2 3" xfId="25827" xr:uid="{A0B9BC35-5E36-421F-9117-854BE4643B8B}"/>
    <cellStyle name="Normal 2 4 2 3 2 6 2 2 4" xfId="34267" xr:uid="{654B8449-B91E-4088-8116-4DCDCC846123}"/>
    <cellStyle name="Normal 2 4 2 3 2 6 2 3" xfId="13169" xr:uid="{79777BF4-1261-4948-A8B9-723CE6BABDC2}"/>
    <cellStyle name="Normal 2 4 2 3 2 6 2 4" xfId="21610" xr:uid="{C36B736A-9313-46F5-97A9-20B60FF7F8F0}"/>
    <cellStyle name="Normal 2 4 2 3 2 6 2 5" xfId="30050" xr:uid="{D0CA5FBD-06A3-423D-A049-BB18C07A8FE5}"/>
    <cellStyle name="Normal 2 4 2 3 2 6 3" xfId="5915" xr:uid="{00000000-0005-0000-0000-0000E00E0000}"/>
    <cellStyle name="Normal 2 4 2 3 2 6 3 2" xfId="15241" xr:uid="{841BEF91-2635-4201-B12D-3F147B30E1E3}"/>
    <cellStyle name="Normal 2 4 2 3 2 6 3 3" xfId="23682" xr:uid="{83A57547-74C5-4026-9F53-2F5CA6200846}"/>
    <cellStyle name="Normal 2 4 2 3 2 6 3 4" xfId="32122" xr:uid="{3D4B4E6A-5CB1-47B4-9828-EB61EEE4E6AD}"/>
    <cellStyle name="Normal 2 4 2 3 2 6 4" xfId="11024" xr:uid="{689853A1-D188-4FDD-9786-B2BE61A062E4}"/>
    <cellStyle name="Normal 2 4 2 3 2 6 5" xfId="19465" xr:uid="{861F8C42-FD24-48FB-A5EA-6674C0A198F3}"/>
    <cellStyle name="Normal 2 4 2 3 2 6 6" xfId="27905" xr:uid="{1E316DBE-86FF-436B-BC4B-6548AD86E3A3}"/>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ECD22A6E-9A15-4212-8A08-3B464837AEE2}"/>
    <cellStyle name="Normal 2 4 2 3 2 7 2 2 3" xfId="26240" xr:uid="{C40598EE-0683-4F93-9DCA-09D1A7A9F7D0}"/>
    <cellStyle name="Normal 2 4 2 3 2 7 2 2 4" xfId="34680" xr:uid="{4A254A34-15DC-4A6E-A664-59E9C9E21E76}"/>
    <cellStyle name="Normal 2 4 2 3 2 7 2 3" xfId="13582" xr:uid="{D03F0340-84A5-4B82-A3EC-1FA5F64417B9}"/>
    <cellStyle name="Normal 2 4 2 3 2 7 2 4" xfId="22023" xr:uid="{F8895F4E-1DDF-4A15-9A63-B1AC2A4C95E6}"/>
    <cellStyle name="Normal 2 4 2 3 2 7 2 5" xfId="30463" xr:uid="{800E9476-5910-4936-9C0B-FB4C30F1A1D3}"/>
    <cellStyle name="Normal 2 4 2 3 2 7 3" xfId="6328" xr:uid="{00000000-0005-0000-0000-0000E40E0000}"/>
    <cellStyle name="Normal 2 4 2 3 2 7 3 2" xfId="15654" xr:uid="{1D12A161-03EB-4407-883A-2E382A9D61CB}"/>
    <cellStyle name="Normal 2 4 2 3 2 7 3 3" xfId="24095" xr:uid="{D44916E0-B580-4362-9A71-6F955976B2C3}"/>
    <cellStyle name="Normal 2 4 2 3 2 7 3 4" xfId="32535" xr:uid="{39B55AF4-12BD-4B1A-B741-3412E7CA92AA}"/>
    <cellStyle name="Normal 2 4 2 3 2 7 4" xfId="11437" xr:uid="{35FB86BD-B4E5-441E-9F4A-305F405C38F2}"/>
    <cellStyle name="Normal 2 4 2 3 2 7 5" xfId="19878" xr:uid="{F311FC9B-B6EF-4847-B316-EAFA8D43221A}"/>
    <cellStyle name="Normal 2 4 2 3 2 7 6" xfId="28318" xr:uid="{2308E3E0-408E-486D-ADD9-AEC40080946C}"/>
    <cellStyle name="Normal 2 4 2 3 2 8" xfId="2458" xr:uid="{00000000-0005-0000-0000-0000E50E0000}"/>
    <cellStyle name="Normal 2 4 2 3 2 8 2" xfId="6741" xr:uid="{00000000-0005-0000-0000-0000E60E0000}"/>
    <cellStyle name="Normal 2 4 2 3 2 8 2 2" xfId="16067" xr:uid="{E11BD69D-92A0-4402-B5B7-5A512C68FD6A}"/>
    <cellStyle name="Normal 2 4 2 3 2 8 2 3" xfId="24508" xr:uid="{47C52625-0A15-4E1F-B87E-6662B50FC8E6}"/>
    <cellStyle name="Normal 2 4 2 3 2 8 2 4" xfId="32948" xr:uid="{29946691-E7F3-4838-BDAE-EBB7185F95FF}"/>
    <cellStyle name="Normal 2 4 2 3 2 8 3" xfId="11850" xr:uid="{DDDD6A61-E7DA-4742-8E2B-A8B7A1ABBB72}"/>
    <cellStyle name="Normal 2 4 2 3 2 8 4" xfId="20291" xr:uid="{8882D4CF-608A-42B5-ACB3-34ABED76A667}"/>
    <cellStyle name="Normal 2 4 2 3 2 8 5" xfId="28731" xr:uid="{064DD76D-4500-4EDE-84C6-AABBD0F7697A}"/>
    <cellStyle name="Normal 2 4 2 3 2 9" xfId="4675" xr:uid="{00000000-0005-0000-0000-0000E70E0000}"/>
    <cellStyle name="Normal 2 4 2 3 2 9 2" xfId="14001" xr:uid="{A8BBC9D7-9242-4EE4-ABCB-C69720AFD206}"/>
    <cellStyle name="Normal 2 4 2 3 2 9 3" xfId="22442" xr:uid="{A6D3A382-450E-4453-98BE-C4275270741B}"/>
    <cellStyle name="Normal 2 4 2 3 2 9 4" xfId="30882" xr:uid="{F5E7E8D5-ED73-4DE8-82C3-3DA951433E8D}"/>
    <cellStyle name="Normal 2 4 2 3 3" xfId="286" xr:uid="{00000000-0005-0000-0000-0000E80E0000}"/>
    <cellStyle name="Normal 2 4 2 3 3 10" xfId="9788" xr:uid="{C0860E6C-E246-43FD-B865-A24FD277D1AA}"/>
    <cellStyle name="Normal 2 4 2 3 3 11" xfId="18229" xr:uid="{534C9411-8682-4FF3-8DB1-7A2E56E601BA}"/>
    <cellStyle name="Normal 2 4 2 3 3 12" xfId="26669" xr:uid="{3E80A5EB-BB73-40F4-801E-21D15E7FB3C6}"/>
    <cellStyle name="Normal 2 4 2 3 3 2" xfId="287" xr:uid="{00000000-0005-0000-0000-0000E90E0000}"/>
    <cellStyle name="Normal 2 4 2 3 3 2 10" xfId="18230" xr:uid="{E001283C-4F4D-43DD-8779-CC48F4FCE9A9}"/>
    <cellStyle name="Normal 2 4 2 3 3 2 11" xfId="26670" xr:uid="{CCA32525-A88F-4B72-BB3E-48F13C7EFC9A}"/>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8E8978BE-282C-4D3B-B9D5-CAC432CD8BB9}"/>
    <cellStyle name="Normal 2 4 2 3 3 2 2 2 2 3" xfId="25006" xr:uid="{5F464756-AEE9-48CC-B3D3-85BA4E7ECACE}"/>
    <cellStyle name="Normal 2 4 2 3 3 2 2 2 2 4" xfId="33446" xr:uid="{BDFAF79C-BF70-4C89-A261-3EC4F1CB94ED}"/>
    <cellStyle name="Normal 2 4 2 3 3 2 2 2 3" xfId="12348" xr:uid="{6A9EEB9D-3538-4E0E-8C7F-A36EB83BCC5F}"/>
    <cellStyle name="Normal 2 4 2 3 3 2 2 2 4" xfId="20789" xr:uid="{4BB53ACB-8BEA-4662-B01E-DDA56CAD10AF}"/>
    <cellStyle name="Normal 2 4 2 3 3 2 2 2 5" xfId="29229" xr:uid="{6BDDEDB2-2B8C-44AE-831B-34EAED35E355}"/>
    <cellStyle name="Normal 2 4 2 3 3 2 2 3" xfId="5094" xr:uid="{00000000-0005-0000-0000-0000ED0E0000}"/>
    <cellStyle name="Normal 2 4 2 3 3 2 2 3 2" xfId="14420" xr:uid="{AC39BB37-76B6-4841-B6AB-4587EA1D668B}"/>
    <cellStyle name="Normal 2 4 2 3 3 2 2 3 3" xfId="22861" xr:uid="{E89B9042-77F7-4C04-BDFD-E0ECCEB2CFC7}"/>
    <cellStyle name="Normal 2 4 2 3 3 2 2 3 4" xfId="31301" xr:uid="{CA9291C3-C8C5-47EB-9104-6C2E9170FC6C}"/>
    <cellStyle name="Normal 2 4 2 3 3 2 2 4" xfId="9523" xr:uid="{49BCB42B-3FEB-4D87-8E20-52FE775F87DD}"/>
    <cellStyle name="Normal 2 4 2 3 3 2 2 5" xfId="10203" xr:uid="{DDBBD9C5-A083-444A-9052-B1166F8E6D54}"/>
    <cellStyle name="Normal 2 4 2 3 3 2 2 6" xfId="18644" xr:uid="{080CC987-2AEE-4508-A22D-D35A0CD05635}"/>
    <cellStyle name="Normal 2 4 2 3 3 2 2 7" xfId="27084" xr:uid="{1949DEC5-B788-4F74-850F-8AAF7C86AC95}"/>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8CF87387-065F-436A-8F95-1D88718694C9}"/>
    <cellStyle name="Normal 2 4 2 3 3 2 3 2 2 3" xfId="25419" xr:uid="{4B1D5337-CD9C-42D4-B614-988947D98BBC}"/>
    <cellStyle name="Normal 2 4 2 3 3 2 3 2 2 4" xfId="33859" xr:uid="{51492C7D-CD6A-4CF4-9143-E6741ADD5A3F}"/>
    <cellStyle name="Normal 2 4 2 3 3 2 3 2 3" xfId="12761" xr:uid="{526CF865-1BB4-440C-94D0-02DEC6DC5BA0}"/>
    <cellStyle name="Normal 2 4 2 3 3 2 3 2 4" xfId="21202" xr:uid="{A8718B30-88BB-4826-99EB-5460E1F54CCC}"/>
    <cellStyle name="Normal 2 4 2 3 3 2 3 2 5" xfId="29642" xr:uid="{5F03314B-B717-49D6-A2AD-E72EA779F354}"/>
    <cellStyle name="Normal 2 4 2 3 3 2 3 3" xfId="5507" xr:uid="{00000000-0005-0000-0000-0000F10E0000}"/>
    <cellStyle name="Normal 2 4 2 3 3 2 3 3 2" xfId="14833" xr:uid="{C37E6E5F-2734-4624-806F-D7CB71372F0D}"/>
    <cellStyle name="Normal 2 4 2 3 3 2 3 3 3" xfId="23274" xr:uid="{D637EA42-0896-4F7B-AC12-74BFC4FD7152}"/>
    <cellStyle name="Normal 2 4 2 3 3 2 3 3 4" xfId="31714" xr:uid="{26BB860E-F98F-42B6-8BFC-EA9C5043AC1A}"/>
    <cellStyle name="Normal 2 4 2 3 3 2 3 4" xfId="10616" xr:uid="{E617BDA5-CAF8-4C0C-98D3-85F028ECFDCE}"/>
    <cellStyle name="Normal 2 4 2 3 3 2 3 5" xfId="19057" xr:uid="{FA7814E9-C500-48B4-A024-8EB60DCA72E4}"/>
    <cellStyle name="Normal 2 4 2 3 3 2 3 6" xfId="27497" xr:uid="{7880DA7B-999B-4C48-A184-8765D65E38CA}"/>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E1C39425-D62B-401A-A0EE-745A0A996141}"/>
    <cellStyle name="Normal 2 4 2 3 3 2 4 2 2 3" xfId="25832" xr:uid="{CCC68ABA-F9EF-48F0-A675-0C0A9AC0FA8E}"/>
    <cellStyle name="Normal 2 4 2 3 3 2 4 2 2 4" xfId="34272" xr:uid="{F344DAF3-3270-4C34-AFF7-BCA9F32C7CF7}"/>
    <cellStyle name="Normal 2 4 2 3 3 2 4 2 3" xfId="13174" xr:uid="{6D075EA6-A72C-4115-B548-35344B34D7B7}"/>
    <cellStyle name="Normal 2 4 2 3 3 2 4 2 4" xfId="21615" xr:uid="{21D2308D-99A3-4847-A684-36FD96EAE7A7}"/>
    <cellStyle name="Normal 2 4 2 3 3 2 4 2 5" xfId="30055" xr:uid="{57F0106D-7DF1-4356-BBC0-0B7EBF779AAB}"/>
    <cellStyle name="Normal 2 4 2 3 3 2 4 3" xfId="5920" xr:uid="{00000000-0005-0000-0000-0000F50E0000}"/>
    <cellStyle name="Normal 2 4 2 3 3 2 4 3 2" xfId="15246" xr:uid="{BDB61302-B2FB-4148-9654-64C8D7F8E731}"/>
    <cellStyle name="Normal 2 4 2 3 3 2 4 3 3" xfId="23687" xr:uid="{F5254E53-423A-43D4-BFD0-599187917DC4}"/>
    <cellStyle name="Normal 2 4 2 3 3 2 4 3 4" xfId="32127" xr:uid="{1254286C-D487-4B53-AD90-5F821A503A63}"/>
    <cellStyle name="Normal 2 4 2 3 3 2 4 4" xfId="11029" xr:uid="{BC306CEA-A062-4A17-8F08-265943CC2E2E}"/>
    <cellStyle name="Normal 2 4 2 3 3 2 4 5" xfId="19470" xr:uid="{E6B30220-D875-4CCE-BB47-07C69DE9617B}"/>
    <cellStyle name="Normal 2 4 2 3 3 2 4 6" xfId="27910" xr:uid="{964FBDA1-EA72-4525-A185-44560696576F}"/>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5264D5AA-AD46-4554-AFE4-8954CDB101C3}"/>
    <cellStyle name="Normal 2 4 2 3 3 2 5 2 2 3" xfId="26245" xr:uid="{37113B6F-6A59-43F9-9B62-425E49DF9F68}"/>
    <cellStyle name="Normal 2 4 2 3 3 2 5 2 2 4" xfId="34685" xr:uid="{A76B609E-E903-486E-BB72-288920AA8DC2}"/>
    <cellStyle name="Normal 2 4 2 3 3 2 5 2 3" xfId="13587" xr:uid="{F0A3E4AE-EE66-46D9-ADEC-19C852519F61}"/>
    <cellStyle name="Normal 2 4 2 3 3 2 5 2 4" xfId="22028" xr:uid="{EA1D4B2F-FBAD-4471-96E5-DDA0285EA52D}"/>
    <cellStyle name="Normal 2 4 2 3 3 2 5 2 5" xfId="30468" xr:uid="{AA35CE91-C48C-4C44-BB97-7253C6E84C6A}"/>
    <cellStyle name="Normal 2 4 2 3 3 2 5 3" xfId="6333" xr:uid="{00000000-0005-0000-0000-0000F90E0000}"/>
    <cellStyle name="Normal 2 4 2 3 3 2 5 3 2" xfId="15659" xr:uid="{64210E03-C91F-461A-9DD0-0C2C59665F29}"/>
    <cellStyle name="Normal 2 4 2 3 3 2 5 3 3" xfId="24100" xr:uid="{7717B1F2-9804-4ED3-A955-206EABC49481}"/>
    <cellStyle name="Normal 2 4 2 3 3 2 5 3 4" xfId="32540" xr:uid="{1855EBE3-6CC1-4D5F-B9E6-3BFCABA07375}"/>
    <cellStyle name="Normal 2 4 2 3 3 2 5 4" xfId="11442" xr:uid="{D8CA382A-DB2B-4FD5-A88A-63616D9751B2}"/>
    <cellStyle name="Normal 2 4 2 3 3 2 5 5" xfId="19883" xr:uid="{05B54E53-7EA8-45E7-A2B6-5C4A90D37470}"/>
    <cellStyle name="Normal 2 4 2 3 3 2 5 6" xfId="28323" xr:uid="{8EC4E7B6-701B-4350-A045-FF7D043372E3}"/>
    <cellStyle name="Normal 2 4 2 3 3 2 6" xfId="2463" xr:uid="{00000000-0005-0000-0000-0000FA0E0000}"/>
    <cellStyle name="Normal 2 4 2 3 3 2 6 2" xfId="6746" xr:uid="{00000000-0005-0000-0000-0000FB0E0000}"/>
    <cellStyle name="Normal 2 4 2 3 3 2 6 2 2" xfId="16072" xr:uid="{BE7A90D2-2B1F-4710-A544-DEAF8720CD39}"/>
    <cellStyle name="Normal 2 4 2 3 3 2 6 2 3" xfId="24513" xr:uid="{1015ABB3-099F-4AD2-8737-088AFA9C54ED}"/>
    <cellStyle name="Normal 2 4 2 3 3 2 6 2 4" xfId="32953" xr:uid="{96A7049A-F6AC-4400-8645-CEC4F358E1CD}"/>
    <cellStyle name="Normal 2 4 2 3 3 2 6 3" xfId="11855" xr:uid="{E40F9858-C2CC-4C9E-A715-092CA85FFD5F}"/>
    <cellStyle name="Normal 2 4 2 3 3 2 6 4" xfId="20296" xr:uid="{74658EAB-5D2D-494F-90B1-912B1B179B9A}"/>
    <cellStyle name="Normal 2 4 2 3 3 2 6 5" xfId="28736" xr:uid="{34BF7659-43DA-4396-8DFB-88C7D72DCF89}"/>
    <cellStyle name="Normal 2 4 2 3 3 2 7" xfId="4680" xr:uid="{00000000-0005-0000-0000-0000FC0E0000}"/>
    <cellStyle name="Normal 2 4 2 3 3 2 7 2" xfId="14006" xr:uid="{3B8AE6E4-5E72-48D3-9A7F-3D095C478A8F}"/>
    <cellStyle name="Normal 2 4 2 3 3 2 7 3" xfId="22447" xr:uid="{67E69EB6-137B-4C43-B7C0-69FC6AB1E105}"/>
    <cellStyle name="Normal 2 4 2 3 3 2 7 4" xfId="30887" xr:uid="{C9D9C4EB-239E-485D-9A39-77F516A5691C}"/>
    <cellStyle name="Normal 2 4 2 3 3 2 8" xfId="9098" xr:uid="{15335B31-FFDD-479D-88EC-FAB83DC4E6EC}"/>
    <cellStyle name="Normal 2 4 2 3 3 2 9" xfId="9789" xr:uid="{E5C76B17-BD11-4404-A86B-2BB6455268B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39349DD1-89F4-452D-B33A-7B007C774094}"/>
    <cellStyle name="Normal 2 4 2 3 3 3 2 2 3" xfId="25005" xr:uid="{9F12DE22-191F-4D84-BE71-BB573AFE8083}"/>
    <cellStyle name="Normal 2 4 2 3 3 3 2 2 4" xfId="33445" xr:uid="{69627D74-504B-4DED-9B61-1D9FA5164C57}"/>
    <cellStyle name="Normal 2 4 2 3 3 3 2 3" xfId="12347" xr:uid="{E291D4EB-46CB-4698-B9E9-88C1A870CCE7}"/>
    <cellStyle name="Normal 2 4 2 3 3 3 2 4" xfId="20788" xr:uid="{122F3CBB-405F-4DA7-8507-5EE9833CFBE3}"/>
    <cellStyle name="Normal 2 4 2 3 3 3 2 5" xfId="29228" xr:uid="{05CCFFAA-499F-4EF8-8FB6-209D01C398B5}"/>
    <cellStyle name="Normal 2 4 2 3 3 3 3" xfId="5093" xr:uid="{00000000-0005-0000-0000-0000000F0000}"/>
    <cellStyle name="Normal 2 4 2 3 3 3 3 2" xfId="14419" xr:uid="{5350D3FB-C796-4E76-9677-60416819C3D5}"/>
    <cellStyle name="Normal 2 4 2 3 3 3 3 3" xfId="22860" xr:uid="{A753D559-EF36-41C2-8A04-2B4487588986}"/>
    <cellStyle name="Normal 2 4 2 3 3 3 3 4" xfId="31300" xr:uid="{EC3F043A-D7F3-44DB-960C-081E12E890BC}"/>
    <cellStyle name="Normal 2 4 2 3 3 3 4" xfId="9316" xr:uid="{C8C83D09-5A3A-4C90-8A04-9D7CD8C85B11}"/>
    <cellStyle name="Normal 2 4 2 3 3 3 5" xfId="10202" xr:uid="{639C5091-EB04-4ADB-9174-7E7A7DB1E8E2}"/>
    <cellStyle name="Normal 2 4 2 3 3 3 6" xfId="18643" xr:uid="{82DFC3C6-FEE0-41B1-A6AB-B0BFA9C9371A}"/>
    <cellStyle name="Normal 2 4 2 3 3 3 7" xfId="27083" xr:uid="{A0F7CB77-5B5A-43D1-A1E2-4FBCBD3A0C55}"/>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73DA529B-77D8-4E19-9A38-FC41C807FAED}"/>
    <cellStyle name="Normal 2 4 2 3 3 4 2 2 3" xfId="25418" xr:uid="{4976278A-B8D9-4513-92A0-9A4A62DD1372}"/>
    <cellStyle name="Normal 2 4 2 3 3 4 2 2 4" xfId="33858" xr:uid="{22FFF2AB-19EF-4DF5-B9CE-70D308C97D4E}"/>
    <cellStyle name="Normal 2 4 2 3 3 4 2 3" xfId="12760" xr:uid="{B327BF32-83F1-4FDD-9DBA-2E454CE77D00}"/>
    <cellStyle name="Normal 2 4 2 3 3 4 2 4" xfId="21201" xr:uid="{E766BA19-D8DB-4721-80F7-210C50AEA61E}"/>
    <cellStyle name="Normal 2 4 2 3 3 4 2 5" xfId="29641" xr:uid="{5BA4B179-8843-41A7-80FD-8353EAF9CACC}"/>
    <cellStyle name="Normal 2 4 2 3 3 4 3" xfId="5506" xr:uid="{00000000-0005-0000-0000-0000040F0000}"/>
    <cellStyle name="Normal 2 4 2 3 3 4 3 2" xfId="14832" xr:uid="{E8D18A54-D106-4BA3-8F17-75D5A2238828}"/>
    <cellStyle name="Normal 2 4 2 3 3 4 3 3" xfId="23273" xr:uid="{37F15124-EE21-45B1-B807-9530E2A85164}"/>
    <cellStyle name="Normal 2 4 2 3 3 4 3 4" xfId="31713" xr:uid="{B5F8C23B-B6F6-46AA-AA81-DAF3131A6C32}"/>
    <cellStyle name="Normal 2 4 2 3 3 4 4" xfId="10615" xr:uid="{1A362B7A-9471-48DC-BC19-D21BB61FC280}"/>
    <cellStyle name="Normal 2 4 2 3 3 4 5" xfId="19056" xr:uid="{B9C1EAF2-FB02-425D-AE2B-FC4F2A735BEE}"/>
    <cellStyle name="Normal 2 4 2 3 3 4 6" xfId="27496" xr:uid="{56069138-7B23-4D07-8CEA-7509BAE72A48}"/>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EE025236-A482-4EEF-BBA1-EE51A8328087}"/>
    <cellStyle name="Normal 2 4 2 3 3 5 2 2 3" xfId="25831" xr:uid="{284D750C-DD04-420D-AC7C-B77724BA2D54}"/>
    <cellStyle name="Normal 2 4 2 3 3 5 2 2 4" xfId="34271" xr:uid="{D345AAE3-9D13-4C5D-A7AD-A68245E8FA14}"/>
    <cellStyle name="Normal 2 4 2 3 3 5 2 3" xfId="13173" xr:uid="{F5BD7A09-CEAD-4BF5-B1B5-DB1627E4B239}"/>
    <cellStyle name="Normal 2 4 2 3 3 5 2 4" xfId="21614" xr:uid="{C5FF272B-6B17-45A8-87AF-E82E10BAF48E}"/>
    <cellStyle name="Normal 2 4 2 3 3 5 2 5" xfId="30054" xr:uid="{048B4180-C445-4B6D-9A22-BCE773C54CE6}"/>
    <cellStyle name="Normal 2 4 2 3 3 5 3" xfId="5919" xr:uid="{00000000-0005-0000-0000-0000080F0000}"/>
    <cellStyle name="Normal 2 4 2 3 3 5 3 2" xfId="15245" xr:uid="{E29EBCB1-3F1D-4AC3-B2EC-CD51FA390BF2}"/>
    <cellStyle name="Normal 2 4 2 3 3 5 3 3" xfId="23686" xr:uid="{3AD12315-6EAD-4CF9-B9EC-B4F930FDE89D}"/>
    <cellStyle name="Normal 2 4 2 3 3 5 3 4" xfId="32126" xr:uid="{9AEA3EBF-B62F-4651-8F91-29355FF3B3A7}"/>
    <cellStyle name="Normal 2 4 2 3 3 5 4" xfId="11028" xr:uid="{C93DA3D7-D968-4965-B44B-02D12BD7D5CD}"/>
    <cellStyle name="Normal 2 4 2 3 3 5 5" xfId="19469" xr:uid="{E6D78196-6769-414F-B0A9-F07DDB9FDB66}"/>
    <cellStyle name="Normal 2 4 2 3 3 5 6" xfId="27909" xr:uid="{8C3722A0-1843-4ED6-8EBE-323F69B13962}"/>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C64EF906-6270-47A2-9B8F-ABF94E9AD482}"/>
    <cellStyle name="Normal 2 4 2 3 3 6 2 2 3" xfId="26244" xr:uid="{91AEF83F-83C8-4BBA-B909-AF5307255934}"/>
    <cellStyle name="Normal 2 4 2 3 3 6 2 2 4" xfId="34684" xr:uid="{9704B731-7F7C-4951-B0B3-42D5EC980BA6}"/>
    <cellStyle name="Normal 2 4 2 3 3 6 2 3" xfId="13586" xr:uid="{172E6A23-09DB-477C-99F4-0A7BAF7DD14B}"/>
    <cellStyle name="Normal 2 4 2 3 3 6 2 4" xfId="22027" xr:uid="{39BEFF87-D03B-4FEC-8135-8A701C057AFF}"/>
    <cellStyle name="Normal 2 4 2 3 3 6 2 5" xfId="30467" xr:uid="{F2EAC348-1DDD-4E68-B383-6885E2BEDA21}"/>
    <cellStyle name="Normal 2 4 2 3 3 6 3" xfId="6332" xr:uid="{00000000-0005-0000-0000-00000C0F0000}"/>
    <cellStyle name="Normal 2 4 2 3 3 6 3 2" xfId="15658" xr:uid="{6387D819-5D40-40B6-A122-5E3E43804E3F}"/>
    <cellStyle name="Normal 2 4 2 3 3 6 3 3" xfId="24099" xr:uid="{C16F4ABD-8385-488A-ABC0-F78F6766E007}"/>
    <cellStyle name="Normal 2 4 2 3 3 6 3 4" xfId="32539" xr:uid="{22A63BC9-1443-4D85-A875-DA6A407AED44}"/>
    <cellStyle name="Normal 2 4 2 3 3 6 4" xfId="11441" xr:uid="{FB96E445-8378-4A9C-B51F-6C5AC3B8B3C3}"/>
    <cellStyle name="Normal 2 4 2 3 3 6 5" xfId="19882" xr:uid="{862E2BC1-3036-49C6-B26C-AF0E4531D236}"/>
    <cellStyle name="Normal 2 4 2 3 3 6 6" xfId="28322" xr:uid="{98B04C9F-5A7D-43F7-B307-DF691ECD123B}"/>
    <cellStyle name="Normal 2 4 2 3 3 7" xfId="2462" xr:uid="{00000000-0005-0000-0000-00000D0F0000}"/>
    <cellStyle name="Normal 2 4 2 3 3 7 2" xfId="6745" xr:uid="{00000000-0005-0000-0000-00000E0F0000}"/>
    <cellStyle name="Normal 2 4 2 3 3 7 2 2" xfId="16071" xr:uid="{EE93DE4B-DF37-4F14-9FD3-66DC6B755174}"/>
    <cellStyle name="Normal 2 4 2 3 3 7 2 3" xfId="24512" xr:uid="{2184FD65-B445-4C18-8D68-9D36D5BF596C}"/>
    <cellStyle name="Normal 2 4 2 3 3 7 2 4" xfId="32952" xr:uid="{45B7599E-F383-4AC1-9C9A-9670DB48D5E3}"/>
    <cellStyle name="Normal 2 4 2 3 3 7 3" xfId="11854" xr:uid="{0154CCCA-01D3-4AEB-9B95-637A262B9DE6}"/>
    <cellStyle name="Normal 2 4 2 3 3 7 4" xfId="20295" xr:uid="{237866B4-6F40-46CB-9647-EE8948CEF42A}"/>
    <cellStyle name="Normal 2 4 2 3 3 7 5" xfId="28735" xr:uid="{C3FB7B76-E152-4DDC-86D0-CAEF8E9F51BA}"/>
    <cellStyle name="Normal 2 4 2 3 3 8" xfId="4679" xr:uid="{00000000-0005-0000-0000-00000F0F0000}"/>
    <cellStyle name="Normal 2 4 2 3 3 8 2" xfId="14005" xr:uid="{1B69C6D8-F1BC-4425-A9F0-B1B30F7A7073}"/>
    <cellStyle name="Normal 2 4 2 3 3 8 3" xfId="22446" xr:uid="{2CBA5351-EEAC-4DD9-A1D2-734C97ABB870}"/>
    <cellStyle name="Normal 2 4 2 3 3 8 4" xfId="30886" xr:uid="{B395AC01-97FB-4C88-8B46-0628358F6F46}"/>
    <cellStyle name="Normal 2 4 2 3 3 9" xfId="8891" xr:uid="{D2DF60A1-A34B-4A3F-B29E-E581EFBA8360}"/>
    <cellStyle name="Normal 2 4 2 3 4" xfId="288" xr:uid="{00000000-0005-0000-0000-0000100F0000}"/>
    <cellStyle name="Normal 2 4 2 3 4 10" xfId="18231" xr:uid="{65215011-A90B-45A5-9D57-C15392800E4C}"/>
    <cellStyle name="Normal 2 4 2 3 4 11" xfId="26671" xr:uid="{DF386E4D-7D27-433D-AA60-1DE518DE68D7}"/>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6D488657-1AEF-49AA-B819-96B83DBBCBBF}"/>
    <cellStyle name="Normal 2 4 2 3 4 2 2 2 3" xfId="25007" xr:uid="{BB184065-4ABA-49AA-A005-AFD17C6ADB7C}"/>
    <cellStyle name="Normal 2 4 2 3 4 2 2 2 4" xfId="33447" xr:uid="{4EAE92D4-AD8D-4227-A5C2-D38B7DEA8AE8}"/>
    <cellStyle name="Normal 2 4 2 3 4 2 2 3" xfId="12349" xr:uid="{68B89667-7ED2-4010-A24B-663DA9AF02F1}"/>
    <cellStyle name="Normal 2 4 2 3 4 2 2 4" xfId="20790" xr:uid="{DB2A90CB-D994-42D0-B763-CA98879D6ED0}"/>
    <cellStyle name="Normal 2 4 2 3 4 2 2 5" xfId="29230" xr:uid="{FB961DE6-1906-4EE0-8AE9-D23B72A33CAA}"/>
    <cellStyle name="Normal 2 4 2 3 4 2 3" xfId="5095" xr:uid="{00000000-0005-0000-0000-0000140F0000}"/>
    <cellStyle name="Normal 2 4 2 3 4 2 3 2" xfId="14421" xr:uid="{767A9F19-2795-4962-A08C-F1C95D5A49AF}"/>
    <cellStyle name="Normal 2 4 2 3 4 2 3 3" xfId="22862" xr:uid="{F2D83B02-45A4-4D69-8983-E13F640807F6}"/>
    <cellStyle name="Normal 2 4 2 3 4 2 3 4" xfId="31302" xr:uid="{17506A5E-5BD3-4C2D-9226-61E5C0274185}"/>
    <cellStyle name="Normal 2 4 2 3 4 2 4" xfId="9420" xr:uid="{49E252B3-99BC-416A-A0CB-FE2641ECFDE3}"/>
    <cellStyle name="Normal 2 4 2 3 4 2 5" xfId="10204" xr:uid="{59212B85-3236-4387-A682-0946355463F6}"/>
    <cellStyle name="Normal 2 4 2 3 4 2 6" xfId="18645" xr:uid="{E165E516-2754-4B85-80A3-F7D5F9F66568}"/>
    <cellStyle name="Normal 2 4 2 3 4 2 7" xfId="27085" xr:uid="{606827B8-9408-406F-A118-356253E5B7BA}"/>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EE98589D-65FD-442F-8094-24EBD933C2BE}"/>
    <cellStyle name="Normal 2 4 2 3 4 3 2 2 3" xfId="25420" xr:uid="{410A4570-E3A5-4B91-9D6F-B63FFF5C2339}"/>
    <cellStyle name="Normal 2 4 2 3 4 3 2 2 4" xfId="33860" xr:uid="{7C0153D7-AB79-40BB-9C42-97014491F469}"/>
    <cellStyle name="Normal 2 4 2 3 4 3 2 3" xfId="12762" xr:uid="{A9A2F93B-6C81-473C-8FBC-04F266658976}"/>
    <cellStyle name="Normal 2 4 2 3 4 3 2 4" xfId="21203" xr:uid="{CFA41F6B-2820-4B24-95E3-A430FF8941A8}"/>
    <cellStyle name="Normal 2 4 2 3 4 3 2 5" xfId="29643" xr:uid="{D97FF92E-F926-46FA-9E54-571874539DF1}"/>
    <cellStyle name="Normal 2 4 2 3 4 3 3" xfId="5508" xr:uid="{00000000-0005-0000-0000-0000180F0000}"/>
    <cellStyle name="Normal 2 4 2 3 4 3 3 2" xfId="14834" xr:uid="{63EFFF59-DC2E-4052-BF93-CAFC91EDC150}"/>
    <cellStyle name="Normal 2 4 2 3 4 3 3 3" xfId="23275" xr:uid="{67982DAC-D425-48BE-8907-C68F8426D588}"/>
    <cellStyle name="Normal 2 4 2 3 4 3 3 4" xfId="31715" xr:uid="{9FCF7C99-08E9-4981-8F47-F88901202EB7}"/>
    <cellStyle name="Normal 2 4 2 3 4 3 4" xfId="10617" xr:uid="{5F6CAA5E-4F13-45C3-9877-75AF3C3FB34C}"/>
    <cellStyle name="Normal 2 4 2 3 4 3 5" xfId="19058" xr:uid="{FD6269FD-E9A0-428A-A659-975F5D6A4DB5}"/>
    <cellStyle name="Normal 2 4 2 3 4 3 6" xfId="27498" xr:uid="{298137C7-021F-4611-8BAC-241CDAB50979}"/>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1DBAAD57-BC33-420D-B18B-7AA80B41EAF0}"/>
    <cellStyle name="Normal 2 4 2 3 4 4 2 2 3" xfId="25833" xr:uid="{F8C213F3-E81E-4B9A-8C52-B33B6931185E}"/>
    <cellStyle name="Normal 2 4 2 3 4 4 2 2 4" xfId="34273" xr:uid="{701616F1-0BB0-4C0E-98E9-D07F9DBB9136}"/>
    <cellStyle name="Normal 2 4 2 3 4 4 2 3" xfId="13175" xr:uid="{DCAB7F4C-CC61-4D01-9E5B-31BB19991CEB}"/>
    <cellStyle name="Normal 2 4 2 3 4 4 2 4" xfId="21616" xr:uid="{DA08EBE7-F20D-4FB4-A419-A9172B72D4E7}"/>
    <cellStyle name="Normal 2 4 2 3 4 4 2 5" xfId="30056" xr:uid="{6D06F1C5-F4C3-475D-89A4-95F9BE05A640}"/>
    <cellStyle name="Normal 2 4 2 3 4 4 3" xfId="5921" xr:uid="{00000000-0005-0000-0000-00001C0F0000}"/>
    <cellStyle name="Normal 2 4 2 3 4 4 3 2" xfId="15247" xr:uid="{74BCB132-7EAA-4E7E-A996-E071085F854D}"/>
    <cellStyle name="Normal 2 4 2 3 4 4 3 3" xfId="23688" xr:uid="{CE878C04-A08C-46C4-AEFF-3F165E7EC6A8}"/>
    <cellStyle name="Normal 2 4 2 3 4 4 3 4" xfId="32128" xr:uid="{6F1C2B94-26CC-4FEA-965C-428C8F071A90}"/>
    <cellStyle name="Normal 2 4 2 3 4 4 4" xfId="11030" xr:uid="{9EEB50E3-5705-42CF-B5A1-C3583D6306B5}"/>
    <cellStyle name="Normal 2 4 2 3 4 4 5" xfId="19471" xr:uid="{2F088E55-F388-4DFE-9697-8B45FA7C17A2}"/>
    <cellStyle name="Normal 2 4 2 3 4 4 6" xfId="27911" xr:uid="{2B0215A9-F8D2-40C7-902F-E132E4329EF9}"/>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39CA19FB-215E-45F2-9D87-297847D9EE71}"/>
    <cellStyle name="Normal 2 4 2 3 4 5 2 2 3" xfId="26246" xr:uid="{FFE78F4E-30C0-499B-BD88-B69C9F7263FE}"/>
    <cellStyle name="Normal 2 4 2 3 4 5 2 2 4" xfId="34686" xr:uid="{0A06812B-F289-41D4-BCAD-70502EC15B1A}"/>
    <cellStyle name="Normal 2 4 2 3 4 5 2 3" xfId="13588" xr:uid="{4D17BB9D-7A14-4F28-B4DE-7F529ECA9578}"/>
    <cellStyle name="Normal 2 4 2 3 4 5 2 4" xfId="22029" xr:uid="{68B898B5-0759-4A4B-B322-2C926F3952DA}"/>
    <cellStyle name="Normal 2 4 2 3 4 5 2 5" xfId="30469" xr:uid="{A732FD0B-22DF-4104-AF2C-45A7AC9910DE}"/>
    <cellStyle name="Normal 2 4 2 3 4 5 3" xfId="6334" xr:uid="{00000000-0005-0000-0000-0000200F0000}"/>
    <cellStyle name="Normal 2 4 2 3 4 5 3 2" xfId="15660" xr:uid="{45AAB4B1-3095-40DA-BC5B-2716B2179909}"/>
    <cellStyle name="Normal 2 4 2 3 4 5 3 3" xfId="24101" xr:uid="{B395694B-AED4-4266-878F-7315115617EB}"/>
    <cellStyle name="Normal 2 4 2 3 4 5 3 4" xfId="32541" xr:uid="{44FA4753-8580-42F1-B589-9DD891142B00}"/>
    <cellStyle name="Normal 2 4 2 3 4 5 4" xfId="11443" xr:uid="{D55CF0D8-6572-4243-AF86-E8EC7A131C8E}"/>
    <cellStyle name="Normal 2 4 2 3 4 5 5" xfId="19884" xr:uid="{167AEB36-4FA7-4527-8093-3FDBA29E51CB}"/>
    <cellStyle name="Normal 2 4 2 3 4 5 6" xfId="28324" xr:uid="{4B1C872E-658F-4EA9-8C67-04C720D1C383}"/>
    <cellStyle name="Normal 2 4 2 3 4 6" xfId="2464" xr:uid="{00000000-0005-0000-0000-0000210F0000}"/>
    <cellStyle name="Normal 2 4 2 3 4 6 2" xfId="6747" xr:uid="{00000000-0005-0000-0000-0000220F0000}"/>
    <cellStyle name="Normal 2 4 2 3 4 6 2 2" xfId="16073" xr:uid="{95F55B51-4723-455A-8C6A-9B23355807F5}"/>
    <cellStyle name="Normal 2 4 2 3 4 6 2 3" xfId="24514" xr:uid="{D01476B3-982F-4E23-BEF8-993F4CD4CC1D}"/>
    <cellStyle name="Normal 2 4 2 3 4 6 2 4" xfId="32954" xr:uid="{A54CDE52-B7DB-402E-ADA0-02CB8F429DA6}"/>
    <cellStyle name="Normal 2 4 2 3 4 6 3" xfId="11856" xr:uid="{B8431052-D824-4486-8373-BC545269B9F8}"/>
    <cellStyle name="Normal 2 4 2 3 4 6 4" xfId="20297" xr:uid="{C426CE0F-8BBF-4ECE-A1DB-37F10C18C8CE}"/>
    <cellStyle name="Normal 2 4 2 3 4 6 5" xfId="28737" xr:uid="{0986A75F-F837-4336-A3A9-6BF4E1E207F4}"/>
    <cellStyle name="Normal 2 4 2 3 4 7" xfId="4681" xr:uid="{00000000-0005-0000-0000-0000230F0000}"/>
    <cellStyle name="Normal 2 4 2 3 4 7 2" xfId="14007" xr:uid="{51DA51B4-0C8C-4478-827C-436D15C2CD75}"/>
    <cellStyle name="Normal 2 4 2 3 4 7 3" xfId="22448" xr:uid="{D07FE2E4-3E31-4282-9308-01C9CE312A77}"/>
    <cellStyle name="Normal 2 4 2 3 4 7 4" xfId="30888" xr:uid="{F9DA640C-B9FF-49C4-AE15-518F550AABF4}"/>
    <cellStyle name="Normal 2 4 2 3 4 8" xfId="8995" xr:uid="{EEE25A27-4C18-4948-8341-FF27707A7A86}"/>
    <cellStyle name="Normal 2 4 2 3 4 9" xfId="9790" xr:uid="{6133273F-DF83-4862-A2CA-7F8811E8885B}"/>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8AA843A9-A1BA-4120-85A6-EACD6179596C}"/>
    <cellStyle name="Normal 2 4 2 3 5 2 2 3" xfId="25000" xr:uid="{5E8072FB-A51F-42AA-B217-73D6E98571A5}"/>
    <cellStyle name="Normal 2 4 2 3 5 2 2 4" xfId="33440" xr:uid="{4FAB5CA5-71E3-4AE6-A4F8-3A7212AC7429}"/>
    <cellStyle name="Normal 2 4 2 3 5 2 3" xfId="12342" xr:uid="{5EBEB8E8-BEB0-4437-A62F-814B215D9650}"/>
    <cellStyle name="Normal 2 4 2 3 5 2 4" xfId="20783" xr:uid="{60B26E55-69D0-4238-B393-E338FE4617CD}"/>
    <cellStyle name="Normal 2 4 2 3 5 2 5" xfId="29223" xr:uid="{8C9958F2-39A0-4997-B46B-6B84540555EC}"/>
    <cellStyle name="Normal 2 4 2 3 5 3" xfId="5088" xr:uid="{00000000-0005-0000-0000-0000270F0000}"/>
    <cellStyle name="Normal 2 4 2 3 5 3 2" xfId="14414" xr:uid="{F8D07338-B124-493C-89F0-59B5275F3B59}"/>
    <cellStyle name="Normal 2 4 2 3 5 3 3" xfId="22855" xr:uid="{DFC1C7D4-FE5A-450C-AF3C-FE5679813230}"/>
    <cellStyle name="Normal 2 4 2 3 5 3 4" xfId="31295" xr:uid="{8A3D593C-D000-44FE-8457-1AA600462B23}"/>
    <cellStyle name="Normal 2 4 2 3 5 4" xfId="9212" xr:uid="{39F1BF9F-C79C-4226-B2D8-665EAA6F3686}"/>
    <cellStyle name="Normal 2 4 2 3 5 5" xfId="10197" xr:uid="{0CDD2D88-52B2-4DBD-A054-0E6E265C478A}"/>
    <cellStyle name="Normal 2 4 2 3 5 6" xfId="18638" xr:uid="{4C01A9BE-C1F5-4FAE-8913-FFCA38E004EE}"/>
    <cellStyle name="Normal 2 4 2 3 5 7" xfId="27078" xr:uid="{01C0818F-44F4-4643-9E79-DC40CE383043}"/>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EA03AE1F-AD8A-4D45-817A-A5DE8C7AAFC4}"/>
    <cellStyle name="Normal 2 4 2 3 6 2 2 3" xfId="25413" xr:uid="{AE6F9967-8327-417B-9435-B4630976C5FB}"/>
    <cellStyle name="Normal 2 4 2 3 6 2 2 4" xfId="33853" xr:uid="{8B367423-0823-4A66-A0BE-70FBFBAB2A51}"/>
    <cellStyle name="Normal 2 4 2 3 6 2 3" xfId="12755" xr:uid="{8200D11E-047A-4AE3-BC6F-7B1124147549}"/>
    <cellStyle name="Normal 2 4 2 3 6 2 4" xfId="21196" xr:uid="{1479098F-3DE3-467E-B778-7DC27D1C02B5}"/>
    <cellStyle name="Normal 2 4 2 3 6 2 5" xfId="29636" xr:uid="{D64D4B8E-0D59-45E5-8CA2-E538195485CC}"/>
    <cellStyle name="Normal 2 4 2 3 6 3" xfId="5501" xr:uid="{00000000-0005-0000-0000-00002B0F0000}"/>
    <cellStyle name="Normal 2 4 2 3 6 3 2" xfId="14827" xr:uid="{95377B48-19C7-485D-B635-46209D9850BD}"/>
    <cellStyle name="Normal 2 4 2 3 6 3 3" xfId="23268" xr:uid="{461286A3-2CC3-4F8F-A5CA-ECB5F240A58F}"/>
    <cellStyle name="Normal 2 4 2 3 6 3 4" xfId="31708" xr:uid="{8A0BF1BD-61B3-476B-886E-8ADFAE1DE0F9}"/>
    <cellStyle name="Normal 2 4 2 3 6 4" xfId="10610" xr:uid="{3BC9C665-F2F0-4261-8CC3-4489DF5820ED}"/>
    <cellStyle name="Normal 2 4 2 3 6 5" xfId="19051" xr:uid="{9A678271-1745-46EC-8A8D-2821AE5F1689}"/>
    <cellStyle name="Normal 2 4 2 3 6 6" xfId="27491" xr:uid="{2E99BB49-687B-4CD8-88E9-6EE6A3281C7D}"/>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AF81C568-C4E4-457D-84A3-003F8CA2429A}"/>
    <cellStyle name="Normal 2 4 2 3 7 2 2 3" xfId="25826" xr:uid="{11DFD088-2D39-4B21-ACF1-DDEAD6DC8684}"/>
    <cellStyle name="Normal 2 4 2 3 7 2 2 4" xfId="34266" xr:uid="{8F30D23D-0716-4837-8D02-BE029AF1BAD2}"/>
    <cellStyle name="Normal 2 4 2 3 7 2 3" xfId="13168" xr:uid="{E908E12E-2FAB-48D0-8F5E-F3ED6F0F82D5}"/>
    <cellStyle name="Normal 2 4 2 3 7 2 4" xfId="21609" xr:uid="{8518DD7F-B2FF-4C28-B74C-480517884ACC}"/>
    <cellStyle name="Normal 2 4 2 3 7 2 5" xfId="30049" xr:uid="{B2EC88C3-2CE1-4F00-88E0-2CC073B97AA6}"/>
    <cellStyle name="Normal 2 4 2 3 7 3" xfId="5914" xr:uid="{00000000-0005-0000-0000-00002F0F0000}"/>
    <cellStyle name="Normal 2 4 2 3 7 3 2" xfId="15240" xr:uid="{6738B069-C2D4-474E-BD46-2B22EE21FB05}"/>
    <cellStyle name="Normal 2 4 2 3 7 3 3" xfId="23681" xr:uid="{10F6BB84-AA1D-46C0-BB92-3906B4099F1F}"/>
    <cellStyle name="Normal 2 4 2 3 7 3 4" xfId="32121" xr:uid="{4C9D9677-97EE-40F0-8898-2D4C2CDA55C0}"/>
    <cellStyle name="Normal 2 4 2 3 7 4" xfId="11023" xr:uid="{F0C48124-6062-4070-BFBA-F69023437B92}"/>
    <cellStyle name="Normal 2 4 2 3 7 5" xfId="19464" xr:uid="{BCEE94CC-87D6-49BC-9D6D-90189E5F588E}"/>
    <cellStyle name="Normal 2 4 2 3 7 6" xfId="27904" xr:uid="{D9BEBA2B-259E-4BAB-A48A-32993D7C0FB4}"/>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D1FB6F4E-3D17-4B97-8685-0D88DD821666}"/>
    <cellStyle name="Normal 2 4 2 3 8 2 2 3" xfId="26239" xr:uid="{D88CB901-5ACE-4012-B5D4-280FA19C403A}"/>
    <cellStyle name="Normal 2 4 2 3 8 2 2 4" xfId="34679" xr:uid="{10ABADDE-E2CC-4662-8FD6-37BDBDDCBF32}"/>
    <cellStyle name="Normal 2 4 2 3 8 2 3" xfId="13581" xr:uid="{176C59D4-BD81-459C-B318-3FCEA169765E}"/>
    <cellStyle name="Normal 2 4 2 3 8 2 4" xfId="22022" xr:uid="{C59C41FB-FC2B-494C-A341-A69C8FEF9011}"/>
    <cellStyle name="Normal 2 4 2 3 8 2 5" xfId="30462" xr:uid="{3C977C4C-FEE8-4900-ADAA-E5AB74B7B9DE}"/>
    <cellStyle name="Normal 2 4 2 3 8 3" xfId="6327" xr:uid="{00000000-0005-0000-0000-0000330F0000}"/>
    <cellStyle name="Normal 2 4 2 3 8 3 2" xfId="15653" xr:uid="{8890D467-933A-42D3-A68E-34F6143F90D7}"/>
    <cellStyle name="Normal 2 4 2 3 8 3 3" xfId="24094" xr:uid="{EB34BF5E-ACA8-4CF7-B44F-7E5B3C78BCE3}"/>
    <cellStyle name="Normal 2 4 2 3 8 3 4" xfId="32534" xr:uid="{525182F1-F221-47F8-8056-7D8B38EA7B79}"/>
    <cellStyle name="Normal 2 4 2 3 8 4" xfId="11436" xr:uid="{0044A82D-1F9D-4589-BB32-935480219DC7}"/>
    <cellStyle name="Normal 2 4 2 3 8 5" xfId="19877" xr:uid="{BBBA1D8C-D535-4A41-B266-2A0F9B9C8025}"/>
    <cellStyle name="Normal 2 4 2 3 8 6" xfId="28317" xr:uid="{D8F47A55-68F5-46F6-BDB1-DE2A35DA1ADB}"/>
    <cellStyle name="Normal 2 4 2 3 9" xfId="2457" xr:uid="{00000000-0005-0000-0000-0000340F0000}"/>
    <cellStyle name="Normal 2 4 2 3 9 2" xfId="6740" xr:uid="{00000000-0005-0000-0000-0000350F0000}"/>
    <cellStyle name="Normal 2 4 2 3 9 2 2" xfId="16066" xr:uid="{F2DC3663-0399-45B3-B9C6-56348536CC84}"/>
    <cellStyle name="Normal 2 4 2 3 9 2 3" xfId="24507" xr:uid="{ED7D588E-2244-4A5E-8EFB-1B83175A83E5}"/>
    <cellStyle name="Normal 2 4 2 3 9 2 4" xfId="32947" xr:uid="{1A7C173C-3BC2-4BBB-8F0D-6C374788093C}"/>
    <cellStyle name="Normal 2 4 2 3 9 3" xfId="11849" xr:uid="{D4B4E6C5-01DD-4ED9-9E0F-44C5585C9F27}"/>
    <cellStyle name="Normal 2 4 2 3 9 4" xfId="20290" xr:uid="{BBEC35F3-193B-4B33-A804-AA5D48EA6801}"/>
    <cellStyle name="Normal 2 4 2 3 9 5" xfId="28730" xr:uid="{6FC87E55-130B-40D8-BADE-C5AF2491737A}"/>
    <cellStyle name="Normal 2 4 2 4" xfId="289" xr:uid="{00000000-0005-0000-0000-0000360F0000}"/>
    <cellStyle name="Normal 2 4 2 4 10" xfId="8812" xr:uid="{C2E08BA7-2068-4F74-AFE2-E0AED0B82FE2}"/>
    <cellStyle name="Normal 2 4 2 4 11" xfId="9791" xr:uid="{77272C55-645C-4E8E-B839-68EAEB18A842}"/>
    <cellStyle name="Normal 2 4 2 4 12" xfId="18232" xr:uid="{CBDAA4EC-8AB7-44BF-AF84-669C59D0CE6A}"/>
    <cellStyle name="Normal 2 4 2 4 13" xfId="26672" xr:uid="{E59A1983-5D17-4701-8EF0-FB1030E7C97D}"/>
    <cellStyle name="Normal 2 4 2 4 2" xfId="290" xr:uid="{00000000-0005-0000-0000-0000370F0000}"/>
    <cellStyle name="Normal 2 4 2 4 2 10" xfId="9792" xr:uid="{ED31585E-D35A-4D41-A8A8-45F3A2CCC4FF}"/>
    <cellStyle name="Normal 2 4 2 4 2 11" xfId="18233" xr:uid="{532D0B57-3F79-4831-8FFE-B1FD5AABC14E}"/>
    <cellStyle name="Normal 2 4 2 4 2 12" xfId="26673" xr:uid="{64FC37B8-79E8-4AE9-913B-492118F9D964}"/>
    <cellStyle name="Normal 2 4 2 4 2 2" xfId="291" xr:uid="{00000000-0005-0000-0000-0000380F0000}"/>
    <cellStyle name="Normal 2 4 2 4 2 2 10" xfId="18234" xr:uid="{7B44A825-72EC-4A5F-ADDE-5BAD6F6E2062}"/>
    <cellStyle name="Normal 2 4 2 4 2 2 11" xfId="26674" xr:uid="{22C00488-6E39-441F-A3CD-3D9D4C8D86FB}"/>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C1B1E063-7617-4D06-9CB8-22FAB71ABC28}"/>
    <cellStyle name="Normal 2 4 2 4 2 2 2 2 2 3" xfId="25010" xr:uid="{D014CB54-0679-49EC-9169-A2806293D021}"/>
    <cellStyle name="Normal 2 4 2 4 2 2 2 2 2 4" xfId="33450" xr:uid="{CAE0EAA3-A7FD-4E85-A295-D26DBA5F105B}"/>
    <cellStyle name="Normal 2 4 2 4 2 2 2 2 3" xfId="12352" xr:uid="{3211D054-9BF5-4C59-98FF-E0F4299ED164}"/>
    <cellStyle name="Normal 2 4 2 4 2 2 2 2 4" xfId="20793" xr:uid="{67E0C7CD-9F78-44C7-90CF-CE2820A34EA1}"/>
    <cellStyle name="Normal 2 4 2 4 2 2 2 2 5" xfId="29233" xr:uid="{DBF74470-AF9E-407F-AD41-2FAF8B5667B5}"/>
    <cellStyle name="Normal 2 4 2 4 2 2 2 3" xfId="5098" xr:uid="{00000000-0005-0000-0000-00003C0F0000}"/>
    <cellStyle name="Normal 2 4 2 4 2 2 2 3 2" xfId="14424" xr:uid="{40A6F63A-0B80-4EBA-8E66-D0A22E333033}"/>
    <cellStyle name="Normal 2 4 2 4 2 2 2 3 3" xfId="22865" xr:uid="{61B5F8BB-CD13-4A9D-9AB4-72701CF6DF69}"/>
    <cellStyle name="Normal 2 4 2 4 2 2 2 3 4" xfId="31305" xr:uid="{6425A6A3-A265-42C7-9475-1036F6D5B75F}"/>
    <cellStyle name="Normal 2 4 2 4 2 2 2 4" xfId="9547" xr:uid="{F8909421-8B16-4168-8B85-A5523C430C3C}"/>
    <cellStyle name="Normal 2 4 2 4 2 2 2 5" xfId="10207" xr:uid="{07069C8D-5FBB-446F-8B67-58798BD37E36}"/>
    <cellStyle name="Normal 2 4 2 4 2 2 2 6" xfId="18648" xr:uid="{6B3D9629-49E3-436C-B3AD-088FD9CDD1BC}"/>
    <cellStyle name="Normal 2 4 2 4 2 2 2 7" xfId="27088" xr:uid="{D427E898-524E-47E8-B795-E85F1F7FF837}"/>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40177CA6-A3B5-4CB1-84B8-FEB11E838520}"/>
    <cellStyle name="Normal 2 4 2 4 2 2 3 2 2 3" xfId="25423" xr:uid="{4157FB02-3A6B-4256-8E05-34CAF5812977}"/>
    <cellStyle name="Normal 2 4 2 4 2 2 3 2 2 4" xfId="33863" xr:uid="{896534E6-F843-4FA2-BB4B-5AEB7FA5F728}"/>
    <cellStyle name="Normal 2 4 2 4 2 2 3 2 3" xfId="12765" xr:uid="{13BC0F45-0D7C-4B61-9A37-62CAB899B3FB}"/>
    <cellStyle name="Normal 2 4 2 4 2 2 3 2 4" xfId="21206" xr:uid="{0D54B630-1238-4FC4-B7F3-73A6C5B0D699}"/>
    <cellStyle name="Normal 2 4 2 4 2 2 3 2 5" xfId="29646" xr:uid="{BF41562D-9EFF-4DD9-BEE5-E711EE554707}"/>
    <cellStyle name="Normal 2 4 2 4 2 2 3 3" xfId="5511" xr:uid="{00000000-0005-0000-0000-0000400F0000}"/>
    <cellStyle name="Normal 2 4 2 4 2 2 3 3 2" xfId="14837" xr:uid="{2BDD4ACF-BD3E-4537-B799-7B90CF3F8BB5}"/>
    <cellStyle name="Normal 2 4 2 4 2 2 3 3 3" xfId="23278" xr:uid="{35208B75-D48E-4011-BC38-03CF647EED21}"/>
    <cellStyle name="Normal 2 4 2 4 2 2 3 3 4" xfId="31718" xr:uid="{3A2770D2-4B3A-475E-BF39-044889F6ACE1}"/>
    <cellStyle name="Normal 2 4 2 4 2 2 3 4" xfId="10620" xr:uid="{65FB5955-1AE3-44D4-9EF6-307807B6A941}"/>
    <cellStyle name="Normal 2 4 2 4 2 2 3 5" xfId="19061" xr:uid="{58278CA1-BF6A-4349-AEFA-200E5365F105}"/>
    <cellStyle name="Normal 2 4 2 4 2 2 3 6" xfId="27501" xr:uid="{87A26DE4-F899-40FB-9DBA-0628F2BC03F1}"/>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21178A67-491E-4DA5-A2C7-34B2D5C0320E}"/>
    <cellStyle name="Normal 2 4 2 4 2 2 4 2 2 3" xfId="25836" xr:uid="{238BC659-6C36-4AAA-AEB2-86F709791A8B}"/>
    <cellStyle name="Normal 2 4 2 4 2 2 4 2 2 4" xfId="34276" xr:uid="{D2CC04DD-452E-44BD-ACF7-8136043EAFDA}"/>
    <cellStyle name="Normal 2 4 2 4 2 2 4 2 3" xfId="13178" xr:uid="{27AE93CE-B949-45E1-82C0-3E876994D7A8}"/>
    <cellStyle name="Normal 2 4 2 4 2 2 4 2 4" xfId="21619" xr:uid="{5786C595-5A12-48ED-AAC8-4188AF8AD93F}"/>
    <cellStyle name="Normal 2 4 2 4 2 2 4 2 5" xfId="30059" xr:uid="{59351375-2268-4B77-92E7-A8ABA15F1943}"/>
    <cellStyle name="Normal 2 4 2 4 2 2 4 3" xfId="5924" xr:uid="{00000000-0005-0000-0000-0000440F0000}"/>
    <cellStyle name="Normal 2 4 2 4 2 2 4 3 2" xfId="15250" xr:uid="{5B9E7376-842E-4C18-9955-B2FD1F38DE5E}"/>
    <cellStyle name="Normal 2 4 2 4 2 2 4 3 3" xfId="23691" xr:uid="{3499B0A4-F61A-4F9B-AF2D-0969AC6F5E88}"/>
    <cellStyle name="Normal 2 4 2 4 2 2 4 3 4" xfId="32131" xr:uid="{94BC52C5-FEE4-4094-A9AA-23FE9DB2745C}"/>
    <cellStyle name="Normal 2 4 2 4 2 2 4 4" xfId="11033" xr:uid="{8E82BB91-B524-44C4-8BF3-44F714F42287}"/>
    <cellStyle name="Normal 2 4 2 4 2 2 4 5" xfId="19474" xr:uid="{25A10242-E205-4330-88FF-90C8B269115A}"/>
    <cellStyle name="Normal 2 4 2 4 2 2 4 6" xfId="27914" xr:uid="{C29321ED-D6B2-46C2-AE34-A1766074CFD1}"/>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448F019D-6391-47EC-84EF-0A3E843E8B6D}"/>
    <cellStyle name="Normal 2 4 2 4 2 2 5 2 2 3" xfId="26249" xr:uid="{0F016411-FF6C-4EBC-8988-429ACDDB3372}"/>
    <cellStyle name="Normal 2 4 2 4 2 2 5 2 2 4" xfId="34689" xr:uid="{4912F1E8-F79F-4C43-BC23-0AC06E9B0FAD}"/>
    <cellStyle name="Normal 2 4 2 4 2 2 5 2 3" xfId="13591" xr:uid="{A761387C-C0B2-479E-8D51-1A769C156875}"/>
    <cellStyle name="Normal 2 4 2 4 2 2 5 2 4" xfId="22032" xr:uid="{D79E0CE6-2CC0-4411-A546-491DA78BC6D0}"/>
    <cellStyle name="Normal 2 4 2 4 2 2 5 2 5" xfId="30472" xr:uid="{4FCB8573-4895-437A-A666-A7B817117DE5}"/>
    <cellStyle name="Normal 2 4 2 4 2 2 5 3" xfId="6337" xr:uid="{00000000-0005-0000-0000-0000480F0000}"/>
    <cellStyle name="Normal 2 4 2 4 2 2 5 3 2" xfId="15663" xr:uid="{A5C9B284-69CF-4A9E-A06B-7D0CADC249ED}"/>
    <cellStyle name="Normal 2 4 2 4 2 2 5 3 3" xfId="24104" xr:uid="{E7466638-B7FE-47EF-AC94-6BCF020BA71D}"/>
    <cellStyle name="Normal 2 4 2 4 2 2 5 3 4" xfId="32544" xr:uid="{9A0F083A-1420-44AE-AD9D-58B41645F56E}"/>
    <cellStyle name="Normal 2 4 2 4 2 2 5 4" xfId="11446" xr:uid="{0FD2D117-8A89-4F5E-B744-0A54BEEE95AF}"/>
    <cellStyle name="Normal 2 4 2 4 2 2 5 5" xfId="19887" xr:uid="{F16D39D5-FE2C-4566-803D-70B373A4E122}"/>
    <cellStyle name="Normal 2 4 2 4 2 2 5 6" xfId="28327" xr:uid="{C6B93580-1F8E-483F-AED6-9AB8D12C05DA}"/>
    <cellStyle name="Normal 2 4 2 4 2 2 6" xfId="2467" xr:uid="{00000000-0005-0000-0000-0000490F0000}"/>
    <cellStyle name="Normal 2 4 2 4 2 2 6 2" xfId="6750" xr:uid="{00000000-0005-0000-0000-00004A0F0000}"/>
    <cellStyle name="Normal 2 4 2 4 2 2 6 2 2" xfId="16076" xr:uid="{C9143DDA-0394-4B3F-9867-4DCF69F7CF8B}"/>
    <cellStyle name="Normal 2 4 2 4 2 2 6 2 3" xfId="24517" xr:uid="{39E507EB-7E11-4619-8014-A5DF70043FB3}"/>
    <cellStyle name="Normal 2 4 2 4 2 2 6 2 4" xfId="32957" xr:uid="{297D018E-1457-4B0D-93CB-7DD391DB8B30}"/>
    <cellStyle name="Normal 2 4 2 4 2 2 6 3" xfId="11859" xr:uid="{11FC61C4-FE00-4528-8010-B379B47555FA}"/>
    <cellStyle name="Normal 2 4 2 4 2 2 6 4" xfId="20300" xr:uid="{4902D19C-9580-4296-80FF-094ACF6B3438}"/>
    <cellStyle name="Normal 2 4 2 4 2 2 6 5" xfId="28740" xr:uid="{29409FC0-5509-43EC-B8B9-AE5AE2811B9A}"/>
    <cellStyle name="Normal 2 4 2 4 2 2 7" xfId="4684" xr:uid="{00000000-0005-0000-0000-00004B0F0000}"/>
    <cellStyle name="Normal 2 4 2 4 2 2 7 2" xfId="14010" xr:uid="{9135CB9A-3355-444C-BBE9-5D7E2C1076F8}"/>
    <cellStyle name="Normal 2 4 2 4 2 2 7 3" xfId="22451" xr:uid="{6E510B8B-519F-48D5-97F7-FD3256F4C25C}"/>
    <cellStyle name="Normal 2 4 2 4 2 2 7 4" xfId="30891" xr:uid="{82E0B819-9BF9-4DAD-8927-378E751F1550}"/>
    <cellStyle name="Normal 2 4 2 4 2 2 8" xfId="9122" xr:uid="{861CB008-611F-4F3F-9D09-5BCA5A4CB255}"/>
    <cellStyle name="Normal 2 4 2 4 2 2 9" xfId="9793" xr:uid="{5A0CE408-DDAE-4CAF-A211-5A36B874C186}"/>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9F9FE8B2-065C-4ED1-AEE2-3797820694F0}"/>
    <cellStyle name="Normal 2 4 2 4 2 3 2 2 3" xfId="25009" xr:uid="{B60D9C56-6FAA-461D-8F7F-6C8ED7A86C56}"/>
    <cellStyle name="Normal 2 4 2 4 2 3 2 2 4" xfId="33449" xr:uid="{59CAA8E0-C306-455D-AA5C-EDBA842D6B7A}"/>
    <cellStyle name="Normal 2 4 2 4 2 3 2 3" xfId="12351" xr:uid="{DF8E6778-E2BB-4B5E-AA33-6B50F1EF1C54}"/>
    <cellStyle name="Normal 2 4 2 4 2 3 2 4" xfId="20792" xr:uid="{CD46292D-8AAA-41B3-B5FF-E2547F376C98}"/>
    <cellStyle name="Normal 2 4 2 4 2 3 2 5" xfId="29232" xr:uid="{51228953-7DE0-4756-B11C-1424001DBC8B}"/>
    <cellStyle name="Normal 2 4 2 4 2 3 3" xfId="5097" xr:uid="{00000000-0005-0000-0000-00004F0F0000}"/>
    <cellStyle name="Normal 2 4 2 4 2 3 3 2" xfId="14423" xr:uid="{09B2A736-CED5-406D-9DC2-13F947260E00}"/>
    <cellStyle name="Normal 2 4 2 4 2 3 3 3" xfId="22864" xr:uid="{078D7888-712E-47BD-AEAD-BE6895A841C7}"/>
    <cellStyle name="Normal 2 4 2 4 2 3 3 4" xfId="31304" xr:uid="{A9EFE7FF-CB8C-4AF8-A334-4EDD2DB17302}"/>
    <cellStyle name="Normal 2 4 2 4 2 3 4" xfId="9340" xr:uid="{2D1F2F91-F6E8-42AC-98D0-B8667E0ECE37}"/>
    <cellStyle name="Normal 2 4 2 4 2 3 5" xfId="10206" xr:uid="{BFD01BE2-D0CE-4D2C-B6B3-A658E1762AFA}"/>
    <cellStyle name="Normal 2 4 2 4 2 3 6" xfId="18647" xr:uid="{B0F3A560-0FE0-4CB6-82E8-01F357986FCF}"/>
    <cellStyle name="Normal 2 4 2 4 2 3 7" xfId="27087" xr:uid="{F9CC5FE4-7C97-4813-9778-9B0BA2A3B7AE}"/>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3A924BC7-BA03-4D66-A7BC-BBDCAEECD295}"/>
    <cellStyle name="Normal 2 4 2 4 2 4 2 2 3" xfId="25422" xr:uid="{87869E0B-4207-4FA1-B3CB-4D9FEAB8E400}"/>
    <cellStyle name="Normal 2 4 2 4 2 4 2 2 4" xfId="33862" xr:uid="{C1BC5378-A89B-4E8D-A884-4551B889DAAF}"/>
    <cellStyle name="Normal 2 4 2 4 2 4 2 3" xfId="12764" xr:uid="{537998B1-0949-4B18-B371-F1AE5A0B69E5}"/>
    <cellStyle name="Normal 2 4 2 4 2 4 2 4" xfId="21205" xr:uid="{755487DB-2066-435E-9424-C71FEBC597B5}"/>
    <cellStyle name="Normal 2 4 2 4 2 4 2 5" xfId="29645" xr:uid="{2B551E4E-CA91-4E3F-AA6B-3F9205E8F8BE}"/>
    <cellStyle name="Normal 2 4 2 4 2 4 3" xfId="5510" xr:uid="{00000000-0005-0000-0000-0000530F0000}"/>
    <cellStyle name="Normal 2 4 2 4 2 4 3 2" xfId="14836" xr:uid="{BE3CBC1B-2513-4B80-A4F6-2A9FDFA41C6B}"/>
    <cellStyle name="Normal 2 4 2 4 2 4 3 3" xfId="23277" xr:uid="{5710A71D-4220-452E-828E-CE24F666CB2F}"/>
    <cellStyle name="Normal 2 4 2 4 2 4 3 4" xfId="31717" xr:uid="{ED5E90E8-D542-4798-8F5C-DEB95810C3A2}"/>
    <cellStyle name="Normal 2 4 2 4 2 4 4" xfId="10619" xr:uid="{A401721D-BB49-48E6-B344-15B7D9B55CDA}"/>
    <cellStyle name="Normal 2 4 2 4 2 4 5" xfId="19060" xr:uid="{2DC16BE0-EAD6-44E5-9C56-16D5C5E61AE8}"/>
    <cellStyle name="Normal 2 4 2 4 2 4 6" xfId="27500" xr:uid="{568F35CB-EF17-4B7D-9C31-5E67CEB9E0F6}"/>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A01496D7-C677-4322-8381-76CB1CFEA966}"/>
    <cellStyle name="Normal 2 4 2 4 2 5 2 2 3" xfId="25835" xr:uid="{3A017E93-FC14-4E4A-88C0-C7B3CAC643AA}"/>
    <cellStyle name="Normal 2 4 2 4 2 5 2 2 4" xfId="34275" xr:uid="{68AEA55F-FDF9-4E1A-8D82-8006DAE04FD5}"/>
    <cellStyle name="Normal 2 4 2 4 2 5 2 3" xfId="13177" xr:uid="{89692180-1715-418B-A17E-3276CF441D07}"/>
    <cellStyle name="Normal 2 4 2 4 2 5 2 4" xfId="21618" xr:uid="{2C41ABF7-3E08-4F56-8305-F3BFF4E6CAFC}"/>
    <cellStyle name="Normal 2 4 2 4 2 5 2 5" xfId="30058" xr:uid="{0E998EDE-B2AD-41CB-9C9F-09AB419FA9B8}"/>
    <cellStyle name="Normal 2 4 2 4 2 5 3" xfId="5923" xr:uid="{00000000-0005-0000-0000-0000570F0000}"/>
    <cellStyle name="Normal 2 4 2 4 2 5 3 2" xfId="15249" xr:uid="{FA33C36D-C0ED-4D10-9E31-B786BF5DCF1D}"/>
    <cellStyle name="Normal 2 4 2 4 2 5 3 3" xfId="23690" xr:uid="{32695CD5-5E17-4443-9244-12600257CA1A}"/>
    <cellStyle name="Normal 2 4 2 4 2 5 3 4" xfId="32130" xr:uid="{54A61DD6-ADC3-46B0-8675-CE55C661C738}"/>
    <cellStyle name="Normal 2 4 2 4 2 5 4" xfId="11032" xr:uid="{77BF3197-DD3D-4599-8B58-2EB85778B712}"/>
    <cellStyle name="Normal 2 4 2 4 2 5 5" xfId="19473" xr:uid="{1015AD12-93F7-4A26-AF85-B181CDAFBC02}"/>
    <cellStyle name="Normal 2 4 2 4 2 5 6" xfId="27913" xr:uid="{141E42CB-E27D-45FF-AF06-80843257EDD4}"/>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E33FFB0F-83AB-4438-8334-114B9EAC3435}"/>
    <cellStyle name="Normal 2 4 2 4 2 6 2 2 3" xfId="26248" xr:uid="{9D9AFB41-6A2C-4768-B88C-6AD396DA9EB4}"/>
    <cellStyle name="Normal 2 4 2 4 2 6 2 2 4" xfId="34688" xr:uid="{E9DD88E7-4541-4413-AF78-EA5463276E8C}"/>
    <cellStyle name="Normal 2 4 2 4 2 6 2 3" xfId="13590" xr:uid="{C9D35E22-1E09-43AE-B25F-8A54110497DD}"/>
    <cellStyle name="Normal 2 4 2 4 2 6 2 4" xfId="22031" xr:uid="{002ECC51-ECFE-4AFA-A1E7-896CE409C493}"/>
    <cellStyle name="Normal 2 4 2 4 2 6 2 5" xfId="30471" xr:uid="{31B650ED-485B-4777-90F0-2BF9EF4A19EE}"/>
    <cellStyle name="Normal 2 4 2 4 2 6 3" xfId="6336" xr:uid="{00000000-0005-0000-0000-00005B0F0000}"/>
    <cellStyle name="Normal 2 4 2 4 2 6 3 2" xfId="15662" xr:uid="{E4CD7084-E66E-4772-A527-C4F503AD071B}"/>
    <cellStyle name="Normal 2 4 2 4 2 6 3 3" xfId="24103" xr:uid="{F302576A-3A68-47E9-9063-7D4380D701E8}"/>
    <cellStyle name="Normal 2 4 2 4 2 6 3 4" xfId="32543" xr:uid="{FD0C50E3-6B00-49BD-9213-7A747CFABF7E}"/>
    <cellStyle name="Normal 2 4 2 4 2 6 4" xfId="11445" xr:uid="{5C455C3E-4EA1-41BE-9D43-7B2A4B0505FB}"/>
    <cellStyle name="Normal 2 4 2 4 2 6 5" xfId="19886" xr:uid="{5B80653B-DDA2-4352-B1ED-36D52E3EDFF6}"/>
    <cellStyle name="Normal 2 4 2 4 2 6 6" xfId="28326" xr:uid="{DFC94495-3C65-44A4-9A6C-3E33B609C400}"/>
    <cellStyle name="Normal 2 4 2 4 2 7" xfId="2466" xr:uid="{00000000-0005-0000-0000-00005C0F0000}"/>
    <cellStyle name="Normal 2 4 2 4 2 7 2" xfId="6749" xr:uid="{00000000-0005-0000-0000-00005D0F0000}"/>
    <cellStyle name="Normal 2 4 2 4 2 7 2 2" xfId="16075" xr:uid="{B6BF9466-1252-41E2-BCF7-0951C4DAF5CC}"/>
    <cellStyle name="Normal 2 4 2 4 2 7 2 3" xfId="24516" xr:uid="{335ADF82-5A31-4332-977D-37F0B1A3CFE6}"/>
    <cellStyle name="Normal 2 4 2 4 2 7 2 4" xfId="32956" xr:uid="{BBB17AEB-4D49-4789-AE67-8AB7356624A3}"/>
    <cellStyle name="Normal 2 4 2 4 2 7 3" xfId="11858" xr:uid="{D3033D5B-96B2-4906-B66B-21B9A30B8164}"/>
    <cellStyle name="Normal 2 4 2 4 2 7 4" xfId="20299" xr:uid="{9F4DB8D1-84C6-4DBE-8F66-A9C4E680C6B7}"/>
    <cellStyle name="Normal 2 4 2 4 2 7 5" xfId="28739" xr:uid="{22C77F47-56E7-4911-B6A7-173265DC9767}"/>
    <cellStyle name="Normal 2 4 2 4 2 8" xfId="4683" xr:uid="{00000000-0005-0000-0000-00005E0F0000}"/>
    <cellStyle name="Normal 2 4 2 4 2 8 2" xfId="14009" xr:uid="{8F1E214C-EFCC-400E-B343-07CC56E6A50A}"/>
    <cellStyle name="Normal 2 4 2 4 2 8 3" xfId="22450" xr:uid="{B49554DD-C499-4EEC-B4D9-A2A880AC51CD}"/>
    <cellStyle name="Normal 2 4 2 4 2 8 4" xfId="30890" xr:uid="{75619D97-A94D-46AA-8F49-E050E027F1D9}"/>
    <cellStyle name="Normal 2 4 2 4 2 9" xfId="8915" xr:uid="{2BEB15AA-2AFA-47D4-AC0E-63DAF2CFE119}"/>
    <cellStyle name="Normal 2 4 2 4 3" xfId="292" xr:uid="{00000000-0005-0000-0000-00005F0F0000}"/>
    <cellStyle name="Normal 2 4 2 4 3 10" xfId="18235" xr:uid="{86DE57D3-0A76-4198-906C-A1E40922FB50}"/>
    <cellStyle name="Normal 2 4 2 4 3 11" xfId="26675" xr:uid="{D5FB8A65-1B45-4ECF-9136-2D97E083C18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E4168D50-6A10-425B-A3A0-2E8854C4FCC8}"/>
    <cellStyle name="Normal 2 4 2 4 3 2 2 2 3" xfId="25011" xr:uid="{4A4C7D46-1D76-45F2-86DD-7423A5BFF43D}"/>
    <cellStyle name="Normal 2 4 2 4 3 2 2 2 4" xfId="33451" xr:uid="{4FA04235-13F8-47D6-8BE3-2649C70B800D}"/>
    <cellStyle name="Normal 2 4 2 4 3 2 2 3" xfId="12353" xr:uid="{D90BA653-3A5E-4207-AFF5-E9608D2028D7}"/>
    <cellStyle name="Normal 2 4 2 4 3 2 2 4" xfId="20794" xr:uid="{F5E462ED-D2FA-4FEA-AF43-09899195C1AE}"/>
    <cellStyle name="Normal 2 4 2 4 3 2 2 5" xfId="29234" xr:uid="{62A04B25-7717-4A50-B893-3CD7E295DDE1}"/>
    <cellStyle name="Normal 2 4 2 4 3 2 3" xfId="5099" xr:uid="{00000000-0005-0000-0000-0000630F0000}"/>
    <cellStyle name="Normal 2 4 2 4 3 2 3 2" xfId="14425" xr:uid="{48E37147-27D4-466B-AE59-106D99FA1381}"/>
    <cellStyle name="Normal 2 4 2 4 3 2 3 3" xfId="22866" xr:uid="{1913ACFF-DDC1-4F32-92BD-CEDB80BF1E56}"/>
    <cellStyle name="Normal 2 4 2 4 3 2 3 4" xfId="31306" xr:uid="{E384C9F4-B088-40FA-A964-4E82217FE146}"/>
    <cellStyle name="Normal 2 4 2 4 3 2 4" xfId="9444" xr:uid="{807939DF-E7C0-4015-A3D8-AE9E56020172}"/>
    <cellStyle name="Normal 2 4 2 4 3 2 5" xfId="10208" xr:uid="{E448B2BE-C2F8-4559-AC43-E2ED4B3EE419}"/>
    <cellStyle name="Normal 2 4 2 4 3 2 6" xfId="18649" xr:uid="{EBFBC5AC-2602-4A8B-B7F8-4D17EAFC5AD4}"/>
    <cellStyle name="Normal 2 4 2 4 3 2 7" xfId="27089" xr:uid="{832E92E8-931A-4EB4-8748-A84593AE5B27}"/>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F45310C9-2F31-4447-908D-A0C1CA07923D}"/>
    <cellStyle name="Normal 2 4 2 4 3 3 2 2 3" xfId="25424" xr:uid="{88B0D92F-DA48-4E35-890A-E0BDFCEE5FAA}"/>
    <cellStyle name="Normal 2 4 2 4 3 3 2 2 4" xfId="33864" xr:uid="{F68951F6-5D63-42F3-AB46-4C01E9A5D9EC}"/>
    <cellStyle name="Normal 2 4 2 4 3 3 2 3" xfId="12766" xr:uid="{E5BBC1DB-8DB2-40A9-80C9-878883FF1405}"/>
    <cellStyle name="Normal 2 4 2 4 3 3 2 4" xfId="21207" xr:uid="{0F0EC004-66A9-41EA-9814-39F99C7966A6}"/>
    <cellStyle name="Normal 2 4 2 4 3 3 2 5" xfId="29647" xr:uid="{7EABDDC3-0B90-475E-9A1A-F3FDBA21F948}"/>
    <cellStyle name="Normal 2 4 2 4 3 3 3" xfId="5512" xr:uid="{00000000-0005-0000-0000-0000670F0000}"/>
    <cellStyle name="Normal 2 4 2 4 3 3 3 2" xfId="14838" xr:uid="{5E34ECAE-56C1-4E1D-AA87-F206D6C374AF}"/>
    <cellStyle name="Normal 2 4 2 4 3 3 3 3" xfId="23279" xr:uid="{718BF2D9-CEF2-461C-ABE9-8BC0860CA15F}"/>
    <cellStyle name="Normal 2 4 2 4 3 3 3 4" xfId="31719" xr:uid="{FB752F88-B576-456E-B0B6-8779C396362A}"/>
    <cellStyle name="Normal 2 4 2 4 3 3 4" xfId="10621" xr:uid="{2D055F0C-003C-45CE-BA81-B3885997458C}"/>
    <cellStyle name="Normal 2 4 2 4 3 3 5" xfId="19062" xr:uid="{266C045E-CC32-41CA-995A-BE3A46A47298}"/>
    <cellStyle name="Normal 2 4 2 4 3 3 6" xfId="27502" xr:uid="{EF2145D9-48E5-4761-9E1F-CC949ABA6E08}"/>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37420F89-BC67-4453-8F93-F8CD03CBAC6B}"/>
    <cellStyle name="Normal 2 4 2 4 3 4 2 2 3" xfId="25837" xr:uid="{52A7C46E-85E6-48DD-BFC3-8EF60873C2DB}"/>
    <cellStyle name="Normal 2 4 2 4 3 4 2 2 4" xfId="34277" xr:uid="{C432BE08-08BD-4823-B856-14AC2B18E11B}"/>
    <cellStyle name="Normal 2 4 2 4 3 4 2 3" xfId="13179" xr:uid="{B59C9A38-0B85-41DC-A11F-29C6864BDE03}"/>
    <cellStyle name="Normal 2 4 2 4 3 4 2 4" xfId="21620" xr:uid="{8EF2291F-D6C9-4E7D-92A5-D2B1B319A427}"/>
    <cellStyle name="Normal 2 4 2 4 3 4 2 5" xfId="30060" xr:uid="{CDD0FFE6-403B-4D8F-B4B9-E2F380264D99}"/>
    <cellStyle name="Normal 2 4 2 4 3 4 3" xfId="5925" xr:uid="{00000000-0005-0000-0000-00006B0F0000}"/>
    <cellStyle name="Normal 2 4 2 4 3 4 3 2" xfId="15251" xr:uid="{582B225B-3078-4C70-85EE-D37E5F0C94D3}"/>
    <cellStyle name="Normal 2 4 2 4 3 4 3 3" xfId="23692" xr:uid="{BDF95F78-0CE3-4C58-A3E0-E80EE80DA5D0}"/>
    <cellStyle name="Normal 2 4 2 4 3 4 3 4" xfId="32132" xr:uid="{CB48BEA6-ED6E-4839-9F80-6177900CBDDA}"/>
    <cellStyle name="Normal 2 4 2 4 3 4 4" xfId="11034" xr:uid="{DBDD8BAA-EA5F-44ED-84F0-750575F2807C}"/>
    <cellStyle name="Normal 2 4 2 4 3 4 5" xfId="19475" xr:uid="{F635E517-FB1C-4A84-9600-6519C0A7B6FA}"/>
    <cellStyle name="Normal 2 4 2 4 3 4 6" xfId="27915" xr:uid="{1F234B83-BFC8-402A-85F0-45056F123EEE}"/>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C78ABCCD-ADBD-46A3-8612-DBEAF5E9EBBD}"/>
    <cellStyle name="Normal 2 4 2 4 3 5 2 2 3" xfId="26250" xr:uid="{CF7DDFDB-C420-409D-9954-FB60B55CEE97}"/>
    <cellStyle name="Normal 2 4 2 4 3 5 2 2 4" xfId="34690" xr:uid="{ACB496B9-3D5F-442A-ABEE-37A0A5F459BF}"/>
    <cellStyle name="Normal 2 4 2 4 3 5 2 3" xfId="13592" xr:uid="{E04AFCA2-9DB4-45CB-A2EE-8EE1E2451508}"/>
    <cellStyle name="Normal 2 4 2 4 3 5 2 4" xfId="22033" xr:uid="{6CF86899-EB80-421A-ABBA-BE4265BF3475}"/>
    <cellStyle name="Normal 2 4 2 4 3 5 2 5" xfId="30473" xr:uid="{D680CDEA-6AFA-412F-A31A-9F64B641B750}"/>
    <cellStyle name="Normal 2 4 2 4 3 5 3" xfId="6338" xr:uid="{00000000-0005-0000-0000-00006F0F0000}"/>
    <cellStyle name="Normal 2 4 2 4 3 5 3 2" xfId="15664" xr:uid="{9C8C2345-A7F2-4AF0-8872-5E83F171F173}"/>
    <cellStyle name="Normal 2 4 2 4 3 5 3 3" xfId="24105" xr:uid="{E9EE63DF-6A47-4A1F-A275-23F41203941D}"/>
    <cellStyle name="Normal 2 4 2 4 3 5 3 4" xfId="32545" xr:uid="{1DDA4810-A868-45C3-B455-133B8F02FAF7}"/>
    <cellStyle name="Normal 2 4 2 4 3 5 4" xfId="11447" xr:uid="{D1F9C390-60D8-4604-B87C-522CDFB53BF0}"/>
    <cellStyle name="Normal 2 4 2 4 3 5 5" xfId="19888" xr:uid="{FEA4ACA4-7AFC-4742-9762-27B24160F0F6}"/>
    <cellStyle name="Normal 2 4 2 4 3 5 6" xfId="28328" xr:uid="{C7D399EE-9860-4A72-986D-88772795194B}"/>
    <cellStyle name="Normal 2 4 2 4 3 6" xfId="2468" xr:uid="{00000000-0005-0000-0000-0000700F0000}"/>
    <cellStyle name="Normal 2 4 2 4 3 6 2" xfId="6751" xr:uid="{00000000-0005-0000-0000-0000710F0000}"/>
    <cellStyle name="Normal 2 4 2 4 3 6 2 2" xfId="16077" xr:uid="{166ABE7B-0DD0-47F6-BB62-99CD641BA15B}"/>
    <cellStyle name="Normal 2 4 2 4 3 6 2 3" xfId="24518" xr:uid="{816547AB-7F60-4E39-8D5B-A0DC6FFDC3B7}"/>
    <cellStyle name="Normal 2 4 2 4 3 6 2 4" xfId="32958" xr:uid="{BC21CD03-179C-4B8D-9449-7FFBA5ADD537}"/>
    <cellStyle name="Normal 2 4 2 4 3 6 3" xfId="11860" xr:uid="{621A5E6A-1081-4B9A-BDED-399B1BB31D38}"/>
    <cellStyle name="Normal 2 4 2 4 3 6 4" xfId="20301" xr:uid="{228B65D8-A956-4292-A982-CA622B14E414}"/>
    <cellStyle name="Normal 2 4 2 4 3 6 5" xfId="28741" xr:uid="{179E3E23-9CC1-4619-8B62-A2C63B07AA5E}"/>
    <cellStyle name="Normal 2 4 2 4 3 7" xfId="4685" xr:uid="{00000000-0005-0000-0000-0000720F0000}"/>
    <cellStyle name="Normal 2 4 2 4 3 7 2" xfId="14011" xr:uid="{54CD47F6-A3A7-484B-8685-863648A7A3CA}"/>
    <cellStyle name="Normal 2 4 2 4 3 7 3" xfId="22452" xr:uid="{309D24E7-8EDF-4478-B270-F63DD5811226}"/>
    <cellStyle name="Normal 2 4 2 4 3 7 4" xfId="30892" xr:uid="{7809E1FC-F027-49CA-BA38-ED58CD922D74}"/>
    <cellStyle name="Normal 2 4 2 4 3 8" xfId="9019" xr:uid="{1F22810F-FF7D-4FF4-861A-F2BA8F253428}"/>
    <cellStyle name="Normal 2 4 2 4 3 9" xfId="9794" xr:uid="{D5F96CBE-C5AA-4F44-A306-F1AB8E16526F}"/>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CC628071-0098-4333-AB5B-98C1537AE6D9}"/>
    <cellStyle name="Normal 2 4 2 4 4 2 2 3" xfId="25008" xr:uid="{2C6AF964-636E-40A0-B253-5647DE29DE0A}"/>
    <cellStyle name="Normal 2 4 2 4 4 2 2 4" xfId="33448" xr:uid="{46E96823-9A8F-40BD-92AD-27E8A45BD294}"/>
    <cellStyle name="Normal 2 4 2 4 4 2 3" xfId="12350" xr:uid="{5E3A0E1C-040D-4574-9A9C-0595CA88C9CA}"/>
    <cellStyle name="Normal 2 4 2 4 4 2 4" xfId="20791" xr:uid="{C5BB8DDC-F17C-4424-A570-100BC0978389}"/>
    <cellStyle name="Normal 2 4 2 4 4 2 5" xfId="29231" xr:uid="{147D0F3D-7114-4D9F-A067-7A4CBDBA33B5}"/>
    <cellStyle name="Normal 2 4 2 4 4 3" xfId="5096" xr:uid="{00000000-0005-0000-0000-0000760F0000}"/>
    <cellStyle name="Normal 2 4 2 4 4 3 2" xfId="14422" xr:uid="{C0D67FD4-6934-4480-B985-86FAA2D2FCE7}"/>
    <cellStyle name="Normal 2 4 2 4 4 3 3" xfId="22863" xr:uid="{71B70D6F-1577-4766-B197-35F39351D741}"/>
    <cellStyle name="Normal 2 4 2 4 4 3 4" xfId="31303" xr:uid="{AD885883-04B2-41A8-A23C-7382B8D5686A}"/>
    <cellStyle name="Normal 2 4 2 4 4 4" xfId="9237" xr:uid="{FF4B133D-A40B-4895-9E3D-E727B18E66C8}"/>
    <cellStyle name="Normal 2 4 2 4 4 5" xfId="10205" xr:uid="{5EC45778-E3F1-4DF0-ABD5-E2E8924A4EF6}"/>
    <cellStyle name="Normal 2 4 2 4 4 6" xfId="18646" xr:uid="{E6D7D3E4-E1EB-40D7-9B56-2699A4F3FD68}"/>
    <cellStyle name="Normal 2 4 2 4 4 7" xfId="27086" xr:uid="{D2C035CF-6C77-4AEE-AE49-CE8C1879CDB0}"/>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92093AF9-08B3-4B51-A366-3C1CB1DC4F66}"/>
    <cellStyle name="Normal 2 4 2 4 5 2 2 3" xfId="25421" xr:uid="{49B6FDA0-0E3E-4A26-968B-4E18C7B83F4F}"/>
    <cellStyle name="Normal 2 4 2 4 5 2 2 4" xfId="33861" xr:uid="{67B6BEE4-DF40-421E-B950-B2915B8D3764}"/>
    <cellStyle name="Normal 2 4 2 4 5 2 3" xfId="12763" xr:uid="{5492AC76-8D33-476A-9219-B5E5AF4CE76A}"/>
    <cellStyle name="Normal 2 4 2 4 5 2 4" xfId="21204" xr:uid="{DD9C35EA-7924-4AEB-8013-AD9A86BE44CB}"/>
    <cellStyle name="Normal 2 4 2 4 5 2 5" xfId="29644" xr:uid="{C935B406-C875-46BC-9D37-10460420F788}"/>
    <cellStyle name="Normal 2 4 2 4 5 3" xfId="5509" xr:uid="{00000000-0005-0000-0000-00007A0F0000}"/>
    <cellStyle name="Normal 2 4 2 4 5 3 2" xfId="14835" xr:uid="{F64E9A0E-1339-46D6-B9AC-040C0DA8D7FD}"/>
    <cellStyle name="Normal 2 4 2 4 5 3 3" xfId="23276" xr:uid="{7FB5E00C-F9C0-4434-A913-BB70C0BF1D61}"/>
    <cellStyle name="Normal 2 4 2 4 5 3 4" xfId="31716" xr:uid="{B4B41A24-F0EF-4DBF-899E-968375BDD117}"/>
    <cellStyle name="Normal 2 4 2 4 5 4" xfId="10618" xr:uid="{FBC60BCD-851E-407B-9383-2374478EECFB}"/>
    <cellStyle name="Normal 2 4 2 4 5 5" xfId="19059" xr:uid="{78DC7C35-9847-4F2D-920A-8008E046971A}"/>
    <cellStyle name="Normal 2 4 2 4 5 6" xfId="27499" xr:uid="{BDD3B18B-4B9A-4ACD-995D-B25C079E46DB}"/>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22D3A104-7518-4AFC-9551-31FADF88DAA9}"/>
    <cellStyle name="Normal 2 4 2 4 6 2 2 3" xfId="25834" xr:uid="{47A817FE-A2EA-4E7C-8CDE-8F5612D7DDC7}"/>
    <cellStyle name="Normal 2 4 2 4 6 2 2 4" xfId="34274" xr:uid="{43AF0A2D-0A9A-459F-98D8-A35CD4EFE503}"/>
    <cellStyle name="Normal 2 4 2 4 6 2 3" xfId="13176" xr:uid="{05F5C35D-9950-4836-810D-D8BE338BE109}"/>
    <cellStyle name="Normal 2 4 2 4 6 2 4" xfId="21617" xr:uid="{3C2BC9E7-1B4C-4473-9D9E-A5E49CC35B8E}"/>
    <cellStyle name="Normal 2 4 2 4 6 2 5" xfId="30057" xr:uid="{DAD6583E-AC22-4095-99BE-5BFC3DC8E84D}"/>
    <cellStyle name="Normal 2 4 2 4 6 3" xfId="5922" xr:uid="{00000000-0005-0000-0000-00007E0F0000}"/>
    <cellStyle name="Normal 2 4 2 4 6 3 2" xfId="15248" xr:uid="{6C530FBD-8F0D-46D9-BA6E-08179A6F2CDB}"/>
    <cellStyle name="Normal 2 4 2 4 6 3 3" xfId="23689" xr:uid="{DEE7425F-8FA5-4B50-BDD4-F7F366D1F185}"/>
    <cellStyle name="Normal 2 4 2 4 6 3 4" xfId="32129" xr:uid="{34F76C04-1710-403E-98DD-CA7D3E7214A6}"/>
    <cellStyle name="Normal 2 4 2 4 6 4" xfId="11031" xr:uid="{96F29592-CAB2-4F1B-AC0C-B74A080369B6}"/>
    <cellStyle name="Normal 2 4 2 4 6 5" xfId="19472" xr:uid="{16A1980F-9902-45BE-91DB-ACF1A08238E1}"/>
    <cellStyle name="Normal 2 4 2 4 6 6" xfId="27912" xr:uid="{86CDBD34-2D28-4495-AD72-126A56B173F6}"/>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5FAEBDBD-3955-4592-B24A-13FCC1ADC588}"/>
    <cellStyle name="Normal 2 4 2 4 7 2 2 3" xfId="26247" xr:uid="{413A1144-47EE-4700-9DA7-CE33017B89B0}"/>
    <cellStyle name="Normal 2 4 2 4 7 2 2 4" xfId="34687" xr:uid="{68B84A3B-A9D0-408E-BFEC-649C8DF3DE4E}"/>
    <cellStyle name="Normal 2 4 2 4 7 2 3" xfId="13589" xr:uid="{649AC552-9BD4-43D7-9DA2-2E7386715242}"/>
    <cellStyle name="Normal 2 4 2 4 7 2 4" xfId="22030" xr:uid="{7AC06297-1340-4A6A-804C-91559BA58C06}"/>
    <cellStyle name="Normal 2 4 2 4 7 2 5" xfId="30470" xr:uid="{B18BCF04-D1B4-47DA-BA6F-F186A8455DAA}"/>
    <cellStyle name="Normal 2 4 2 4 7 3" xfId="6335" xr:uid="{00000000-0005-0000-0000-0000820F0000}"/>
    <cellStyle name="Normal 2 4 2 4 7 3 2" xfId="15661" xr:uid="{CF64828E-C793-447A-B2A7-9ADD308998E8}"/>
    <cellStyle name="Normal 2 4 2 4 7 3 3" xfId="24102" xr:uid="{E771B638-FFC1-44E4-8DA1-6E28109FC35A}"/>
    <cellStyle name="Normal 2 4 2 4 7 3 4" xfId="32542" xr:uid="{43738F4A-BA34-4CFC-9F75-6F481254FBF3}"/>
    <cellStyle name="Normal 2 4 2 4 7 4" xfId="11444" xr:uid="{80A130EF-E872-4BAB-ABF3-9A0462F6E66E}"/>
    <cellStyle name="Normal 2 4 2 4 7 5" xfId="19885" xr:uid="{643EA37D-CA43-4CB2-AB1F-269FA2C09E9C}"/>
    <cellStyle name="Normal 2 4 2 4 7 6" xfId="28325" xr:uid="{94CADA64-B76D-4F80-BBC6-307996968B83}"/>
    <cellStyle name="Normal 2 4 2 4 8" xfId="2465" xr:uid="{00000000-0005-0000-0000-0000830F0000}"/>
    <cellStyle name="Normal 2 4 2 4 8 2" xfId="6748" xr:uid="{00000000-0005-0000-0000-0000840F0000}"/>
    <cellStyle name="Normal 2 4 2 4 8 2 2" xfId="16074" xr:uid="{E4C86E41-D284-4190-8184-174AC96D4CA4}"/>
    <cellStyle name="Normal 2 4 2 4 8 2 3" xfId="24515" xr:uid="{ADC9353D-D134-4953-8EE8-ABD4D9BB3CA6}"/>
    <cellStyle name="Normal 2 4 2 4 8 2 4" xfId="32955" xr:uid="{D9ED1D3D-C036-4957-AD3C-FB7C7A1644EA}"/>
    <cellStyle name="Normal 2 4 2 4 8 3" xfId="11857" xr:uid="{C1EB2C4D-9556-42E0-9814-CDA7CA03F818}"/>
    <cellStyle name="Normal 2 4 2 4 8 4" xfId="20298" xr:uid="{4DADACBE-DAB7-429E-90E9-EC8225ACF8B3}"/>
    <cellStyle name="Normal 2 4 2 4 8 5" xfId="28738" xr:uid="{3F3CE7D3-90C7-47DD-BC63-E293587511EF}"/>
    <cellStyle name="Normal 2 4 2 4 9" xfId="4682" xr:uid="{00000000-0005-0000-0000-0000850F0000}"/>
    <cellStyle name="Normal 2 4 2 4 9 2" xfId="14008" xr:uid="{4119C997-DC92-4FC0-9381-1DCE312A7CF4}"/>
    <cellStyle name="Normal 2 4 2 4 9 3" xfId="22449" xr:uid="{3714DC73-A13C-48AB-A89B-D94CD32D23E1}"/>
    <cellStyle name="Normal 2 4 2 4 9 4" xfId="30889" xr:uid="{649939E2-8273-4623-8276-01AAC1B1D937}"/>
    <cellStyle name="Normal 2 4 2 5" xfId="293" xr:uid="{00000000-0005-0000-0000-0000860F0000}"/>
    <cellStyle name="Normal 2 4 2 5 10" xfId="9795" xr:uid="{59EB8B73-7491-4B8B-B86B-EAC3861295B9}"/>
    <cellStyle name="Normal 2 4 2 5 11" xfId="18236" xr:uid="{DD2D6C42-1A0E-4D10-93BA-2861FE1EABF6}"/>
    <cellStyle name="Normal 2 4 2 5 12" xfId="26676" xr:uid="{48ABA426-E6CB-4DB9-B780-7C0D84C78B78}"/>
    <cellStyle name="Normal 2 4 2 5 2" xfId="294" xr:uid="{00000000-0005-0000-0000-0000870F0000}"/>
    <cellStyle name="Normal 2 4 2 5 2 10" xfId="18237" xr:uid="{2EE4B2B1-3ADF-4882-80B3-FE71983027AB}"/>
    <cellStyle name="Normal 2 4 2 5 2 11" xfId="26677" xr:uid="{E4BD031F-19C2-4258-86C5-95B740C859F4}"/>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EC3B1F74-3029-4287-8E7C-ADE023C4A6BF}"/>
    <cellStyle name="Normal 2 4 2 5 2 2 2 2 3" xfId="25013" xr:uid="{921C197E-EFF7-4DE3-B7E2-9D8C9F3BB1EF}"/>
    <cellStyle name="Normal 2 4 2 5 2 2 2 2 4" xfId="33453" xr:uid="{FBF12D29-AD11-4502-9906-BAA3D2629084}"/>
    <cellStyle name="Normal 2 4 2 5 2 2 2 3" xfId="12355" xr:uid="{586CD101-F868-4BD5-ADDA-C2F8906B15B8}"/>
    <cellStyle name="Normal 2 4 2 5 2 2 2 4" xfId="20796" xr:uid="{4A78FB01-D73B-4E9C-BC66-ADA35BCB0AEE}"/>
    <cellStyle name="Normal 2 4 2 5 2 2 2 5" xfId="29236" xr:uid="{5FC22053-31B4-4CEB-847B-0A6BE17A6735}"/>
    <cellStyle name="Normal 2 4 2 5 2 2 3" xfId="5101" xr:uid="{00000000-0005-0000-0000-00008B0F0000}"/>
    <cellStyle name="Normal 2 4 2 5 2 2 3 2" xfId="14427" xr:uid="{6FACE4BB-706C-42F9-8CE2-CF6CEE282842}"/>
    <cellStyle name="Normal 2 4 2 5 2 2 3 3" xfId="22868" xr:uid="{ABC932CA-3FB7-4876-A254-F7F42215E3E6}"/>
    <cellStyle name="Normal 2 4 2 5 2 2 3 4" xfId="31308" xr:uid="{A21238E1-B836-46D4-841D-2F5CF6F4F9EA}"/>
    <cellStyle name="Normal 2 4 2 5 2 2 4" xfId="9492" xr:uid="{07DC9204-2F52-408E-80EE-617A106DD9FD}"/>
    <cellStyle name="Normal 2 4 2 5 2 2 5" xfId="10210" xr:uid="{78A790E9-22BE-427C-86AB-681C33FCD6B7}"/>
    <cellStyle name="Normal 2 4 2 5 2 2 6" xfId="18651" xr:uid="{739096CD-9755-4411-96C9-7BFD7B217D2F}"/>
    <cellStyle name="Normal 2 4 2 5 2 2 7" xfId="27091" xr:uid="{1F1B0C6B-5EDB-4EE1-8438-4B98FE17B4B2}"/>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81459D69-D1A6-48EA-8A88-9618E408AAA7}"/>
    <cellStyle name="Normal 2 4 2 5 2 3 2 2 3" xfId="25426" xr:uid="{540063E3-D63E-49F1-96D6-BECFB8017F5E}"/>
    <cellStyle name="Normal 2 4 2 5 2 3 2 2 4" xfId="33866" xr:uid="{FF7E9747-B331-47BC-9FD6-70184BF2986C}"/>
    <cellStyle name="Normal 2 4 2 5 2 3 2 3" xfId="12768" xr:uid="{2563C741-117C-471A-B74D-E4C58E92B362}"/>
    <cellStyle name="Normal 2 4 2 5 2 3 2 4" xfId="21209" xr:uid="{244AC744-7337-4292-827D-BA7C78078543}"/>
    <cellStyle name="Normal 2 4 2 5 2 3 2 5" xfId="29649" xr:uid="{EFBB3233-0E8F-4D6F-B74F-6DDE2F220E12}"/>
    <cellStyle name="Normal 2 4 2 5 2 3 3" xfId="5514" xr:uid="{00000000-0005-0000-0000-00008F0F0000}"/>
    <cellStyle name="Normal 2 4 2 5 2 3 3 2" xfId="14840" xr:uid="{4BC86918-A08E-4271-AA29-7E191D1AE8FA}"/>
    <cellStyle name="Normal 2 4 2 5 2 3 3 3" xfId="23281" xr:uid="{95B2F1F8-B155-4E16-8D26-11FAF9D88C36}"/>
    <cellStyle name="Normal 2 4 2 5 2 3 3 4" xfId="31721" xr:uid="{2943EF23-0A1C-4D26-8264-89E3AB9E32D7}"/>
    <cellStyle name="Normal 2 4 2 5 2 3 4" xfId="10623" xr:uid="{4B5AE88C-90B2-49A5-A497-392CC84BBDD4}"/>
    <cellStyle name="Normal 2 4 2 5 2 3 5" xfId="19064" xr:uid="{120CECDA-6ABA-43A1-94FD-A51AD969D928}"/>
    <cellStyle name="Normal 2 4 2 5 2 3 6" xfId="27504" xr:uid="{DB7D5B49-47D5-4D7A-A9BD-66196D6C5FA4}"/>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C48E131E-D502-49A1-9AF0-0CC0B902004E}"/>
    <cellStyle name="Normal 2 4 2 5 2 4 2 2 3" xfId="25839" xr:uid="{56D929D3-19E0-4468-A4AA-B895E7A28784}"/>
    <cellStyle name="Normal 2 4 2 5 2 4 2 2 4" xfId="34279" xr:uid="{FA21A9D9-3CEC-4002-B731-2DBE78D3E8DD}"/>
    <cellStyle name="Normal 2 4 2 5 2 4 2 3" xfId="13181" xr:uid="{6DF4C3FA-C4F5-46E5-8FB4-C67B4831BC64}"/>
    <cellStyle name="Normal 2 4 2 5 2 4 2 4" xfId="21622" xr:uid="{415BE6DC-800D-4078-880E-285B1A1FFB5B}"/>
    <cellStyle name="Normal 2 4 2 5 2 4 2 5" xfId="30062" xr:uid="{5D6B6ACF-B2C1-4C28-BEA6-36BF5632D7BF}"/>
    <cellStyle name="Normal 2 4 2 5 2 4 3" xfId="5927" xr:uid="{00000000-0005-0000-0000-0000930F0000}"/>
    <cellStyle name="Normal 2 4 2 5 2 4 3 2" xfId="15253" xr:uid="{EF775F1F-393C-44AA-8287-B8D16D7CA473}"/>
    <cellStyle name="Normal 2 4 2 5 2 4 3 3" xfId="23694" xr:uid="{0B9AA384-083C-46C0-ACB3-0BC1C2F0C209}"/>
    <cellStyle name="Normal 2 4 2 5 2 4 3 4" xfId="32134" xr:uid="{1AFABC7F-FF01-43C4-BB0F-13B062E1201C}"/>
    <cellStyle name="Normal 2 4 2 5 2 4 4" xfId="11036" xr:uid="{104C646B-8B5B-4686-A9D3-C1759F14AD74}"/>
    <cellStyle name="Normal 2 4 2 5 2 4 5" xfId="19477" xr:uid="{163B8287-FEE5-4405-949E-29B932EF4697}"/>
    <cellStyle name="Normal 2 4 2 5 2 4 6" xfId="27917" xr:uid="{975D718E-82D9-493E-B086-D89670C4CD5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C81D1A48-D5AD-4C13-B9D0-BC163E6F48B2}"/>
    <cellStyle name="Normal 2 4 2 5 2 5 2 2 3" xfId="26252" xr:uid="{641E5180-39AB-45B1-9169-D3B3876209A0}"/>
    <cellStyle name="Normal 2 4 2 5 2 5 2 2 4" xfId="34692" xr:uid="{61411F79-EC37-4845-857B-99A186EF9C75}"/>
    <cellStyle name="Normal 2 4 2 5 2 5 2 3" xfId="13594" xr:uid="{65A9A7DD-E4E5-400B-B1A0-57CE00A2AB4B}"/>
    <cellStyle name="Normal 2 4 2 5 2 5 2 4" xfId="22035" xr:uid="{E8EB4EBB-F82E-4E0D-9DF0-B2B2627E4E09}"/>
    <cellStyle name="Normal 2 4 2 5 2 5 2 5" xfId="30475" xr:uid="{D0CCF979-034F-49A8-8BB9-F53996847A79}"/>
    <cellStyle name="Normal 2 4 2 5 2 5 3" xfId="6340" xr:uid="{00000000-0005-0000-0000-0000970F0000}"/>
    <cellStyle name="Normal 2 4 2 5 2 5 3 2" xfId="15666" xr:uid="{3DBEC989-F3DA-4BFA-ABC8-A0303CDB6D6D}"/>
    <cellStyle name="Normal 2 4 2 5 2 5 3 3" xfId="24107" xr:uid="{0176D2A7-AD69-49B8-9612-4886AC47AC2F}"/>
    <cellStyle name="Normal 2 4 2 5 2 5 3 4" xfId="32547" xr:uid="{FFEB5216-97D1-40DF-8664-26F28C8A2D77}"/>
    <cellStyle name="Normal 2 4 2 5 2 5 4" xfId="11449" xr:uid="{05D8450B-ACCB-43A8-867B-239F1B99CC2D}"/>
    <cellStyle name="Normal 2 4 2 5 2 5 5" xfId="19890" xr:uid="{B30A97BF-06CC-4E08-BD4D-7C52A49BD607}"/>
    <cellStyle name="Normal 2 4 2 5 2 5 6" xfId="28330" xr:uid="{EB16B204-1EB7-445B-AE60-53FA6E0F8A45}"/>
    <cellStyle name="Normal 2 4 2 5 2 6" xfId="2470" xr:uid="{00000000-0005-0000-0000-0000980F0000}"/>
    <cellStyle name="Normal 2 4 2 5 2 6 2" xfId="6753" xr:uid="{00000000-0005-0000-0000-0000990F0000}"/>
    <cellStyle name="Normal 2 4 2 5 2 6 2 2" xfId="16079" xr:uid="{46F7DC87-4177-4A61-8421-722309C493C4}"/>
    <cellStyle name="Normal 2 4 2 5 2 6 2 3" xfId="24520" xr:uid="{87446030-B59E-4FF8-870E-DC9533018C23}"/>
    <cellStyle name="Normal 2 4 2 5 2 6 2 4" xfId="32960" xr:uid="{261C8E28-62A7-41A4-82C5-E203BCE6F8FA}"/>
    <cellStyle name="Normal 2 4 2 5 2 6 3" xfId="11862" xr:uid="{11D01D29-7DA6-4D76-A729-31A05CE3E60C}"/>
    <cellStyle name="Normal 2 4 2 5 2 6 4" xfId="20303" xr:uid="{5B06F25A-D322-4DBD-BDEF-3DFC0A1B6474}"/>
    <cellStyle name="Normal 2 4 2 5 2 6 5" xfId="28743" xr:uid="{0834F85D-2DA3-4932-A70A-67607C996E48}"/>
    <cellStyle name="Normal 2 4 2 5 2 7" xfId="4687" xr:uid="{00000000-0005-0000-0000-00009A0F0000}"/>
    <cellStyle name="Normal 2 4 2 5 2 7 2" xfId="14013" xr:uid="{223D1F06-654B-48B4-9A13-DB0CA348B5AF}"/>
    <cellStyle name="Normal 2 4 2 5 2 7 3" xfId="22454" xr:uid="{F62D3BB5-D843-406B-9912-EC012CEF8891}"/>
    <cellStyle name="Normal 2 4 2 5 2 7 4" xfId="30894" xr:uid="{6F43A8BD-5ABF-4954-A154-B5DF0259E1B0}"/>
    <cellStyle name="Normal 2 4 2 5 2 8" xfId="9067" xr:uid="{89D5CB5A-ADE0-44B8-BC1E-FDE984B579C9}"/>
    <cellStyle name="Normal 2 4 2 5 2 9" xfId="9796" xr:uid="{78262EB0-CB2A-433A-BA39-7B0A298DE58B}"/>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5B73E830-DB7C-4BB3-8845-27996A19EC99}"/>
    <cellStyle name="Normal 2 4 2 5 3 2 2 3" xfId="25012" xr:uid="{074F0F43-740C-4B43-BD44-EC7A1A9CF072}"/>
    <cellStyle name="Normal 2 4 2 5 3 2 2 4" xfId="33452" xr:uid="{69E028B4-4BF8-4D75-92A4-D894AD2B1569}"/>
    <cellStyle name="Normal 2 4 2 5 3 2 3" xfId="12354" xr:uid="{3AEE9E7E-F25C-4C56-A9DB-5122C5B53C18}"/>
    <cellStyle name="Normal 2 4 2 5 3 2 4" xfId="20795" xr:uid="{8DBCA697-DF12-4768-B234-8F6CBD0855E7}"/>
    <cellStyle name="Normal 2 4 2 5 3 2 5" xfId="29235" xr:uid="{48AA5DEC-9C7A-4196-ABAB-58097DD43AF9}"/>
    <cellStyle name="Normal 2 4 2 5 3 3" xfId="5100" xr:uid="{00000000-0005-0000-0000-00009E0F0000}"/>
    <cellStyle name="Normal 2 4 2 5 3 3 2" xfId="14426" xr:uid="{C15D620F-6869-4800-BBBB-CCCBC42FFB5F}"/>
    <cellStyle name="Normal 2 4 2 5 3 3 3" xfId="22867" xr:uid="{CF7907A7-D084-4F79-B242-6B44AA96B3D3}"/>
    <cellStyle name="Normal 2 4 2 5 3 3 4" xfId="31307" xr:uid="{9DB6B169-E5E8-43CC-A2E7-2C161865606E}"/>
    <cellStyle name="Normal 2 4 2 5 3 4" xfId="9285" xr:uid="{5DA39FB9-904E-46D3-8E24-58BF2F19DA5B}"/>
    <cellStyle name="Normal 2 4 2 5 3 5" xfId="10209" xr:uid="{88DC0D11-93EF-4CA4-A3D4-C529A5203CDC}"/>
    <cellStyle name="Normal 2 4 2 5 3 6" xfId="18650" xr:uid="{FA3960BC-E3A4-4327-9A8E-441AAC2AF00C}"/>
    <cellStyle name="Normal 2 4 2 5 3 7" xfId="27090" xr:uid="{E4A0572D-FAAB-458F-898F-B1A1A81A9DAA}"/>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60001122-841B-404B-98C8-73F87805C527}"/>
    <cellStyle name="Normal 2 4 2 5 4 2 2 3" xfId="25425" xr:uid="{2C94891B-27F2-4E24-9500-A472E8275706}"/>
    <cellStyle name="Normal 2 4 2 5 4 2 2 4" xfId="33865" xr:uid="{24F3BC5E-E08F-4C4E-9F29-096CCDE18443}"/>
    <cellStyle name="Normal 2 4 2 5 4 2 3" xfId="12767" xr:uid="{00F42DFA-65FF-4559-9EDB-01C72FB9DB9B}"/>
    <cellStyle name="Normal 2 4 2 5 4 2 4" xfId="21208" xr:uid="{2E411743-A282-47D7-B61C-D5FE0F00CE6C}"/>
    <cellStyle name="Normal 2 4 2 5 4 2 5" xfId="29648" xr:uid="{C832225D-8941-4DB1-8D83-C3CCBD7279F8}"/>
    <cellStyle name="Normal 2 4 2 5 4 3" xfId="5513" xr:uid="{00000000-0005-0000-0000-0000A20F0000}"/>
    <cellStyle name="Normal 2 4 2 5 4 3 2" xfId="14839" xr:uid="{9095AFE0-291B-402C-9C08-C8563FE0E32F}"/>
    <cellStyle name="Normal 2 4 2 5 4 3 3" xfId="23280" xr:uid="{F209C3BE-EE33-4DE5-AF62-679E770C65D0}"/>
    <cellStyle name="Normal 2 4 2 5 4 3 4" xfId="31720" xr:uid="{1B4EB592-4942-4AE4-9EC4-626A78C095F3}"/>
    <cellStyle name="Normal 2 4 2 5 4 4" xfId="10622" xr:uid="{53FA74DD-C05F-402B-8F4B-01E8AA37463F}"/>
    <cellStyle name="Normal 2 4 2 5 4 5" xfId="19063" xr:uid="{B5F7DE20-77FB-4BAE-8E01-B7C2BAC28802}"/>
    <cellStyle name="Normal 2 4 2 5 4 6" xfId="27503" xr:uid="{00EC4949-07CA-4B20-BD6C-885D3C88C5FF}"/>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F19A3DE2-BE71-498E-ACC9-FF72728B4C76}"/>
    <cellStyle name="Normal 2 4 2 5 5 2 2 3" xfId="25838" xr:uid="{5FDCE218-CCCF-4138-928D-95F16478107F}"/>
    <cellStyle name="Normal 2 4 2 5 5 2 2 4" xfId="34278" xr:uid="{F687585D-D502-44CF-A5F1-FC55A4DD27F4}"/>
    <cellStyle name="Normal 2 4 2 5 5 2 3" xfId="13180" xr:uid="{8B8BD8A4-3CFB-4F09-BC84-C11F0759BA7F}"/>
    <cellStyle name="Normal 2 4 2 5 5 2 4" xfId="21621" xr:uid="{1CA32A9E-0600-4BA6-9DE5-57C1F8BEA76C}"/>
    <cellStyle name="Normal 2 4 2 5 5 2 5" xfId="30061" xr:uid="{9ED38E3C-B5B8-484F-9BEF-A45CDFB730FA}"/>
    <cellStyle name="Normal 2 4 2 5 5 3" xfId="5926" xr:uid="{00000000-0005-0000-0000-0000A60F0000}"/>
    <cellStyle name="Normal 2 4 2 5 5 3 2" xfId="15252" xr:uid="{C6BD5D1B-9FB5-41F3-9447-B8BCFFAEBBE7}"/>
    <cellStyle name="Normal 2 4 2 5 5 3 3" xfId="23693" xr:uid="{9A25901B-40AB-4C75-B03D-EE991A632755}"/>
    <cellStyle name="Normal 2 4 2 5 5 3 4" xfId="32133" xr:uid="{95A0F2C5-A974-4CB9-BEF9-A3191480A1E8}"/>
    <cellStyle name="Normal 2 4 2 5 5 4" xfId="11035" xr:uid="{80C791DE-51CC-4600-9D1F-A5BDA0AC177A}"/>
    <cellStyle name="Normal 2 4 2 5 5 5" xfId="19476" xr:uid="{1B366A14-59F6-47D0-BE51-3EA32C4F28BA}"/>
    <cellStyle name="Normal 2 4 2 5 5 6" xfId="27916" xr:uid="{2BC93D4C-C403-4048-9247-15FCE38EE32B}"/>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5A350EE1-FD9D-4CB1-AD81-7D2E0E9358CA}"/>
    <cellStyle name="Normal 2 4 2 5 6 2 2 3" xfId="26251" xr:uid="{E2A410CF-F8BD-4F85-8311-2A8C0A2840C8}"/>
    <cellStyle name="Normal 2 4 2 5 6 2 2 4" xfId="34691" xr:uid="{2A14ED38-E102-43C6-BD18-F899D8EF0E2E}"/>
    <cellStyle name="Normal 2 4 2 5 6 2 3" xfId="13593" xr:uid="{EB89EE08-AF78-4C51-83DD-978C34261115}"/>
    <cellStyle name="Normal 2 4 2 5 6 2 4" xfId="22034" xr:uid="{5CFB5CE0-4735-484B-B9ED-EBBBF5F84901}"/>
    <cellStyle name="Normal 2 4 2 5 6 2 5" xfId="30474" xr:uid="{5E43F3B8-010A-411F-8D72-828B70337AB6}"/>
    <cellStyle name="Normal 2 4 2 5 6 3" xfId="6339" xr:uid="{00000000-0005-0000-0000-0000AA0F0000}"/>
    <cellStyle name="Normal 2 4 2 5 6 3 2" xfId="15665" xr:uid="{98DAB1B7-8F20-498D-A542-5F724CFB43D5}"/>
    <cellStyle name="Normal 2 4 2 5 6 3 3" xfId="24106" xr:uid="{1554DA56-8DD2-4A27-9318-2E59C5E3FB5B}"/>
    <cellStyle name="Normal 2 4 2 5 6 3 4" xfId="32546" xr:uid="{AC96AAB5-0735-481C-B739-CF6EA1F6CD34}"/>
    <cellStyle name="Normal 2 4 2 5 6 4" xfId="11448" xr:uid="{CEC62354-7E45-441F-8317-EBA5FE76A9D2}"/>
    <cellStyle name="Normal 2 4 2 5 6 5" xfId="19889" xr:uid="{4D6E1368-C700-4CD3-8516-181FE837C964}"/>
    <cellStyle name="Normal 2 4 2 5 6 6" xfId="28329" xr:uid="{8D6D27C8-7B8C-4419-B48D-9F947D44931D}"/>
    <cellStyle name="Normal 2 4 2 5 7" xfId="2469" xr:uid="{00000000-0005-0000-0000-0000AB0F0000}"/>
    <cellStyle name="Normal 2 4 2 5 7 2" xfId="6752" xr:uid="{00000000-0005-0000-0000-0000AC0F0000}"/>
    <cellStyle name="Normal 2 4 2 5 7 2 2" xfId="16078" xr:uid="{F4B58937-947D-468E-91F3-2B327914BC8A}"/>
    <cellStyle name="Normal 2 4 2 5 7 2 3" xfId="24519" xr:uid="{D5917113-C2C7-48FC-94A8-B8299FE2A207}"/>
    <cellStyle name="Normal 2 4 2 5 7 2 4" xfId="32959" xr:uid="{4EF64F72-EB91-4931-B679-8274DE208F14}"/>
    <cellStyle name="Normal 2 4 2 5 7 3" xfId="11861" xr:uid="{075B78FD-8DC3-4FF9-BF45-A8F2E2D83A29}"/>
    <cellStyle name="Normal 2 4 2 5 7 4" xfId="20302" xr:uid="{31C555B5-8BA2-489F-BCD0-E5988B2DB50E}"/>
    <cellStyle name="Normal 2 4 2 5 7 5" xfId="28742" xr:uid="{A068D8F5-1E57-4977-B8D2-B6B687F5C983}"/>
    <cellStyle name="Normal 2 4 2 5 8" xfId="4686" xr:uid="{00000000-0005-0000-0000-0000AD0F0000}"/>
    <cellStyle name="Normal 2 4 2 5 8 2" xfId="14012" xr:uid="{C2E9C057-8CAE-40AE-8B30-A7B5B666DD93}"/>
    <cellStyle name="Normal 2 4 2 5 8 3" xfId="22453" xr:uid="{B3F29511-FEFF-4958-862A-AE249E571C9F}"/>
    <cellStyle name="Normal 2 4 2 5 8 4" xfId="30893" xr:uid="{CB48B9B2-43DD-48FC-850B-4212974D5DD7}"/>
    <cellStyle name="Normal 2 4 2 5 9" xfId="8860" xr:uid="{5FAFEFC0-3249-464B-9F12-2B1DA137C588}"/>
    <cellStyle name="Normal 2 4 2 6" xfId="295" xr:uid="{00000000-0005-0000-0000-0000AE0F0000}"/>
    <cellStyle name="Normal 2 4 2 6 10" xfId="18238" xr:uid="{FA643600-3C0B-4FAA-B643-C22B36BDF23B}"/>
    <cellStyle name="Normal 2 4 2 6 11" xfId="26678" xr:uid="{2C255F31-C373-4D6E-A67B-D0ED078E2338}"/>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EFF99C70-623D-47CD-B122-689EAC9397D7}"/>
    <cellStyle name="Normal 2 4 2 6 2 2 2 3" xfId="25014" xr:uid="{3EA3AE23-1944-47A4-8458-D61D4A81B93B}"/>
    <cellStyle name="Normal 2 4 2 6 2 2 2 4" xfId="33454" xr:uid="{2078E817-C4DF-4D4B-8671-12C438A5EF39}"/>
    <cellStyle name="Normal 2 4 2 6 2 2 3" xfId="12356" xr:uid="{7DE28324-1F0B-46D9-B46B-A4AE6E6EAA76}"/>
    <cellStyle name="Normal 2 4 2 6 2 2 4" xfId="20797" xr:uid="{F383FA99-C2DE-4B32-ACE5-BB7CA73B6382}"/>
    <cellStyle name="Normal 2 4 2 6 2 2 5" xfId="29237" xr:uid="{A1F927D1-4471-4F9E-BEBD-E3D5B194AA2E}"/>
    <cellStyle name="Normal 2 4 2 6 2 3" xfId="5102" xr:uid="{00000000-0005-0000-0000-0000B20F0000}"/>
    <cellStyle name="Normal 2 4 2 6 2 3 2" xfId="14428" xr:uid="{863BE88F-4787-4EA1-91C2-55BDF298913A}"/>
    <cellStyle name="Normal 2 4 2 6 2 3 3" xfId="22869" xr:uid="{582159C5-7CE0-4FDF-9CEB-1313213697C7}"/>
    <cellStyle name="Normal 2 4 2 6 2 3 4" xfId="31309" xr:uid="{1CAE0D11-0BED-4C26-983B-585AE8A687BF}"/>
    <cellStyle name="Normal 2 4 2 6 2 4" xfId="9401" xr:uid="{C89DD342-23DD-474B-84C5-F9DED42F169B}"/>
    <cellStyle name="Normal 2 4 2 6 2 5" xfId="10211" xr:uid="{7CB5CACE-19F5-42CA-B9E1-3AE5FA56D868}"/>
    <cellStyle name="Normal 2 4 2 6 2 6" xfId="18652" xr:uid="{6DA9BCFC-F481-4712-BA04-46E546A8A962}"/>
    <cellStyle name="Normal 2 4 2 6 2 7" xfId="27092" xr:uid="{3EAF3895-8127-4FF6-B694-3C2E0F98CFA4}"/>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6F5F365B-2262-47CE-A209-7EBC8B52C083}"/>
    <cellStyle name="Normal 2 4 2 6 3 2 2 3" xfId="25427" xr:uid="{64C121EC-2244-49E8-A6CC-0106B9BCDE7C}"/>
    <cellStyle name="Normal 2 4 2 6 3 2 2 4" xfId="33867" xr:uid="{75DE3D80-C166-481B-853B-BCE061408461}"/>
    <cellStyle name="Normal 2 4 2 6 3 2 3" xfId="12769" xr:uid="{CFC3944A-5DDB-4DEA-9BCE-B46C6843310A}"/>
    <cellStyle name="Normal 2 4 2 6 3 2 4" xfId="21210" xr:uid="{112B3C54-3C78-421F-9C6E-39331E58BD8F}"/>
    <cellStyle name="Normal 2 4 2 6 3 2 5" xfId="29650" xr:uid="{7A91525E-E30D-4703-80F3-BB17C3390D67}"/>
    <cellStyle name="Normal 2 4 2 6 3 3" xfId="5515" xr:uid="{00000000-0005-0000-0000-0000B60F0000}"/>
    <cellStyle name="Normal 2 4 2 6 3 3 2" xfId="14841" xr:uid="{3DE24DBB-891E-4FEB-9B88-F4EFA31B218F}"/>
    <cellStyle name="Normal 2 4 2 6 3 3 3" xfId="23282" xr:uid="{1614CA00-4CB8-4AD4-BDEC-6B52D0C281B4}"/>
    <cellStyle name="Normal 2 4 2 6 3 3 4" xfId="31722" xr:uid="{3CD74716-F67A-4291-9E9D-49B5E2D3C8AD}"/>
    <cellStyle name="Normal 2 4 2 6 3 4" xfId="10624" xr:uid="{D202C49A-9459-4F77-9FB6-181D2575C019}"/>
    <cellStyle name="Normal 2 4 2 6 3 5" xfId="19065" xr:uid="{E61EC030-ECAC-463E-BB3B-FEFB195C1B98}"/>
    <cellStyle name="Normal 2 4 2 6 3 6" xfId="27505" xr:uid="{262F73D7-D471-4B08-BF95-4882EACA7ED2}"/>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78B59375-6E00-4D3A-862E-28494BFA0538}"/>
    <cellStyle name="Normal 2 4 2 6 4 2 2 3" xfId="25840" xr:uid="{8A698576-FC41-49A9-8A49-03E654CFFE4C}"/>
    <cellStyle name="Normal 2 4 2 6 4 2 2 4" xfId="34280" xr:uid="{0C686BDF-575E-4E6F-A0F2-B90EAB0D7EEB}"/>
    <cellStyle name="Normal 2 4 2 6 4 2 3" xfId="13182" xr:uid="{AB7E38ED-61B7-4A4C-989A-8BF8C07A6417}"/>
    <cellStyle name="Normal 2 4 2 6 4 2 4" xfId="21623" xr:uid="{BE711119-E2A6-43E9-933D-678077B064FE}"/>
    <cellStyle name="Normal 2 4 2 6 4 2 5" xfId="30063" xr:uid="{3386B3AD-A9F2-4A12-BD8A-CD3A160ADCB3}"/>
    <cellStyle name="Normal 2 4 2 6 4 3" xfId="5928" xr:uid="{00000000-0005-0000-0000-0000BA0F0000}"/>
    <cellStyle name="Normal 2 4 2 6 4 3 2" xfId="15254" xr:uid="{9915BD2E-A62E-4439-A01C-F12872D6F312}"/>
    <cellStyle name="Normal 2 4 2 6 4 3 3" xfId="23695" xr:uid="{3E58D133-4252-4F41-A04F-1A826200FE8E}"/>
    <cellStyle name="Normal 2 4 2 6 4 3 4" xfId="32135" xr:uid="{829E1F15-E427-4DCD-A111-15FEEBA5B227}"/>
    <cellStyle name="Normal 2 4 2 6 4 4" xfId="11037" xr:uid="{9F9B32D7-DC13-4BCE-B8FB-CE3AC5CD567D}"/>
    <cellStyle name="Normal 2 4 2 6 4 5" xfId="19478" xr:uid="{022C53CB-B07A-459C-B3F7-173E1AE728E3}"/>
    <cellStyle name="Normal 2 4 2 6 4 6" xfId="27918" xr:uid="{AD3A22FF-1C3D-4035-87BE-C34DB6A56094}"/>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6D866AA3-561F-459E-BA16-D51EEC294FCC}"/>
    <cellStyle name="Normal 2 4 2 6 5 2 2 3" xfId="26253" xr:uid="{9E0C161E-78CC-4DDD-9F3C-A208FBC272CD}"/>
    <cellStyle name="Normal 2 4 2 6 5 2 2 4" xfId="34693" xr:uid="{A138F1A5-843C-4518-848C-2DE1BC7C5D64}"/>
    <cellStyle name="Normal 2 4 2 6 5 2 3" xfId="13595" xr:uid="{45D3FA26-83FC-4E6A-BF81-4DEB6CEC781B}"/>
    <cellStyle name="Normal 2 4 2 6 5 2 4" xfId="22036" xr:uid="{53A2F053-53D2-499A-A362-DFBCB3292241}"/>
    <cellStyle name="Normal 2 4 2 6 5 2 5" xfId="30476" xr:uid="{2FF4CB6E-3E50-4211-9B80-3C803213A0D3}"/>
    <cellStyle name="Normal 2 4 2 6 5 3" xfId="6341" xr:uid="{00000000-0005-0000-0000-0000BE0F0000}"/>
    <cellStyle name="Normal 2 4 2 6 5 3 2" xfId="15667" xr:uid="{1D60AD16-7B75-4B4F-A436-74AC0618F273}"/>
    <cellStyle name="Normal 2 4 2 6 5 3 3" xfId="24108" xr:uid="{F22A460A-D260-429E-9B6E-36A70DF397F8}"/>
    <cellStyle name="Normal 2 4 2 6 5 3 4" xfId="32548" xr:uid="{61C363A3-0D48-4697-B6DD-065E4E050F2C}"/>
    <cellStyle name="Normal 2 4 2 6 5 4" xfId="11450" xr:uid="{E9FC3654-DE60-4C68-9385-726AF740D18A}"/>
    <cellStyle name="Normal 2 4 2 6 5 5" xfId="19891" xr:uid="{57AD27CA-07B6-4E50-9049-C41A56D10ABA}"/>
    <cellStyle name="Normal 2 4 2 6 5 6" xfId="28331" xr:uid="{F7D9220B-D63B-46E5-A7E9-BDC4FD0A2963}"/>
    <cellStyle name="Normal 2 4 2 6 6" xfId="2471" xr:uid="{00000000-0005-0000-0000-0000BF0F0000}"/>
    <cellStyle name="Normal 2 4 2 6 6 2" xfId="6754" xr:uid="{00000000-0005-0000-0000-0000C00F0000}"/>
    <cellStyle name="Normal 2 4 2 6 6 2 2" xfId="16080" xr:uid="{C6072FEF-8418-4063-B54F-B276AC9A45F7}"/>
    <cellStyle name="Normal 2 4 2 6 6 2 3" xfId="24521" xr:uid="{8403150D-261F-45A0-8C14-BB8ECDD66334}"/>
    <cellStyle name="Normal 2 4 2 6 6 2 4" xfId="32961" xr:uid="{B6C86E19-31A1-4940-BB80-DACF479CB13A}"/>
    <cellStyle name="Normal 2 4 2 6 6 3" xfId="11863" xr:uid="{0EB56BEE-BFDC-48DE-84AB-6095390403DD}"/>
    <cellStyle name="Normal 2 4 2 6 6 4" xfId="20304" xr:uid="{D581C94B-DC48-43FB-812E-515C931B3031}"/>
    <cellStyle name="Normal 2 4 2 6 6 5" xfId="28744" xr:uid="{B3F10EC6-BCC2-4ABA-8016-3FB15DF2A6F6}"/>
    <cellStyle name="Normal 2 4 2 6 7" xfId="4688" xr:uid="{00000000-0005-0000-0000-0000C10F0000}"/>
    <cellStyle name="Normal 2 4 2 6 7 2" xfId="14014" xr:uid="{52B2A2A8-0C7E-4C5A-9B58-248747434BA8}"/>
    <cellStyle name="Normal 2 4 2 6 7 3" xfId="22455" xr:uid="{85454BF9-EED5-4661-970E-833FC09D3001}"/>
    <cellStyle name="Normal 2 4 2 6 7 4" xfId="30895" xr:uid="{92BFCAD9-96DC-446B-A53F-DA7A6EE39B67}"/>
    <cellStyle name="Normal 2 4 2 6 8" xfId="8976" xr:uid="{6DEAFF8C-68CB-4364-A161-479509F453AE}"/>
    <cellStyle name="Normal 2 4 2 6 9" xfId="9797" xr:uid="{1DA04277-BB32-4A23-907C-C81FB3AD6EF9}"/>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47794A6C-58C3-4E7B-96B1-27C0A8822DAD}"/>
    <cellStyle name="Normal 2 4 2 7 2 2 3" xfId="24999" xr:uid="{7D9A5B9C-00DE-41AE-9BDC-46E9A01775D8}"/>
    <cellStyle name="Normal 2 4 2 7 2 2 4" xfId="33439" xr:uid="{07C42B4A-0B72-4350-85DB-4F6EB9C8EDA6}"/>
    <cellStyle name="Normal 2 4 2 7 2 3" xfId="12341" xr:uid="{CC74A3EE-65F5-43E0-84B6-8516C0694C58}"/>
    <cellStyle name="Normal 2 4 2 7 2 4" xfId="20782" xr:uid="{3A51281A-99AB-4E6E-A07E-9CB08F7FD59B}"/>
    <cellStyle name="Normal 2 4 2 7 2 5" xfId="29222" xr:uid="{342EAD7D-D303-490F-8B5D-290C0B96056D}"/>
    <cellStyle name="Normal 2 4 2 7 3" xfId="5087" xr:uid="{00000000-0005-0000-0000-0000C50F0000}"/>
    <cellStyle name="Normal 2 4 2 7 3 2" xfId="14413" xr:uid="{A07A7E77-67C1-47E2-A7F9-C8DF42F56F42}"/>
    <cellStyle name="Normal 2 4 2 7 3 3" xfId="22854" xr:uid="{412855BA-45D4-4488-9B84-20A957FF64FE}"/>
    <cellStyle name="Normal 2 4 2 7 3 4" xfId="31294" xr:uid="{D613AFA2-3BCF-49D6-BE4F-46E37022E010}"/>
    <cellStyle name="Normal 2 4 2 7 4" xfId="9179" xr:uid="{D1C44CED-398E-43B3-AFA3-1E7DC60C5D92}"/>
    <cellStyle name="Normal 2 4 2 7 5" xfId="10196" xr:uid="{E8BB0CEE-48F7-425B-80FF-221E28D17268}"/>
    <cellStyle name="Normal 2 4 2 7 6" xfId="18637" xr:uid="{75545A64-10B3-4BB2-9066-54E69635326F}"/>
    <cellStyle name="Normal 2 4 2 7 7" xfId="27077" xr:uid="{153F771C-78B2-4C45-A870-1EAA01BFA6D2}"/>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8DDFECBF-C68D-478F-A06F-02F4648DD32C}"/>
    <cellStyle name="Normal 2 4 2 8 2 2 3" xfId="25412" xr:uid="{571CF638-3EC1-4BE1-B8F9-6C05A54C7480}"/>
    <cellStyle name="Normal 2 4 2 8 2 2 4" xfId="33852" xr:uid="{DCE777B4-F37E-46AE-BC95-6F252BBEA0FD}"/>
    <cellStyle name="Normal 2 4 2 8 2 3" xfId="12754" xr:uid="{C2162ED8-8C74-45CE-AE50-F57B86F3C20C}"/>
    <cellStyle name="Normal 2 4 2 8 2 4" xfId="21195" xr:uid="{A1FD20A2-0156-44C4-9CF2-2B6FC8826C8B}"/>
    <cellStyle name="Normal 2 4 2 8 2 5" xfId="29635" xr:uid="{7A890C65-E05E-41C3-86C3-6E5C903E3087}"/>
    <cellStyle name="Normal 2 4 2 8 3" xfId="5500" xr:uid="{00000000-0005-0000-0000-0000C90F0000}"/>
    <cellStyle name="Normal 2 4 2 8 3 2" xfId="14826" xr:uid="{2B522442-50B0-4A1B-B7A3-2DDC2BB33BCE}"/>
    <cellStyle name="Normal 2 4 2 8 3 3" xfId="23267" xr:uid="{43A32B5D-76F6-42B1-B86B-03EBE32933E8}"/>
    <cellStyle name="Normal 2 4 2 8 3 4" xfId="31707" xr:uid="{3155287B-731A-4886-8C69-237870B8169F}"/>
    <cellStyle name="Normal 2 4 2 8 4" xfId="10609" xr:uid="{5BF6FFF3-BE67-4E73-B137-6AA343FE6A97}"/>
    <cellStyle name="Normal 2 4 2 8 5" xfId="19050" xr:uid="{2D83BC8E-0EC0-43CB-93A2-AABA18123CFF}"/>
    <cellStyle name="Normal 2 4 2 8 6" xfId="27490" xr:uid="{4BC6FC27-4750-4DDF-B9E7-3E76BBCE1F78}"/>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3FC25EA2-9E7C-4511-A387-4413A537A275}"/>
    <cellStyle name="Normal 2 4 2 9 2 2 3" xfId="25825" xr:uid="{86D5E0F6-2DAE-4186-8D46-48D6796A1A72}"/>
    <cellStyle name="Normal 2 4 2 9 2 2 4" xfId="34265" xr:uid="{FACE2894-CD9A-4FD2-8FB3-97BC98B189A7}"/>
    <cellStyle name="Normal 2 4 2 9 2 3" xfId="13167" xr:uid="{39AA490C-F1F3-44C5-9B02-356D5B41908E}"/>
    <cellStyle name="Normal 2 4 2 9 2 4" xfId="21608" xr:uid="{F5456744-6F7B-4FA3-9112-F968F51AA622}"/>
    <cellStyle name="Normal 2 4 2 9 2 5" xfId="30048" xr:uid="{0408DFE0-C2E2-4551-B9E4-C2B4BC633D34}"/>
    <cellStyle name="Normal 2 4 2 9 3" xfId="5913" xr:uid="{00000000-0005-0000-0000-0000CD0F0000}"/>
    <cellStyle name="Normal 2 4 2 9 3 2" xfId="15239" xr:uid="{DED64122-FF16-473D-812C-3AC8DC4113BB}"/>
    <cellStyle name="Normal 2 4 2 9 3 3" xfId="23680" xr:uid="{346BD14B-44F9-4BAA-862C-9AB446842A4C}"/>
    <cellStyle name="Normal 2 4 2 9 3 4" xfId="32120" xr:uid="{03FE8793-1CC5-412F-B5B7-E76C9C3A350D}"/>
    <cellStyle name="Normal 2 4 2 9 4" xfId="11022" xr:uid="{121BCEDD-2E28-4D37-A06A-E67379B0EDCF}"/>
    <cellStyle name="Normal 2 4 2 9 5" xfId="19463" xr:uid="{DD6DEFC9-89D0-4CC9-BEF8-F99CB0444534}"/>
    <cellStyle name="Normal 2 4 2 9 6" xfId="27903" xr:uid="{298F01FA-FAF7-43F0-A48E-2890A5BE197A}"/>
    <cellStyle name="Normal 2 4 3" xfId="296" xr:uid="{00000000-0005-0000-0000-0000CE0F0000}"/>
    <cellStyle name="Normal 2 4 3 10" xfId="9798" xr:uid="{1B21A599-DAD1-44A0-A49F-499EBEFE8CC7}"/>
    <cellStyle name="Normal 2 4 3 11" xfId="18239" xr:uid="{9A00F14A-88B3-418B-8511-2CC212CC7455}"/>
    <cellStyle name="Normal 2 4 3 12" xfId="26679" xr:uid="{DDED7485-DCED-4A42-8D5B-04A680CB34CE}"/>
    <cellStyle name="Normal 2 4 3 2" xfId="297" xr:uid="{00000000-0005-0000-0000-0000CF0F0000}"/>
    <cellStyle name="Normal 2 4 3 3" xfId="298" xr:uid="{00000000-0005-0000-0000-0000D00F0000}"/>
    <cellStyle name="Normal 2 4 3 3 10" xfId="8814" xr:uid="{F78EFD99-FCC5-4915-ACA3-DFC3FC0D45A5}"/>
    <cellStyle name="Normal 2 4 3 3 11" xfId="9799" xr:uid="{83EB7C0E-A054-4E82-88F1-8D6106D45697}"/>
    <cellStyle name="Normal 2 4 3 3 12" xfId="18240" xr:uid="{73D1C0A8-4C7E-4922-AA24-D34E39D2C024}"/>
    <cellStyle name="Normal 2 4 3 3 13" xfId="26680" xr:uid="{527E5731-11B9-479F-A0C5-8B28D0CE1C61}"/>
    <cellStyle name="Normal 2 4 3 3 2" xfId="299" xr:uid="{00000000-0005-0000-0000-0000D10F0000}"/>
    <cellStyle name="Normal 2 4 3 3 2 10" xfId="9800" xr:uid="{244E0C47-3A38-4107-B8E9-92C2E437DA93}"/>
    <cellStyle name="Normal 2 4 3 3 2 11" xfId="18241" xr:uid="{7063C672-59D7-4251-A71D-BF1EB3A75058}"/>
    <cellStyle name="Normal 2 4 3 3 2 12" xfId="26681" xr:uid="{B1DA4BD4-3657-4837-AC2E-716BDA32C7D0}"/>
    <cellStyle name="Normal 2 4 3 3 2 2" xfId="300" xr:uid="{00000000-0005-0000-0000-0000D20F0000}"/>
    <cellStyle name="Normal 2 4 3 3 2 2 10" xfId="18242" xr:uid="{2ECA1FFB-CE24-4C7F-893F-8CDC7A98E2B1}"/>
    <cellStyle name="Normal 2 4 3 3 2 2 11" xfId="26682" xr:uid="{C5BBCDC2-6D2A-45D8-8FDF-B492BCE5FDAD}"/>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55FE3B65-D413-48F6-B9D5-BE6DD58EEABF}"/>
    <cellStyle name="Normal 2 4 3 3 2 2 2 2 2 3" xfId="25018" xr:uid="{B23626F0-C3D7-473C-8B73-927136067E45}"/>
    <cellStyle name="Normal 2 4 3 3 2 2 2 2 2 4" xfId="33458" xr:uid="{3AA4400B-857D-49B9-B72D-CE8FA70D9C83}"/>
    <cellStyle name="Normal 2 4 3 3 2 2 2 2 3" xfId="12360" xr:uid="{62BB243A-4DDA-4249-A311-54699D87F406}"/>
    <cellStyle name="Normal 2 4 3 3 2 2 2 2 4" xfId="20801" xr:uid="{29104F11-318C-40AD-984B-D0F75D3B1501}"/>
    <cellStyle name="Normal 2 4 3 3 2 2 2 2 5" xfId="29241" xr:uid="{64CB498C-E066-4AB5-919C-F58F1AB792AB}"/>
    <cellStyle name="Normal 2 4 3 3 2 2 2 3" xfId="5106" xr:uid="{00000000-0005-0000-0000-0000D60F0000}"/>
    <cellStyle name="Normal 2 4 3 3 2 2 2 3 2" xfId="14432" xr:uid="{2B7DAFA6-F405-46A0-AE72-5364DD94391E}"/>
    <cellStyle name="Normal 2 4 3 3 2 2 2 3 3" xfId="22873" xr:uid="{9CF4520F-8684-4D79-8919-79E9AD533A67}"/>
    <cellStyle name="Normal 2 4 3 3 2 2 2 3 4" xfId="31313" xr:uid="{CCB9515F-6952-4C1A-B6DF-1ACB4D242CC5}"/>
    <cellStyle name="Normal 2 4 3 3 2 2 2 4" xfId="9549" xr:uid="{EA88B7BC-E37D-4688-A768-0D7FE5EF9F42}"/>
    <cellStyle name="Normal 2 4 3 3 2 2 2 5" xfId="10215" xr:uid="{A2728D28-1683-4DE5-87F6-E667CB1121AB}"/>
    <cellStyle name="Normal 2 4 3 3 2 2 2 6" xfId="18656" xr:uid="{EE13F420-04D5-409A-9142-9C2DEF1F2898}"/>
    <cellStyle name="Normal 2 4 3 3 2 2 2 7" xfId="27096" xr:uid="{0FC0F41D-E3DC-4AF9-B6D7-AAE8B8D66CC5}"/>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583CACF6-E2F7-46B4-890B-55446E8DF42D}"/>
    <cellStyle name="Normal 2 4 3 3 2 2 3 2 2 3" xfId="25431" xr:uid="{A0D21E91-74B0-4E51-9ADB-2420B6EF1D97}"/>
    <cellStyle name="Normal 2 4 3 3 2 2 3 2 2 4" xfId="33871" xr:uid="{3301C93A-6C0D-4C75-B9DC-8063352E737F}"/>
    <cellStyle name="Normal 2 4 3 3 2 2 3 2 3" xfId="12773" xr:uid="{A5A8AFF6-9706-4EBC-BCE7-BADDBF10C99F}"/>
    <cellStyle name="Normal 2 4 3 3 2 2 3 2 4" xfId="21214" xr:uid="{63B4F316-CF2D-4D29-9C46-F8CB3ABD5D5E}"/>
    <cellStyle name="Normal 2 4 3 3 2 2 3 2 5" xfId="29654" xr:uid="{CD122971-A374-4F41-884D-E91F42C9E303}"/>
    <cellStyle name="Normal 2 4 3 3 2 2 3 3" xfId="5519" xr:uid="{00000000-0005-0000-0000-0000DA0F0000}"/>
    <cellStyle name="Normal 2 4 3 3 2 2 3 3 2" xfId="14845" xr:uid="{90F75953-CE61-4E10-ABEE-0DB7D614344F}"/>
    <cellStyle name="Normal 2 4 3 3 2 2 3 3 3" xfId="23286" xr:uid="{A81B4998-2EA7-4981-B279-8543A0D5EAE1}"/>
    <cellStyle name="Normal 2 4 3 3 2 2 3 3 4" xfId="31726" xr:uid="{8D8AC9A7-4712-4F5C-88C5-223E54599DF9}"/>
    <cellStyle name="Normal 2 4 3 3 2 2 3 4" xfId="10628" xr:uid="{D887B630-28B2-48A7-ADBA-E25A88A63FCA}"/>
    <cellStyle name="Normal 2 4 3 3 2 2 3 5" xfId="19069" xr:uid="{47615D25-47A1-4330-8EFC-6E3BAEF88836}"/>
    <cellStyle name="Normal 2 4 3 3 2 2 3 6" xfId="27509" xr:uid="{3FBE1D6C-E3FE-4B49-A43B-A84B3FD7022E}"/>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A6A2DCF5-E3DA-438E-91C3-AA2E3CA8C996}"/>
    <cellStyle name="Normal 2 4 3 3 2 2 4 2 2 3" xfId="25844" xr:uid="{CDDEE146-D0B3-4C17-BBFB-146F978947E6}"/>
    <cellStyle name="Normal 2 4 3 3 2 2 4 2 2 4" xfId="34284" xr:uid="{00E7E7B4-D675-4A57-9788-2A64CA0148DA}"/>
    <cellStyle name="Normal 2 4 3 3 2 2 4 2 3" xfId="13186" xr:uid="{D782F758-CFE3-4CFF-8705-BB1316184CB3}"/>
    <cellStyle name="Normal 2 4 3 3 2 2 4 2 4" xfId="21627" xr:uid="{F7D464C2-69F5-4460-A609-B92ACC8008C5}"/>
    <cellStyle name="Normal 2 4 3 3 2 2 4 2 5" xfId="30067" xr:uid="{561E318A-E3BA-497E-856C-D460F582D13F}"/>
    <cellStyle name="Normal 2 4 3 3 2 2 4 3" xfId="5932" xr:uid="{00000000-0005-0000-0000-0000DE0F0000}"/>
    <cellStyle name="Normal 2 4 3 3 2 2 4 3 2" xfId="15258" xr:uid="{69A1B72D-723E-4703-9F42-AC4BF9AA7B8F}"/>
    <cellStyle name="Normal 2 4 3 3 2 2 4 3 3" xfId="23699" xr:uid="{A3827550-23BF-4036-8F5A-D4D6866059F0}"/>
    <cellStyle name="Normal 2 4 3 3 2 2 4 3 4" xfId="32139" xr:uid="{C8F115E0-6849-4702-8BBF-36944E502192}"/>
    <cellStyle name="Normal 2 4 3 3 2 2 4 4" xfId="11041" xr:uid="{E09C7944-8AC1-4FEF-9851-1B09912BE63E}"/>
    <cellStyle name="Normal 2 4 3 3 2 2 4 5" xfId="19482" xr:uid="{5C4AD584-20D6-4002-901A-1BD71B1B5624}"/>
    <cellStyle name="Normal 2 4 3 3 2 2 4 6" xfId="27922" xr:uid="{A452B8FE-6D2C-4F8D-9859-0F784C240DBD}"/>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D26A2DD0-4AAC-4962-B393-60F4054E9928}"/>
    <cellStyle name="Normal 2 4 3 3 2 2 5 2 2 3" xfId="26257" xr:uid="{2DE828F6-10B9-453A-84F8-DE831A666314}"/>
    <cellStyle name="Normal 2 4 3 3 2 2 5 2 2 4" xfId="34697" xr:uid="{DA64D85E-7248-4B1C-B455-97E81B7CF045}"/>
    <cellStyle name="Normal 2 4 3 3 2 2 5 2 3" xfId="13599" xr:uid="{342AF240-3F91-461C-817C-7ABDB608E16E}"/>
    <cellStyle name="Normal 2 4 3 3 2 2 5 2 4" xfId="22040" xr:uid="{43978DFF-DE0D-45C9-BE62-81C5D1C60270}"/>
    <cellStyle name="Normal 2 4 3 3 2 2 5 2 5" xfId="30480" xr:uid="{755264A1-1320-4736-9655-6E6637D33FCF}"/>
    <cellStyle name="Normal 2 4 3 3 2 2 5 3" xfId="6345" xr:uid="{00000000-0005-0000-0000-0000E20F0000}"/>
    <cellStyle name="Normal 2 4 3 3 2 2 5 3 2" xfId="15671" xr:uid="{40C1F901-58F1-478D-9753-AB36B46A6374}"/>
    <cellStyle name="Normal 2 4 3 3 2 2 5 3 3" xfId="24112" xr:uid="{31A01253-C106-4747-8773-0C72132486BE}"/>
    <cellStyle name="Normal 2 4 3 3 2 2 5 3 4" xfId="32552" xr:uid="{42909007-F06E-4940-B8A9-217263E655D7}"/>
    <cellStyle name="Normal 2 4 3 3 2 2 5 4" xfId="11454" xr:uid="{1AB817CA-1964-4F3D-8725-1FDA6B7AB6D6}"/>
    <cellStyle name="Normal 2 4 3 3 2 2 5 5" xfId="19895" xr:uid="{F1F44D0B-DB1E-4865-824E-CC0BCB910558}"/>
    <cellStyle name="Normal 2 4 3 3 2 2 5 6" xfId="28335" xr:uid="{D26F260D-B522-47AA-B160-D479A85B8490}"/>
    <cellStyle name="Normal 2 4 3 3 2 2 6" xfId="2475" xr:uid="{00000000-0005-0000-0000-0000E30F0000}"/>
    <cellStyle name="Normal 2 4 3 3 2 2 6 2" xfId="6758" xr:uid="{00000000-0005-0000-0000-0000E40F0000}"/>
    <cellStyle name="Normal 2 4 3 3 2 2 6 2 2" xfId="16084" xr:uid="{63AE8158-4D57-498F-9284-D2699A1B7074}"/>
    <cellStyle name="Normal 2 4 3 3 2 2 6 2 3" xfId="24525" xr:uid="{E76B3629-35AA-42B8-8CC0-93A2AB66B315}"/>
    <cellStyle name="Normal 2 4 3 3 2 2 6 2 4" xfId="32965" xr:uid="{F3C692AC-7696-4943-A7B1-296EC903B6C8}"/>
    <cellStyle name="Normal 2 4 3 3 2 2 6 3" xfId="11867" xr:uid="{92E0E526-6E2A-4E29-BB14-834B9147D334}"/>
    <cellStyle name="Normal 2 4 3 3 2 2 6 4" xfId="20308" xr:uid="{6420F512-4032-4FC1-8462-1266452998AD}"/>
    <cellStyle name="Normal 2 4 3 3 2 2 6 5" xfId="28748" xr:uid="{455D9C5A-8C7C-401E-BE0C-9BEBFF2A24C7}"/>
    <cellStyle name="Normal 2 4 3 3 2 2 7" xfId="4692" xr:uid="{00000000-0005-0000-0000-0000E50F0000}"/>
    <cellStyle name="Normal 2 4 3 3 2 2 7 2" xfId="14018" xr:uid="{BAB83DCB-DA24-4196-AF30-D74CFE794639}"/>
    <cellStyle name="Normal 2 4 3 3 2 2 7 3" xfId="22459" xr:uid="{6217DBD4-40F2-42EE-AD74-48F29B332EF9}"/>
    <cellStyle name="Normal 2 4 3 3 2 2 7 4" xfId="30899" xr:uid="{7822A30B-F903-4210-88C7-4C4E26DEA7D4}"/>
    <cellStyle name="Normal 2 4 3 3 2 2 8" xfId="9124" xr:uid="{1FF2B195-09C8-4D7B-A363-E8AF809A669B}"/>
    <cellStyle name="Normal 2 4 3 3 2 2 9" xfId="9801" xr:uid="{98E0FDCC-2C95-402C-B211-EB96E06132DA}"/>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C1F174F0-7C2B-4689-AD4E-ED7DFFB61926}"/>
    <cellStyle name="Normal 2 4 3 3 2 3 2 2 3" xfId="25017" xr:uid="{E08DA1A3-A807-4F0C-A0F5-39918119C02B}"/>
    <cellStyle name="Normal 2 4 3 3 2 3 2 2 4" xfId="33457" xr:uid="{19AEAC66-946C-4157-94C7-2F4ECEA85E10}"/>
    <cellStyle name="Normal 2 4 3 3 2 3 2 3" xfId="12359" xr:uid="{5A7AB19B-5DC4-47D6-AC73-FFEDC3012909}"/>
    <cellStyle name="Normal 2 4 3 3 2 3 2 4" xfId="20800" xr:uid="{CBA54303-FD55-4CCA-85AE-B2F2553F06BA}"/>
    <cellStyle name="Normal 2 4 3 3 2 3 2 5" xfId="29240" xr:uid="{182DCF7F-13C5-4E7C-AAAA-D755E9019A37}"/>
    <cellStyle name="Normal 2 4 3 3 2 3 3" xfId="5105" xr:uid="{00000000-0005-0000-0000-0000E90F0000}"/>
    <cellStyle name="Normal 2 4 3 3 2 3 3 2" xfId="14431" xr:uid="{03941BF9-42E8-47B7-9683-230EF30A888B}"/>
    <cellStyle name="Normal 2 4 3 3 2 3 3 3" xfId="22872" xr:uid="{F274FC72-B8D4-4D4D-94CA-E100F8788D28}"/>
    <cellStyle name="Normal 2 4 3 3 2 3 3 4" xfId="31312" xr:uid="{3F6C8AEA-2E55-4272-83D5-0489EDA0D443}"/>
    <cellStyle name="Normal 2 4 3 3 2 3 4" xfId="9342" xr:uid="{41454CF9-47C1-4E8A-868A-8F39341308EB}"/>
    <cellStyle name="Normal 2 4 3 3 2 3 5" xfId="10214" xr:uid="{0F867CED-B5D8-4D7A-957D-24586C5ED659}"/>
    <cellStyle name="Normal 2 4 3 3 2 3 6" xfId="18655" xr:uid="{0EF5D627-2C28-43A1-AC82-DC628128C5FD}"/>
    <cellStyle name="Normal 2 4 3 3 2 3 7" xfId="27095" xr:uid="{D6AB2A06-8C68-4E17-832C-421106B7DBD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0ADF9F99-72FD-4F86-B62D-3FDBAC427137}"/>
    <cellStyle name="Normal 2 4 3 3 2 4 2 2 3" xfId="25430" xr:uid="{912E909E-5D78-4D50-9A72-0532CA88E586}"/>
    <cellStyle name="Normal 2 4 3 3 2 4 2 2 4" xfId="33870" xr:uid="{9F83CEBB-25D4-4936-B9D2-2B6B18FD1FB4}"/>
    <cellStyle name="Normal 2 4 3 3 2 4 2 3" xfId="12772" xr:uid="{007703B2-F9B5-4619-B952-7D057FF7577A}"/>
    <cellStyle name="Normal 2 4 3 3 2 4 2 4" xfId="21213" xr:uid="{3127ADA6-74D9-416E-8FED-AE0DEB032CF3}"/>
    <cellStyle name="Normal 2 4 3 3 2 4 2 5" xfId="29653" xr:uid="{FF968809-2C86-4DAA-8814-59C47A2DC1FF}"/>
    <cellStyle name="Normal 2 4 3 3 2 4 3" xfId="5518" xr:uid="{00000000-0005-0000-0000-0000ED0F0000}"/>
    <cellStyle name="Normal 2 4 3 3 2 4 3 2" xfId="14844" xr:uid="{30B78015-4911-4CCF-A3B0-1EDBFDF0B5F3}"/>
    <cellStyle name="Normal 2 4 3 3 2 4 3 3" xfId="23285" xr:uid="{E75D0EF7-4D27-45E6-8C4D-D39F0D8798F9}"/>
    <cellStyle name="Normal 2 4 3 3 2 4 3 4" xfId="31725" xr:uid="{12459173-6A35-41D9-BA00-607DBA7647F0}"/>
    <cellStyle name="Normal 2 4 3 3 2 4 4" xfId="10627" xr:uid="{EC7F3818-C342-49D6-B988-8225641DA521}"/>
    <cellStyle name="Normal 2 4 3 3 2 4 5" xfId="19068" xr:uid="{E3B0FAD4-BBE1-42F0-8874-6B28FE105453}"/>
    <cellStyle name="Normal 2 4 3 3 2 4 6" xfId="27508" xr:uid="{CC0CCA7F-AEF3-4605-BFF9-94FC28671385}"/>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79B19456-5764-4442-9D7C-8A9E07B1394B}"/>
    <cellStyle name="Normal 2 4 3 3 2 5 2 2 3" xfId="25843" xr:uid="{B97E58F8-5336-469B-95BD-C0B0FCF01452}"/>
    <cellStyle name="Normal 2 4 3 3 2 5 2 2 4" xfId="34283" xr:uid="{41BABCA2-F69A-4482-B0EE-183808F47562}"/>
    <cellStyle name="Normal 2 4 3 3 2 5 2 3" xfId="13185" xr:uid="{86BD404B-29E7-4301-A5D9-A85EC52CE0EB}"/>
    <cellStyle name="Normal 2 4 3 3 2 5 2 4" xfId="21626" xr:uid="{E5BEEBE7-9583-4B12-9FC5-18A414A688B0}"/>
    <cellStyle name="Normal 2 4 3 3 2 5 2 5" xfId="30066" xr:uid="{16C9F784-E82A-43E1-9464-D86C2E7D5CFB}"/>
    <cellStyle name="Normal 2 4 3 3 2 5 3" xfId="5931" xr:uid="{00000000-0005-0000-0000-0000F10F0000}"/>
    <cellStyle name="Normal 2 4 3 3 2 5 3 2" xfId="15257" xr:uid="{CE6EC694-3DFF-4FC0-9B0B-B3F5BFC6CCDB}"/>
    <cellStyle name="Normal 2 4 3 3 2 5 3 3" xfId="23698" xr:uid="{781522E6-1F40-44AF-BD39-34C2694360F2}"/>
    <cellStyle name="Normal 2 4 3 3 2 5 3 4" xfId="32138" xr:uid="{B488858F-367F-42FE-B055-EBF25A9EB95E}"/>
    <cellStyle name="Normal 2 4 3 3 2 5 4" xfId="11040" xr:uid="{E584BE02-1287-4609-A4B5-28837C8A3786}"/>
    <cellStyle name="Normal 2 4 3 3 2 5 5" xfId="19481" xr:uid="{2C7C20D8-4FDC-49BA-85E1-92371A52B9E9}"/>
    <cellStyle name="Normal 2 4 3 3 2 5 6" xfId="27921" xr:uid="{DB3DC4F4-AA39-47CE-9042-F1B2F174D154}"/>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BF47FAA5-99B0-45C9-81C4-89F664770495}"/>
    <cellStyle name="Normal 2 4 3 3 2 6 2 2 3" xfId="26256" xr:uid="{17A161FB-34F8-4AA9-8DDF-E55278DBE003}"/>
    <cellStyle name="Normal 2 4 3 3 2 6 2 2 4" xfId="34696" xr:uid="{76BACEEB-F3BB-497A-9ED0-2DD20E9E4F48}"/>
    <cellStyle name="Normal 2 4 3 3 2 6 2 3" xfId="13598" xr:uid="{3C84327A-DC7A-464A-B661-8E73654279AD}"/>
    <cellStyle name="Normal 2 4 3 3 2 6 2 4" xfId="22039" xr:uid="{88A4EB11-9FFB-480F-9764-9E5B3E041C3F}"/>
    <cellStyle name="Normal 2 4 3 3 2 6 2 5" xfId="30479" xr:uid="{A277B420-B0E9-467A-8FC9-1B65BEF6CDBC}"/>
    <cellStyle name="Normal 2 4 3 3 2 6 3" xfId="6344" xr:uid="{00000000-0005-0000-0000-0000F50F0000}"/>
    <cellStyle name="Normal 2 4 3 3 2 6 3 2" xfId="15670" xr:uid="{F966D76E-B439-4FB8-B97F-E530B4CD34C1}"/>
    <cellStyle name="Normal 2 4 3 3 2 6 3 3" xfId="24111" xr:uid="{CFE249EC-D592-4267-9270-73C3150FE3EB}"/>
    <cellStyle name="Normal 2 4 3 3 2 6 3 4" xfId="32551" xr:uid="{A369F6AB-0813-44C9-94AE-56FFB6772D27}"/>
    <cellStyle name="Normal 2 4 3 3 2 6 4" xfId="11453" xr:uid="{CB402E0A-C60C-4215-A8D6-12AF5D542925}"/>
    <cellStyle name="Normal 2 4 3 3 2 6 5" xfId="19894" xr:uid="{0E174A76-4082-41F9-A9A2-0E1815FB57C6}"/>
    <cellStyle name="Normal 2 4 3 3 2 6 6" xfId="28334" xr:uid="{157A9088-F1AE-4E55-BE67-27D4453C75E9}"/>
    <cellStyle name="Normal 2 4 3 3 2 7" xfId="2474" xr:uid="{00000000-0005-0000-0000-0000F60F0000}"/>
    <cellStyle name="Normal 2 4 3 3 2 7 2" xfId="6757" xr:uid="{00000000-0005-0000-0000-0000F70F0000}"/>
    <cellStyle name="Normal 2 4 3 3 2 7 2 2" xfId="16083" xr:uid="{EF5AE672-9ADD-424C-AE1D-458447140FC9}"/>
    <cellStyle name="Normal 2 4 3 3 2 7 2 3" xfId="24524" xr:uid="{949B0F00-AC9C-4F44-9F71-14E5FCC41D31}"/>
    <cellStyle name="Normal 2 4 3 3 2 7 2 4" xfId="32964" xr:uid="{581BA722-D2CA-43E5-8A20-5408F36E8C38}"/>
    <cellStyle name="Normal 2 4 3 3 2 7 3" xfId="11866" xr:uid="{28D66549-3B92-45BF-9389-0283D7E341B5}"/>
    <cellStyle name="Normal 2 4 3 3 2 7 4" xfId="20307" xr:uid="{06A08690-64ED-45A0-BED7-56FCAA1F16D9}"/>
    <cellStyle name="Normal 2 4 3 3 2 7 5" xfId="28747" xr:uid="{68D64B6B-B7E2-413A-B652-5762E9FAEE99}"/>
    <cellStyle name="Normal 2 4 3 3 2 8" xfId="4691" xr:uid="{00000000-0005-0000-0000-0000F80F0000}"/>
    <cellStyle name="Normal 2 4 3 3 2 8 2" xfId="14017" xr:uid="{5310309E-4B11-401A-A2E0-81DA7936568B}"/>
    <cellStyle name="Normal 2 4 3 3 2 8 3" xfId="22458" xr:uid="{94F8C907-D5DB-48C1-9AB4-84D833088BED}"/>
    <cellStyle name="Normal 2 4 3 3 2 8 4" xfId="30898" xr:uid="{7A71EA52-0582-451E-9D15-C5A61C8CE999}"/>
    <cellStyle name="Normal 2 4 3 3 2 9" xfId="8917" xr:uid="{1E22693C-F4B1-4678-80B0-65CF6DC31586}"/>
    <cellStyle name="Normal 2 4 3 3 3" xfId="301" xr:uid="{00000000-0005-0000-0000-0000F90F0000}"/>
    <cellStyle name="Normal 2 4 3 3 3 10" xfId="18243" xr:uid="{33AF01A1-D955-43DE-85FE-41BEE81AD09D}"/>
    <cellStyle name="Normal 2 4 3 3 3 11" xfId="26683" xr:uid="{ED974B6F-EB53-456E-9DAF-711363D09627}"/>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277C9186-FD51-488B-B982-D1E07461B586}"/>
    <cellStyle name="Normal 2 4 3 3 3 2 2 2 3" xfId="25019" xr:uid="{5424DF37-E7F6-4F7E-A3E4-10C82EF4A14F}"/>
    <cellStyle name="Normal 2 4 3 3 3 2 2 2 4" xfId="33459" xr:uid="{C443D226-EF03-4EA2-99B5-5D09C12B8222}"/>
    <cellStyle name="Normal 2 4 3 3 3 2 2 3" xfId="12361" xr:uid="{7196C0F3-D6BF-4B87-94AA-48D5C299F8B3}"/>
    <cellStyle name="Normal 2 4 3 3 3 2 2 4" xfId="20802" xr:uid="{C4571C2F-0AEF-4AB5-AF41-EC4F3FF64080}"/>
    <cellStyle name="Normal 2 4 3 3 3 2 2 5" xfId="29242" xr:uid="{CB9BE140-C762-4758-A406-834E99898A06}"/>
    <cellStyle name="Normal 2 4 3 3 3 2 3" xfId="5107" xr:uid="{00000000-0005-0000-0000-0000FD0F0000}"/>
    <cellStyle name="Normal 2 4 3 3 3 2 3 2" xfId="14433" xr:uid="{5D3220CA-B28F-41DD-B762-F5015AD2051C}"/>
    <cellStyle name="Normal 2 4 3 3 3 2 3 3" xfId="22874" xr:uid="{EA513091-27ED-474C-8E77-4AB60BC320B8}"/>
    <cellStyle name="Normal 2 4 3 3 3 2 3 4" xfId="31314" xr:uid="{77F53E99-1223-4C8D-98E3-86F743244023}"/>
    <cellStyle name="Normal 2 4 3 3 3 2 4" xfId="9446" xr:uid="{7ACDBBC8-943F-41CF-9832-96F56BCB3985}"/>
    <cellStyle name="Normal 2 4 3 3 3 2 5" xfId="10216" xr:uid="{29BE13B2-01B3-4D44-9991-753774C31B50}"/>
    <cellStyle name="Normal 2 4 3 3 3 2 6" xfId="18657" xr:uid="{5E600C04-14C7-42B2-BBB0-F68BC9511ACB}"/>
    <cellStyle name="Normal 2 4 3 3 3 2 7" xfId="27097" xr:uid="{D9149346-E320-4089-89E6-748DB59D9B07}"/>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03CB274C-D385-4903-9C36-014BB66A01A1}"/>
    <cellStyle name="Normal 2 4 3 3 3 3 2 2 3" xfId="25432" xr:uid="{4B90D613-ABC6-4B63-90A8-3F83DB9850EA}"/>
    <cellStyle name="Normal 2 4 3 3 3 3 2 2 4" xfId="33872" xr:uid="{BA70DF4B-146C-4A06-AAE6-00A801FF8B7E}"/>
    <cellStyle name="Normal 2 4 3 3 3 3 2 3" xfId="12774" xr:uid="{3DC8721E-07DD-4742-9C44-0867547566E3}"/>
    <cellStyle name="Normal 2 4 3 3 3 3 2 4" xfId="21215" xr:uid="{A9F40174-CDD1-41E6-8409-B97640BC7BA1}"/>
    <cellStyle name="Normal 2 4 3 3 3 3 2 5" xfId="29655" xr:uid="{C907DBA6-101C-4A1D-9BF5-824A6E6FDDA8}"/>
    <cellStyle name="Normal 2 4 3 3 3 3 3" xfId="5520" xr:uid="{00000000-0005-0000-0000-000001100000}"/>
    <cellStyle name="Normal 2 4 3 3 3 3 3 2" xfId="14846" xr:uid="{2355E580-F139-4837-BD87-005100A382B8}"/>
    <cellStyle name="Normal 2 4 3 3 3 3 3 3" xfId="23287" xr:uid="{1D12DC9D-39C2-4D66-BA2F-D46401A055AB}"/>
    <cellStyle name="Normal 2 4 3 3 3 3 3 4" xfId="31727" xr:uid="{B9443C3C-A3DA-45C6-88AD-F661F2EAAE22}"/>
    <cellStyle name="Normal 2 4 3 3 3 3 4" xfId="10629" xr:uid="{E8CAB747-CB9C-4014-9E74-5DBD3DF93278}"/>
    <cellStyle name="Normal 2 4 3 3 3 3 5" xfId="19070" xr:uid="{FF3AD380-9D5B-48A7-84C1-5FBEC3B3ABD1}"/>
    <cellStyle name="Normal 2 4 3 3 3 3 6" xfId="27510" xr:uid="{7F7E5905-A032-4230-89B3-8E78E1FBDDC7}"/>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E5081AAB-4900-4917-B060-7FADC1C6A0C1}"/>
    <cellStyle name="Normal 2 4 3 3 3 4 2 2 3" xfId="25845" xr:uid="{59A08700-283D-402B-AE42-CD6CEAF04BC8}"/>
    <cellStyle name="Normal 2 4 3 3 3 4 2 2 4" xfId="34285" xr:uid="{12061ADF-D350-4442-A45E-479ECE92E16D}"/>
    <cellStyle name="Normal 2 4 3 3 3 4 2 3" xfId="13187" xr:uid="{04DA8F45-EAD1-426D-93AC-461EF4232752}"/>
    <cellStyle name="Normal 2 4 3 3 3 4 2 4" xfId="21628" xr:uid="{41141406-516C-4E2F-AADE-F5ACA3A12267}"/>
    <cellStyle name="Normal 2 4 3 3 3 4 2 5" xfId="30068" xr:uid="{A75678BD-1381-4877-8105-4BD022D93D89}"/>
    <cellStyle name="Normal 2 4 3 3 3 4 3" xfId="5933" xr:uid="{00000000-0005-0000-0000-000005100000}"/>
    <cellStyle name="Normal 2 4 3 3 3 4 3 2" xfId="15259" xr:uid="{665FAD34-86C2-4938-9B62-4DB4F9698BA6}"/>
    <cellStyle name="Normal 2 4 3 3 3 4 3 3" xfId="23700" xr:uid="{C27F6ABF-70A3-43FC-A7A9-660AFE78E0FB}"/>
    <cellStyle name="Normal 2 4 3 3 3 4 3 4" xfId="32140" xr:uid="{3246C293-C4A6-478D-9130-853818E63774}"/>
    <cellStyle name="Normal 2 4 3 3 3 4 4" xfId="11042" xr:uid="{4AE2242F-C814-48CE-814F-C56A0AFC1D17}"/>
    <cellStyle name="Normal 2 4 3 3 3 4 5" xfId="19483" xr:uid="{47448B87-DA76-427F-9B74-317AD4519EB2}"/>
    <cellStyle name="Normal 2 4 3 3 3 4 6" xfId="27923" xr:uid="{D5285A1B-B099-4480-B821-E51E26BB5D01}"/>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4DC88586-4F0A-477D-A8B4-4F38F2E257FC}"/>
    <cellStyle name="Normal 2 4 3 3 3 5 2 2 3" xfId="26258" xr:uid="{05F6DB49-4003-4AA9-86DF-3EA9011A2014}"/>
    <cellStyle name="Normal 2 4 3 3 3 5 2 2 4" xfId="34698" xr:uid="{E0DBC970-42A8-4750-A712-005B545A10E4}"/>
    <cellStyle name="Normal 2 4 3 3 3 5 2 3" xfId="13600" xr:uid="{E22E9B8F-D9F4-4245-A5F9-CC005B2DBBCF}"/>
    <cellStyle name="Normal 2 4 3 3 3 5 2 4" xfId="22041" xr:uid="{E73F9793-BB12-48A8-B2AB-DF5A42C41507}"/>
    <cellStyle name="Normal 2 4 3 3 3 5 2 5" xfId="30481" xr:uid="{6254A765-AA76-4109-8CE2-9EF4C106D97E}"/>
    <cellStyle name="Normal 2 4 3 3 3 5 3" xfId="6346" xr:uid="{00000000-0005-0000-0000-000009100000}"/>
    <cellStyle name="Normal 2 4 3 3 3 5 3 2" xfId="15672" xr:uid="{559208A9-A9D3-4093-9CD7-8B80A081208A}"/>
    <cellStyle name="Normal 2 4 3 3 3 5 3 3" xfId="24113" xr:uid="{21E1339E-EFA4-4E6E-A5D1-80923C0E25EC}"/>
    <cellStyle name="Normal 2 4 3 3 3 5 3 4" xfId="32553" xr:uid="{80C91F4C-715D-4F6C-82FB-0D44AEB57620}"/>
    <cellStyle name="Normal 2 4 3 3 3 5 4" xfId="11455" xr:uid="{E1B22C57-38D5-493C-8088-AF0019AB165E}"/>
    <cellStyle name="Normal 2 4 3 3 3 5 5" xfId="19896" xr:uid="{1FB83341-943A-44ED-87D9-2AD7987CCDEE}"/>
    <cellStyle name="Normal 2 4 3 3 3 5 6" xfId="28336" xr:uid="{CB41EC70-27FA-4986-AD30-D8113A3BE2D1}"/>
    <cellStyle name="Normal 2 4 3 3 3 6" xfId="2476" xr:uid="{00000000-0005-0000-0000-00000A100000}"/>
    <cellStyle name="Normal 2 4 3 3 3 6 2" xfId="6759" xr:uid="{00000000-0005-0000-0000-00000B100000}"/>
    <cellStyle name="Normal 2 4 3 3 3 6 2 2" xfId="16085" xr:uid="{7C58A970-63D6-4C7B-9A62-B92CC82B7347}"/>
    <cellStyle name="Normal 2 4 3 3 3 6 2 3" xfId="24526" xr:uid="{B64292D5-F39C-4B80-9243-AF793746DF06}"/>
    <cellStyle name="Normal 2 4 3 3 3 6 2 4" xfId="32966" xr:uid="{185F66E4-A06C-421B-99E9-8BE010940DBC}"/>
    <cellStyle name="Normal 2 4 3 3 3 6 3" xfId="11868" xr:uid="{6EF4D23E-E659-4977-8079-293F7DAA7F00}"/>
    <cellStyle name="Normal 2 4 3 3 3 6 4" xfId="20309" xr:uid="{5B9EDAD7-E5B1-47D3-8165-2075A9523F44}"/>
    <cellStyle name="Normal 2 4 3 3 3 6 5" xfId="28749" xr:uid="{5B927DCB-DCD9-4E94-AEFE-59D947C8B415}"/>
    <cellStyle name="Normal 2 4 3 3 3 7" xfId="4693" xr:uid="{00000000-0005-0000-0000-00000C100000}"/>
    <cellStyle name="Normal 2 4 3 3 3 7 2" xfId="14019" xr:uid="{3DD61475-2D6C-4E81-BB0F-91411CE4C9CC}"/>
    <cellStyle name="Normal 2 4 3 3 3 7 3" xfId="22460" xr:uid="{9B0939AD-4BBD-4BBC-8EC0-D5CD6B80E7FC}"/>
    <cellStyle name="Normal 2 4 3 3 3 7 4" xfId="30900" xr:uid="{DD0EA105-FCB4-47F8-8F56-C35F7BFED873}"/>
    <cellStyle name="Normal 2 4 3 3 3 8" xfId="9021" xr:uid="{4EC0F035-DC07-4262-9C58-7142AC357944}"/>
    <cellStyle name="Normal 2 4 3 3 3 9" xfId="9802" xr:uid="{51B3305D-2061-4705-AFD8-F518BE7D9851}"/>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EFD23FA5-CA10-416E-9735-B667894EEB58}"/>
    <cellStyle name="Normal 2 4 3 3 4 2 2 3" xfId="25016" xr:uid="{2404D576-335A-409C-8449-B39E9644A55C}"/>
    <cellStyle name="Normal 2 4 3 3 4 2 2 4" xfId="33456" xr:uid="{A359706B-A9E6-4499-A631-060358D89956}"/>
    <cellStyle name="Normal 2 4 3 3 4 2 3" xfId="12358" xr:uid="{D6064E14-98A6-455C-8A97-B1FC9671B4A6}"/>
    <cellStyle name="Normal 2 4 3 3 4 2 4" xfId="20799" xr:uid="{4F20AB3C-399D-4655-A9ED-A6308A08EA94}"/>
    <cellStyle name="Normal 2 4 3 3 4 2 5" xfId="29239" xr:uid="{9E77D445-163C-42C0-9B46-C2069460B5EA}"/>
    <cellStyle name="Normal 2 4 3 3 4 3" xfId="5104" xr:uid="{00000000-0005-0000-0000-000010100000}"/>
    <cellStyle name="Normal 2 4 3 3 4 3 2" xfId="14430" xr:uid="{92FC6801-58FA-4562-9714-8A917B0503EA}"/>
    <cellStyle name="Normal 2 4 3 3 4 3 3" xfId="22871" xr:uid="{49158DD8-ADA9-47A4-A1DD-2FF9B4B01912}"/>
    <cellStyle name="Normal 2 4 3 3 4 3 4" xfId="31311" xr:uid="{AFFA28BE-0308-4D6B-A1E9-B7C600DEFDF9}"/>
    <cellStyle name="Normal 2 4 3 3 4 4" xfId="9239" xr:uid="{3DCBA9AF-C63D-4CA9-81B6-AC7CB7B67292}"/>
    <cellStyle name="Normal 2 4 3 3 4 5" xfId="10213" xr:uid="{ACE3044A-2AB7-4BB7-B7FE-309CF6B5E950}"/>
    <cellStyle name="Normal 2 4 3 3 4 6" xfId="18654" xr:uid="{6F7E4932-632D-4B2C-9535-2B29DC28DE46}"/>
    <cellStyle name="Normal 2 4 3 3 4 7" xfId="27094" xr:uid="{DC67BAFF-2124-409E-9BE6-48A36617C60E}"/>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742ECFEB-1F0F-4A1A-809D-A041FE199BDE}"/>
    <cellStyle name="Normal 2 4 3 3 5 2 2 3" xfId="25429" xr:uid="{119F085B-4474-4236-8FE1-2E84CB2B6BBC}"/>
    <cellStyle name="Normal 2 4 3 3 5 2 2 4" xfId="33869" xr:uid="{EC949A7A-FC81-4066-B82D-7D61D602D13A}"/>
    <cellStyle name="Normal 2 4 3 3 5 2 3" xfId="12771" xr:uid="{2FA1D7B0-2419-4DEC-A987-B90CCF483954}"/>
    <cellStyle name="Normal 2 4 3 3 5 2 4" xfId="21212" xr:uid="{1DE75601-993F-40DE-9BAA-B424C8F1AE15}"/>
    <cellStyle name="Normal 2 4 3 3 5 2 5" xfId="29652" xr:uid="{3744058D-250F-4B18-83CB-B70CD7372326}"/>
    <cellStyle name="Normal 2 4 3 3 5 3" xfId="5517" xr:uid="{00000000-0005-0000-0000-000014100000}"/>
    <cellStyle name="Normal 2 4 3 3 5 3 2" xfId="14843" xr:uid="{E54E3865-4D30-48B6-9690-CA2E2C19E492}"/>
    <cellStyle name="Normal 2 4 3 3 5 3 3" xfId="23284" xr:uid="{578157CA-6852-4FE7-A0E9-DC1D294993B2}"/>
    <cellStyle name="Normal 2 4 3 3 5 3 4" xfId="31724" xr:uid="{00751601-4683-404E-87CB-BFA4DD1E020E}"/>
    <cellStyle name="Normal 2 4 3 3 5 4" xfId="10626" xr:uid="{F221FC69-BC0D-4E3E-8FC9-889141262B17}"/>
    <cellStyle name="Normal 2 4 3 3 5 5" xfId="19067" xr:uid="{47FFA8A7-DED7-4B47-B584-D3F316B26536}"/>
    <cellStyle name="Normal 2 4 3 3 5 6" xfId="27507" xr:uid="{5C5EB819-E0F6-4BDB-BA1A-C1F05DE44BA9}"/>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B9C278BB-4DC7-4267-A6CF-2DB524963368}"/>
    <cellStyle name="Normal 2 4 3 3 6 2 2 3" xfId="25842" xr:uid="{A6314928-E3CD-4F50-9BE9-27DD140C9D01}"/>
    <cellStyle name="Normal 2 4 3 3 6 2 2 4" xfId="34282" xr:uid="{CC3CF6D9-8999-4421-8777-C194B4F42296}"/>
    <cellStyle name="Normal 2 4 3 3 6 2 3" xfId="13184" xr:uid="{6EA27231-71EC-466C-8499-3A8499E0B341}"/>
    <cellStyle name="Normal 2 4 3 3 6 2 4" xfId="21625" xr:uid="{DAA7F632-5932-41CD-B28D-F8291AD0ACE9}"/>
    <cellStyle name="Normal 2 4 3 3 6 2 5" xfId="30065" xr:uid="{4417D0CF-F5FD-42AA-8444-15F0DDCF134E}"/>
    <cellStyle name="Normal 2 4 3 3 6 3" xfId="5930" xr:uid="{00000000-0005-0000-0000-000018100000}"/>
    <cellStyle name="Normal 2 4 3 3 6 3 2" xfId="15256" xr:uid="{CED8B64B-1FFB-4FE8-97FA-50E9D5EF449F}"/>
    <cellStyle name="Normal 2 4 3 3 6 3 3" xfId="23697" xr:uid="{B3C562A1-0D2F-4867-A75A-B5C24C7867AB}"/>
    <cellStyle name="Normal 2 4 3 3 6 3 4" xfId="32137" xr:uid="{9C8299BC-6FA7-4124-84EA-7750134076F5}"/>
    <cellStyle name="Normal 2 4 3 3 6 4" xfId="11039" xr:uid="{89F433BE-9CAD-4455-BD91-B05E6758DB02}"/>
    <cellStyle name="Normal 2 4 3 3 6 5" xfId="19480" xr:uid="{32B3EF87-8F01-4369-80DB-EC4C4CF58388}"/>
    <cellStyle name="Normal 2 4 3 3 6 6" xfId="27920" xr:uid="{3FD9124D-4953-4AF1-BACF-28F53CD02CB9}"/>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10CBBAA0-001B-4AEC-818A-111783EA3748}"/>
    <cellStyle name="Normal 2 4 3 3 7 2 2 3" xfId="26255" xr:uid="{3ECAAD1A-64BC-4031-A67B-2AB3F3077615}"/>
    <cellStyle name="Normal 2 4 3 3 7 2 2 4" xfId="34695" xr:uid="{23B4843C-D7A4-428A-99BE-B72BF21B26A4}"/>
    <cellStyle name="Normal 2 4 3 3 7 2 3" xfId="13597" xr:uid="{6D14F953-30D9-4D98-8FA8-48A6C6E8E5FC}"/>
    <cellStyle name="Normal 2 4 3 3 7 2 4" xfId="22038" xr:uid="{E6EE51B6-90DF-441E-AB63-D5FDFDA0BD6C}"/>
    <cellStyle name="Normal 2 4 3 3 7 2 5" xfId="30478" xr:uid="{A1A7DFE8-1626-43CA-8E3F-59E69E9A4837}"/>
    <cellStyle name="Normal 2 4 3 3 7 3" xfId="6343" xr:uid="{00000000-0005-0000-0000-00001C100000}"/>
    <cellStyle name="Normal 2 4 3 3 7 3 2" xfId="15669" xr:uid="{A39A63AD-D319-4191-AEE0-05A9D96DD677}"/>
    <cellStyle name="Normal 2 4 3 3 7 3 3" xfId="24110" xr:uid="{91C7AA00-A759-4E7A-89CA-ACAA8626E7B8}"/>
    <cellStyle name="Normal 2 4 3 3 7 3 4" xfId="32550" xr:uid="{FB671D7F-9281-4C9E-ACAA-836EFD549A5C}"/>
    <cellStyle name="Normal 2 4 3 3 7 4" xfId="11452" xr:uid="{3CF6ECEC-2131-4C34-9476-DCC3E23F1286}"/>
    <cellStyle name="Normal 2 4 3 3 7 5" xfId="19893" xr:uid="{BE7671E0-7983-42BA-81B4-0BBD083AC419}"/>
    <cellStyle name="Normal 2 4 3 3 7 6" xfId="28333" xr:uid="{C6F31959-8396-4A19-A373-924EA96E3950}"/>
    <cellStyle name="Normal 2 4 3 3 8" xfId="2473" xr:uid="{00000000-0005-0000-0000-00001D100000}"/>
    <cellStyle name="Normal 2 4 3 3 8 2" xfId="6756" xr:uid="{00000000-0005-0000-0000-00001E100000}"/>
    <cellStyle name="Normal 2 4 3 3 8 2 2" xfId="16082" xr:uid="{4A5442B5-42ED-4B3B-A376-9CCEBE6F7E5E}"/>
    <cellStyle name="Normal 2 4 3 3 8 2 3" xfId="24523" xr:uid="{6428B7E7-709D-4CB3-9439-4230A0264EDA}"/>
    <cellStyle name="Normal 2 4 3 3 8 2 4" xfId="32963" xr:uid="{D7C02952-6576-421D-9954-56A41A13CDDD}"/>
    <cellStyle name="Normal 2 4 3 3 8 3" xfId="11865" xr:uid="{4F7090B4-D7AB-49FC-8E5C-27735AD87876}"/>
    <cellStyle name="Normal 2 4 3 3 8 4" xfId="20306" xr:uid="{6A306717-8CAC-4467-B4E0-2F681F24B36F}"/>
    <cellStyle name="Normal 2 4 3 3 8 5" xfId="28746" xr:uid="{988FF393-4A05-4B76-BC4B-7F23062AF063}"/>
    <cellStyle name="Normal 2 4 3 3 9" xfId="4690" xr:uid="{00000000-0005-0000-0000-00001F100000}"/>
    <cellStyle name="Normal 2 4 3 3 9 2" xfId="14016" xr:uid="{1944052B-4843-4E36-8493-D6C4A1C582F5}"/>
    <cellStyle name="Normal 2 4 3 3 9 3" xfId="22457" xr:uid="{CADF0449-1269-4F11-9031-7AB38933C849}"/>
    <cellStyle name="Normal 2 4 3 3 9 4" xfId="30897" xr:uid="{AD1C4305-1BA9-4122-9110-47972C202CAD}"/>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991C8B95-E254-4714-B6F6-7B0967B0E984}"/>
    <cellStyle name="Normal 2 4 3 4 2 2 3" xfId="25015" xr:uid="{901CE09D-34B3-4D73-9D55-86BB790FDB21}"/>
    <cellStyle name="Normal 2 4 3 4 2 2 4" xfId="33455" xr:uid="{74FBD67B-B704-4889-AC41-1E0851AAC115}"/>
    <cellStyle name="Normal 2 4 3 4 2 3" xfId="12357" xr:uid="{E7107777-86F3-4512-BD25-7D930FFB34DD}"/>
    <cellStyle name="Normal 2 4 3 4 2 4" xfId="20798" xr:uid="{F9239F59-8EC6-4C7F-801E-C20BDEDF9005}"/>
    <cellStyle name="Normal 2 4 3 4 2 5" xfId="29238" xr:uid="{DFB337D3-1B8E-4CF6-A984-2C8E1F7D8200}"/>
    <cellStyle name="Normal 2 4 3 4 3" xfId="5103" xr:uid="{00000000-0005-0000-0000-000023100000}"/>
    <cellStyle name="Normal 2 4 3 4 3 2" xfId="14429" xr:uid="{6BF6EE30-F1C6-4105-B91F-F356FCEBC0ED}"/>
    <cellStyle name="Normal 2 4 3 4 3 3" xfId="22870" xr:uid="{7ED0FBDE-08AF-40FF-B089-93C1F5D3E5F0}"/>
    <cellStyle name="Normal 2 4 3 4 3 4" xfId="31310" xr:uid="{B4C1622C-8145-4108-B441-90C2CBE85145}"/>
    <cellStyle name="Normal 2 4 3 4 4" xfId="9605" xr:uid="{31B075F0-6828-4EC6-AC77-4B4B0626A722}"/>
    <cellStyle name="Normal 2 4 3 4 5" xfId="10212" xr:uid="{3DDE1F7C-2F7D-427D-AE33-B2C648D2C0EB}"/>
    <cellStyle name="Normal 2 4 3 4 6" xfId="18653" xr:uid="{0A38AE47-11E6-4C88-AC4E-2EA012470837}"/>
    <cellStyle name="Normal 2 4 3 4 7" xfId="27093" xr:uid="{39AEB5B9-63E1-49FB-8D8C-5C55F0C6AF97}"/>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F3B65091-8202-4CDB-9A77-446D7344994F}"/>
    <cellStyle name="Normal 2 4 3 5 2 2 3" xfId="25428" xr:uid="{095CC420-CBDB-4A58-AEC7-71DDF7B079A9}"/>
    <cellStyle name="Normal 2 4 3 5 2 2 4" xfId="33868" xr:uid="{8DC8139F-6F21-4446-91E7-DD45C93C17AA}"/>
    <cellStyle name="Normal 2 4 3 5 2 3" xfId="12770" xr:uid="{5E90E978-DD9C-407F-9212-99485F2ADD4E}"/>
    <cellStyle name="Normal 2 4 3 5 2 4" xfId="21211" xr:uid="{B8444EF8-7402-4D68-ADB9-BA0F1E2829C9}"/>
    <cellStyle name="Normal 2 4 3 5 2 5" xfId="29651" xr:uid="{80F52432-6AEA-4BC5-86C3-3A23233F0E4E}"/>
    <cellStyle name="Normal 2 4 3 5 3" xfId="5516" xr:uid="{00000000-0005-0000-0000-000027100000}"/>
    <cellStyle name="Normal 2 4 3 5 3 2" xfId="14842" xr:uid="{B904560F-C829-475F-8718-563DAF3A2B61}"/>
    <cellStyle name="Normal 2 4 3 5 3 3" xfId="23283" xr:uid="{FA19BCB3-180B-4FDA-B1A2-9ACD75DD9F5F}"/>
    <cellStyle name="Normal 2 4 3 5 3 4" xfId="31723" xr:uid="{69C336A4-8D39-4E28-8C60-3EFDDA4416E7}"/>
    <cellStyle name="Normal 2 4 3 5 4" xfId="10625" xr:uid="{6F4125EF-D770-4033-B4BC-5849CFA5D3A7}"/>
    <cellStyle name="Normal 2 4 3 5 5" xfId="19066" xr:uid="{AC2E6F6E-F709-4FB0-98AF-73638F4D42F0}"/>
    <cellStyle name="Normal 2 4 3 5 6" xfId="27506" xr:uid="{0CD8D8E2-8FF5-412A-812D-3AE12C8229F2}"/>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11D942B9-471D-47CA-9534-19C0EE313405}"/>
    <cellStyle name="Normal 2 4 3 6 2 2 3" xfId="25841" xr:uid="{D16F0AE5-6428-4A1F-9244-A44042B754BC}"/>
    <cellStyle name="Normal 2 4 3 6 2 2 4" xfId="34281" xr:uid="{837843F9-E9B4-48EF-854B-AE095AE78F72}"/>
    <cellStyle name="Normal 2 4 3 6 2 3" xfId="13183" xr:uid="{6BDCDCF4-5120-4037-BFB6-D20A5C82B887}"/>
    <cellStyle name="Normal 2 4 3 6 2 4" xfId="21624" xr:uid="{734F89DB-65DB-4491-B76A-0D91C81F938A}"/>
    <cellStyle name="Normal 2 4 3 6 2 5" xfId="30064" xr:uid="{2B6BBBDF-DECD-4F69-958F-3B7237BB0388}"/>
    <cellStyle name="Normal 2 4 3 6 3" xfId="5929" xr:uid="{00000000-0005-0000-0000-00002B100000}"/>
    <cellStyle name="Normal 2 4 3 6 3 2" xfId="15255" xr:uid="{2A292DEE-A6E6-4E7B-8880-6134799E911F}"/>
    <cellStyle name="Normal 2 4 3 6 3 3" xfId="23696" xr:uid="{B84B4193-06AE-4A1E-9919-E9C7BBAC4506}"/>
    <cellStyle name="Normal 2 4 3 6 3 4" xfId="32136" xr:uid="{69B7A1EE-6202-4A9B-87A8-063BB81AB719}"/>
    <cellStyle name="Normal 2 4 3 6 4" xfId="11038" xr:uid="{326CDE8A-E61F-485E-B147-29953DD212C0}"/>
    <cellStyle name="Normal 2 4 3 6 5" xfId="19479" xr:uid="{14E3F0DF-2828-4D81-B0B0-CF94DA30DF3B}"/>
    <cellStyle name="Normal 2 4 3 6 6" xfId="27919" xr:uid="{D105800A-DFF5-4D5F-9812-1C8FF996B70A}"/>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515D1F6A-0373-44B1-9D12-3C63F53EFB35}"/>
    <cellStyle name="Normal 2 4 3 7 2 2 3" xfId="26254" xr:uid="{B9F413BD-EECC-458C-AE66-1B739E3EE116}"/>
    <cellStyle name="Normal 2 4 3 7 2 2 4" xfId="34694" xr:uid="{F5E22AF5-4C9B-4C76-BFB9-98A74765DA60}"/>
    <cellStyle name="Normal 2 4 3 7 2 3" xfId="13596" xr:uid="{E86B46FC-4324-4172-89B7-10169983EA41}"/>
    <cellStyle name="Normal 2 4 3 7 2 4" xfId="22037" xr:uid="{2508BC3D-0716-4571-8A5B-D04A65606294}"/>
    <cellStyle name="Normal 2 4 3 7 2 5" xfId="30477" xr:uid="{A194F5F7-BD26-41BB-8F65-F5CE24197E9B}"/>
    <cellStyle name="Normal 2 4 3 7 3" xfId="6342" xr:uid="{00000000-0005-0000-0000-00002F100000}"/>
    <cellStyle name="Normal 2 4 3 7 3 2" xfId="15668" xr:uid="{57C5C075-9C99-46D3-97D9-3B5D99C3E042}"/>
    <cellStyle name="Normal 2 4 3 7 3 3" xfId="24109" xr:uid="{1578EB5B-5B9E-49F8-B5A9-860333331682}"/>
    <cellStyle name="Normal 2 4 3 7 3 4" xfId="32549" xr:uid="{4FCC3E8D-2788-4F50-9A11-5F375B62A251}"/>
    <cellStyle name="Normal 2 4 3 7 4" xfId="11451" xr:uid="{730A6C17-D6A5-4B16-92BD-A09E8107B03A}"/>
    <cellStyle name="Normal 2 4 3 7 5" xfId="19892" xr:uid="{BC3595B4-C224-4CA0-A140-B989D9A933D3}"/>
    <cellStyle name="Normal 2 4 3 7 6" xfId="28332" xr:uid="{F2ED8457-06F8-4890-82FB-18476ED649D4}"/>
    <cellStyle name="Normal 2 4 3 8" xfId="2472" xr:uid="{00000000-0005-0000-0000-000030100000}"/>
    <cellStyle name="Normal 2 4 3 8 2" xfId="6755" xr:uid="{00000000-0005-0000-0000-000031100000}"/>
    <cellStyle name="Normal 2 4 3 8 2 2" xfId="16081" xr:uid="{AAB61865-EDD4-48E9-B77E-0444441D8705}"/>
    <cellStyle name="Normal 2 4 3 8 2 3" xfId="24522" xr:uid="{EC7483A4-0D4B-4E1F-BFFE-86BDE83252A8}"/>
    <cellStyle name="Normal 2 4 3 8 2 4" xfId="32962" xr:uid="{3A1A6ECF-A26F-49CC-97AD-03AAB3E101EC}"/>
    <cellStyle name="Normal 2 4 3 8 3" xfId="11864" xr:uid="{A156158C-2929-4DD8-87C7-69D498AECEAD}"/>
    <cellStyle name="Normal 2 4 3 8 4" xfId="20305" xr:uid="{770C72F6-C0B2-4CA6-B3D5-0D3FCB54D39F}"/>
    <cellStyle name="Normal 2 4 3 8 5" xfId="28745" xr:uid="{C44FB25E-494E-4EB1-9F1F-8FEE31930701}"/>
    <cellStyle name="Normal 2 4 3 9" xfId="4689" xr:uid="{00000000-0005-0000-0000-000032100000}"/>
    <cellStyle name="Normal 2 4 3 9 2" xfId="14015" xr:uid="{69CA8C81-6366-4702-9F8E-08014126637E}"/>
    <cellStyle name="Normal 2 4 3 9 3" xfId="22456" xr:uid="{2657C63B-E3AD-47FA-A8CA-CF721EECB7E6}"/>
    <cellStyle name="Normal 2 4 3 9 4" xfId="30896" xr:uid="{B9C288C5-F566-4ADB-B503-7EA49E82BE4B}"/>
    <cellStyle name="Normal 2 4 4" xfId="302" xr:uid="{00000000-0005-0000-0000-000033100000}"/>
    <cellStyle name="Normal 2 4 5" xfId="303" xr:uid="{00000000-0005-0000-0000-000034100000}"/>
    <cellStyle name="Normal 2 4 5 10" xfId="4694" xr:uid="{00000000-0005-0000-0000-000035100000}"/>
    <cellStyle name="Normal 2 4 5 10 2" xfId="14020" xr:uid="{6BBEA3D7-D9F1-4D72-9BC1-7781A683D7C3}"/>
    <cellStyle name="Normal 2 4 5 10 3" xfId="22461" xr:uid="{4B9FAF5B-0511-419B-8BFD-B38C7703528C}"/>
    <cellStyle name="Normal 2 4 5 10 4" xfId="30901" xr:uid="{A102D78B-0493-422E-AEEC-ABE6E26F09DF}"/>
    <cellStyle name="Normal 2 4 5 11" xfId="8780" xr:uid="{7650B30D-5C17-47F0-B17B-A5E27258C29E}"/>
    <cellStyle name="Normal 2 4 5 12" xfId="9803" xr:uid="{93069CF4-FF10-41BE-B728-86F3AC754A9D}"/>
    <cellStyle name="Normal 2 4 5 13" xfId="18244" xr:uid="{FAE79882-496F-4110-A6B2-E9A77F0DD911}"/>
    <cellStyle name="Normal 2 4 5 14" xfId="26684" xr:uid="{0C359595-9E19-48EF-AD77-963BBD677040}"/>
    <cellStyle name="Normal 2 4 5 2" xfId="304" xr:uid="{00000000-0005-0000-0000-000036100000}"/>
    <cellStyle name="Normal 2 4 5 2 10" xfId="8815" xr:uid="{40A5EFE5-2EC9-4F25-B9EC-CAF9321E00F7}"/>
    <cellStyle name="Normal 2 4 5 2 11" xfId="9804" xr:uid="{435E55AF-9CC0-4C1A-927B-C6A9247B8058}"/>
    <cellStyle name="Normal 2 4 5 2 12" xfId="18245" xr:uid="{B262F7C1-5E8B-4982-A548-AF8CFAF658BA}"/>
    <cellStyle name="Normal 2 4 5 2 13" xfId="26685" xr:uid="{A6E744D4-310B-4F09-8600-E8B8BFC55632}"/>
    <cellStyle name="Normal 2 4 5 2 2" xfId="305" xr:uid="{00000000-0005-0000-0000-000037100000}"/>
    <cellStyle name="Normal 2 4 5 2 2 10" xfId="9805" xr:uid="{8A13098E-7A28-40D6-A4A3-6FA6C5E079A0}"/>
    <cellStyle name="Normal 2 4 5 2 2 11" xfId="18246" xr:uid="{778612FB-47FA-4D2D-9B94-2E225BD14D6A}"/>
    <cellStyle name="Normal 2 4 5 2 2 12" xfId="26686" xr:uid="{5C749C43-CC89-47A1-A674-8B1979ED49F6}"/>
    <cellStyle name="Normal 2 4 5 2 2 2" xfId="306" xr:uid="{00000000-0005-0000-0000-000038100000}"/>
    <cellStyle name="Normal 2 4 5 2 2 2 10" xfId="18247" xr:uid="{1B37A37E-1935-4A15-A944-A0B7FA70EAD8}"/>
    <cellStyle name="Normal 2 4 5 2 2 2 11" xfId="26687" xr:uid="{A5CF858F-2966-4505-AEB8-3E45083C84D3}"/>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E98A2C8B-8FA0-48FB-8FBC-00DB570C8B10}"/>
    <cellStyle name="Normal 2 4 5 2 2 2 2 2 2 3" xfId="25023" xr:uid="{27F70836-1A4A-4FEA-B27F-0739C5A4035D}"/>
    <cellStyle name="Normal 2 4 5 2 2 2 2 2 2 4" xfId="33463" xr:uid="{F04EB57D-5879-47F1-85F2-E61782CC9F9C}"/>
    <cellStyle name="Normal 2 4 5 2 2 2 2 2 3" xfId="12365" xr:uid="{8431CD58-7994-4A52-A0F4-037FF631BD1D}"/>
    <cellStyle name="Normal 2 4 5 2 2 2 2 2 4" xfId="20806" xr:uid="{96D610F7-47A3-485C-BA3C-B4CCCE47D363}"/>
    <cellStyle name="Normal 2 4 5 2 2 2 2 2 5" xfId="29246" xr:uid="{66E08A1F-ECD1-4654-8C30-08EF4FE2DBE0}"/>
    <cellStyle name="Normal 2 4 5 2 2 2 2 3" xfId="5111" xr:uid="{00000000-0005-0000-0000-00003C100000}"/>
    <cellStyle name="Normal 2 4 5 2 2 2 2 3 2" xfId="14437" xr:uid="{E1AD1482-F8D7-48DB-A26A-4BF2ED283D75}"/>
    <cellStyle name="Normal 2 4 5 2 2 2 2 3 3" xfId="22878" xr:uid="{BAF0344B-EE84-4E7B-8F25-B9632E884963}"/>
    <cellStyle name="Normal 2 4 5 2 2 2 2 3 4" xfId="31318" xr:uid="{3D44DAEF-6E25-44ED-9F62-99B2EE1B07E7}"/>
    <cellStyle name="Normal 2 4 5 2 2 2 2 4" xfId="9550" xr:uid="{8A7671EC-AB7E-4F51-9B1B-FE1F0FDC42A9}"/>
    <cellStyle name="Normal 2 4 5 2 2 2 2 5" xfId="10220" xr:uid="{16222FCB-365F-4BC4-8E82-19A19BFE95C0}"/>
    <cellStyle name="Normal 2 4 5 2 2 2 2 6" xfId="18661" xr:uid="{461349C7-EF3A-4D3A-B744-6D40A1B5D3EA}"/>
    <cellStyle name="Normal 2 4 5 2 2 2 2 7" xfId="27101" xr:uid="{BB288643-2DDC-41FB-B605-D6461B290BC6}"/>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080E360A-9859-43C1-927B-0434E93C1463}"/>
    <cellStyle name="Normal 2 4 5 2 2 2 3 2 2 3" xfId="25436" xr:uid="{595DFF46-73AD-49F2-83FC-D5187010EFAA}"/>
    <cellStyle name="Normal 2 4 5 2 2 2 3 2 2 4" xfId="33876" xr:uid="{822626B1-4B4F-46B9-8DE0-22CF1C3DDA77}"/>
    <cellStyle name="Normal 2 4 5 2 2 2 3 2 3" xfId="12778" xr:uid="{7272EAAF-9BDC-409E-BAF5-48B118F99759}"/>
    <cellStyle name="Normal 2 4 5 2 2 2 3 2 4" xfId="21219" xr:uid="{FF88FB0E-1A4A-44E1-9773-20EB8D2AB59A}"/>
    <cellStyle name="Normal 2 4 5 2 2 2 3 2 5" xfId="29659" xr:uid="{A5909793-1757-4709-AB81-DE5FE7792640}"/>
    <cellStyle name="Normal 2 4 5 2 2 2 3 3" xfId="5524" xr:uid="{00000000-0005-0000-0000-000040100000}"/>
    <cellStyle name="Normal 2 4 5 2 2 2 3 3 2" xfId="14850" xr:uid="{3E843B3E-2BE8-4559-B052-051F4E9CF788}"/>
    <cellStyle name="Normal 2 4 5 2 2 2 3 3 3" xfId="23291" xr:uid="{9BE8C4AB-5381-472F-8C9B-ECA41D01B8F8}"/>
    <cellStyle name="Normal 2 4 5 2 2 2 3 3 4" xfId="31731" xr:uid="{895419DB-64CC-40F9-A016-59C802883F05}"/>
    <cellStyle name="Normal 2 4 5 2 2 2 3 4" xfId="10633" xr:uid="{11282082-44C1-4602-A320-577387CEB9CB}"/>
    <cellStyle name="Normal 2 4 5 2 2 2 3 5" xfId="19074" xr:uid="{1186C091-CFC6-4DB6-8758-18255C7B9A60}"/>
    <cellStyle name="Normal 2 4 5 2 2 2 3 6" xfId="27514" xr:uid="{5A27A701-3966-46E5-8331-507438FAF744}"/>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D34EA2F1-3550-49AF-8E8A-2DBBC3C32684}"/>
    <cellStyle name="Normal 2 4 5 2 2 2 4 2 2 3" xfId="25849" xr:uid="{62745518-40AA-42A5-870B-388A983A72BF}"/>
    <cellStyle name="Normal 2 4 5 2 2 2 4 2 2 4" xfId="34289" xr:uid="{0E28D9B0-9425-40F4-9193-0B1A430E2330}"/>
    <cellStyle name="Normal 2 4 5 2 2 2 4 2 3" xfId="13191" xr:uid="{328EB7EE-A301-41C7-A7EF-CA923E67C01B}"/>
    <cellStyle name="Normal 2 4 5 2 2 2 4 2 4" xfId="21632" xr:uid="{A62ECCF5-31CC-4C29-9263-2DA8DFB47AF4}"/>
    <cellStyle name="Normal 2 4 5 2 2 2 4 2 5" xfId="30072" xr:uid="{9BB6FE1C-8469-44D7-A816-2C014D44E261}"/>
    <cellStyle name="Normal 2 4 5 2 2 2 4 3" xfId="5937" xr:uid="{00000000-0005-0000-0000-000044100000}"/>
    <cellStyle name="Normal 2 4 5 2 2 2 4 3 2" xfId="15263" xr:uid="{5A744F61-8524-41EF-BA71-5293A7028DCD}"/>
    <cellStyle name="Normal 2 4 5 2 2 2 4 3 3" xfId="23704" xr:uid="{3A8C3669-5791-4B31-BC86-D7516D91CCB8}"/>
    <cellStyle name="Normal 2 4 5 2 2 2 4 3 4" xfId="32144" xr:uid="{6BA6872D-D429-44F6-B9CD-FB4A6554BBB5}"/>
    <cellStyle name="Normal 2 4 5 2 2 2 4 4" xfId="11046" xr:uid="{426B273C-349C-4613-912A-C6C5065C7624}"/>
    <cellStyle name="Normal 2 4 5 2 2 2 4 5" xfId="19487" xr:uid="{732237B8-0491-42B5-951D-697738CF958A}"/>
    <cellStyle name="Normal 2 4 5 2 2 2 4 6" xfId="27927" xr:uid="{67A4B71B-935C-4C1C-8544-74D32E912DF8}"/>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A6320665-BFB0-4373-912B-5D25CF770697}"/>
    <cellStyle name="Normal 2 4 5 2 2 2 5 2 2 3" xfId="26262" xr:uid="{C90869A6-1A75-4015-9634-479D5F530C57}"/>
    <cellStyle name="Normal 2 4 5 2 2 2 5 2 2 4" xfId="34702" xr:uid="{9F35F356-476E-47B0-B72B-30E2965C8DDE}"/>
    <cellStyle name="Normal 2 4 5 2 2 2 5 2 3" xfId="13604" xr:uid="{E85DA694-6902-4FEB-9061-E5EF7AFE36E5}"/>
    <cellStyle name="Normal 2 4 5 2 2 2 5 2 4" xfId="22045" xr:uid="{F57807C3-761A-4EE8-8A5E-5274D5508096}"/>
    <cellStyle name="Normal 2 4 5 2 2 2 5 2 5" xfId="30485" xr:uid="{8839EA35-9015-4F83-A6F2-A4EB953E17F8}"/>
    <cellStyle name="Normal 2 4 5 2 2 2 5 3" xfId="6350" xr:uid="{00000000-0005-0000-0000-000048100000}"/>
    <cellStyle name="Normal 2 4 5 2 2 2 5 3 2" xfId="15676" xr:uid="{392AD149-D706-4A97-876F-91B5FE283F49}"/>
    <cellStyle name="Normal 2 4 5 2 2 2 5 3 3" xfId="24117" xr:uid="{EF9149D3-379F-4A50-BC82-6DD93C3DD8E1}"/>
    <cellStyle name="Normal 2 4 5 2 2 2 5 3 4" xfId="32557" xr:uid="{B46CD8FB-38E8-4878-BB6B-7E12E7D115AE}"/>
    <cellStyle name="Normal 2 4 5 2 2 2 5 4" xfId="11459" xr:uid="{7076AE48-7565-4946-91EF-5BF8A1385D9D}"/>
    <cellStyle name="Normal 2 4 5 2 2 2 5 5" xfId="19900" xr:uid="{78CA35E7-D446-45F1-88A4-418A50C14ACE}"/>
    <cellStyle name="Normal 2 4 5 2 2 2 5 6" xfId="28340" xr:uid="{CD4BF3C6-1BD3-4BE4-AF11-428883616DC6}"/>
    <cellStyle name="Normal 2 4 5 2 2 2 6" xfId="2480" xr:uid="{00000000-0005-0000-0000-000049100000}"/>
    <cellStyle name="Normal 2 4 5 2 2 2 6 2" xfId="6763" xr:uid="{00000000-0005-0000-0000-00004A100000}"/>
    <cellStyle name="Normal 2 4 5 2 2 2 6 2 2" xfId="16089" xr:uid="{982714FF-8F37-43C6-A709-5EF278F53F59}"/>
    <cellStyle name="Normal 2 4 5 2 2 2 6 2 3" xfId="24530" xr:uid="{4C536141-6F45-41D2-88A2-BBDB2CBF2706}"/>
    <cellStyle name="Normal 2 4 5 2 2 2 6 2 4" xfId="32970" xr:uid="{0DD2ABEC-DBFE-47EB-834D-E0662DD8AA8E}"/>
    <cellStyle name="Normal 2 4 5 2 2 2 6 3" xfId="11872" xr:uid="{AB8F9327-13E1-4BDD-A5BE-722B5D110001}"/>
    <cellStyle name="Normal 2 4 5 2 2 2 6 4" xfId="20313" xr:uid="{3A920496-4AD7-4009-8F92-3DE5D8B2A0F2}"/>
    <cellStyle name="Normal 2 4 5 2 2 2 6 5" xfId="28753" xr:uid="{C357C6F7-29A9-4AA7-8036-CECA549A7483}"/>
    <cellStyle name="Normal 2 4 5 2 2 2 7" xfId="4697" xr:uid="{00000000-0005-0000-0000-00004B100000}"/>
    <cellStyle name="Normal 2 4 5 2 2 2 7 2" xfId="14023" xr:uid="{73F2CFFB-0006-465E-A174-09BE2148EA52}"/>
    <cellStyle name="Normal 2 4 5 2 2 2 7 3" xfId="22464" xr:uid="{BF6962D0-01E4-4CDB-B6D5-9005BE0CB46C}"/>
    <cellStyle name="Normal 2 4 5 2 2 2 7 4" xfId="30904" xr:uid="{10D94A05-7E63-437F-9B3F-7F3B5385DC15}"/>
    <cellStyle name="Normal 2 4 5 2 2 2 8" xfId="9125" xr:uid="{AE6B93A1-5C0B-49F1-AF15-6FC3FAFFE3B2}"/>
    <cellStyle name="Normal 2 4 5 2 2 2 9" xfId="9806" xr:uid="{F49E26B0-D41B-4DC9-BFED-4633651235A5}"/>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AABFEF2D-9546-41CC-A9AA-0B9FC7445CC1}"/>
    <cellStyle name="Normal 2 4 5 2 2 3 2 2 3" xfId="25022" xr:uid="{BE048469-04FE-4A26-99A6-E2D76E868787}"/>
    <cellStyle name="Normal 2 4 5 2 2 3 2 2 4" xfId="33462" xr:uid="{A1484BE6-0BBE-4ED7-BDFA-5A14C87F9FA8}"/>
    <cellStyle name="Normal 2 4 5 2 2 3 2 3" xfId="12364" xr:uid="{0E8C4842-75F1-4C97-BA2D-784B96EE8DCA}"/>
    <cellStyle name="Normal 2 4 5 2 2 3 2 4" xfId="20805" xr:uid="{A018872A-61D4-418B-876B-4CE75E31DE16}"/>
    <cellStyle name="Normal 2 4 5 2 2 3 2 5" xfId="29245" xr:uid="{BABC25C6-4CE4-426C-BFAC-A1B334C038B2}"/>
    <cellStyle name="Normal 2 4 5 2 2 3 3" xfId="5110" xr:uid="{00000000-0005-0000-0000-00004F100000}"/>
    <cellStyle name="Normal 2 4 5 2 2 3 3 2" xfId="14436" xr:uid="{4CEAC8DD-E4D2-46C5-9374-92B9D32E8561}"/>
    <cellStyle name="Normal 2 4 5 2 2 3 3 3" xfId="22877" xr:uid="{E928E8B6-7CE6-4ACD-B719-DDF32E201AC3}"/>
    <cellStyle name="Normal 2 4 5 2 2 3 3 4" xfId="31317" xr:uid="{0AEEACF7-0994-46E6-95DC-7B405505977C}"/>
    <cellStyle name="Normal 2 4 5 2 2 3 4" xfId="9343" xr:uid="{FC4CD386-4202-45E2-8021-2A85CACF4E8B}"/>
    <cellStyle name="Normal 2 4 5 2 2 3 5" xfId="10219" xr:uid="{117CE940-022E-489E-A02A-96AFDF47C206}"/>
    <cellStyle name="Normal 2 4 5 2 2 3 6" xfId="18660" xr:uid="{98B9E1D6-91C2-484C-978D-38FF45E4B799}"/>
    <cellStyle name="Normal 2 4 5 2 2 3 7" xfId="27100" xr:uid="{2560B0F5-1213-4693-8E97-2CCE1DA675F5}"/>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DD20A283-258B-4B58-B190-FA0923CCDA86}"/>
    <cellStyle name="Normal 2 4 5 2 2 4 2 2 3" xfId="25435" xr:uid="{92F96205-9564-4165-BD24-D183535AC9FF}"/>
    <cellStyle name="Normal 2 4 5 2 2 4 2 2 4" xfId="33875" xr:uid="{66F84A41-C470-4CCC-9A63-4A7EF34F4583}"/>
    <cellStyle name="Normal 2 4 5 2 2 4 2 3" xfId="12777" xr:uid="{C9F41226-8ECA-4084-AC3E-587308DBE15E}"/>
    <cellStyle name="Normal 2 4 5 2 2 4 2 4" xfId="21218" xr:uid="{9950C421-F9BD-48D0-8D6B-D66D65477A3C}"/>
    <cellStyle name="Normal 2 4 5 2 2 4 2 5" xfId="29658" xr:uid="{0C163DC8-5B08-4EC2-B2E1-78217D77231A}"/>
    <cellStyle name="Normal 2 4 5 2 2 4 3" xfId="5523" xr:uid="{00000000-0005-0000-0000-000053100000}"/>
    <cellStyle name="Normal 2 4 5 2 2 4 3 2" xfId="14849" xr:uid="{CBE7C7C8-C1EB-4986-A834-87462463AA9B}"/>
    <cellStyle name="Normal 2 4 5 2 2 4 3 3" xfId="23290" xr:uid="{66E35515-7503-4131-8161-7E556F558119}"/>
    <cellStyle name="Normal 2 4 5 2 2 4 3 4" xfId="31730" xr:uid="{FFDABF8C-0005-4B2C-B318-AE6C69001079}"/>
    <cellStyle name="Normal 2 4 5 2 2 4 4" xfId="10632" xr:uid="{B238BE4D-5A8B-4957-9FA6-2353A45D210D}"/>
    <cellStyle name="Normal 2 4 5 2 2 4 5" xfId="19073" xr:uid="{794F4D81-06A8-4F3B-B8FC-A5EA73F56737}"/>
    <cellStyle name="Normal 2 4 5 2 2 4 6" xfId="27513" xr:uid="{581F886A-3436-492E-B775-B1E1C2DCEAD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01A37CF9-2E87-4D95-9C91-66C3514E6FFE}"/>
    <cellStyle name="Normal 2 4 5 2 2 5 2 2 3" xfId="25848" xr:uid="{0AC59A5A-4044-46EA-9B58-0C539D322501}"/>
    <cellStyle name="Normal 2 4 5 2 2 5 2 2 4" xfId="34288" xr:uid="{13C5EE4D-7800-45D0-BF15-21406D0EC4CB}"/>
    <cellStyle name="Normal 2 4 5 2 2 5 2 3" xfId="13190" xr:uid="{BA495A66-C6F9-4478-8BAC-B5923D3C8460}"/>
    <cellStyle name="Normal 2 4 5 2 2 5 2 4" xfId="21631" xr:uid="{B531A1F9-C980-4436-8B78-8A2D5EE9BFD6}"/>
    <cellStyle name="Normal 2 4 5 2 2 5 2 5" xfId="30071" xr:uid="{E9D00035-F181-4797-8A57-B7689A643E19}"/>
    <cellStyle name="Normal 2 4 5 2 2 5 3" xfId="5936" xr:uid="{00000000-0005-0000-0000-000057100000}"/>
    <cellStyle name="Normal 2 4 5 2 2 5 3 2" xfId="15262" xr:uid="{A8DB558D-1270-405D-9C0C-D25B0A5A24E4}"/>
    <cellStyle name="Normal 2 4 5 2 2 5 3 3" xfId="23703" xr:uid="{DDDF9FA8-42C9-48F8-B27B-8E350A222F00}"/>
    <cellStyle name="Normal 2 4 5 2 2 5 3 4" xfId="32143" xr:uid="{8E1B6EB3-8D10-4115-B153-7A2F4C856D4C}"/>
    <cellStyle name="Normal 2 4 5 2 2 5 4" xfId="11045" xr:uid="{817B6593-BCEE-4A91-ABE5-28B713480BA0}"/>
    <cellStyle name="Normal 2 4 5 2 2 5 5" xfId="19486" xr:uid="{FCCE92B8-3A09-4965-B376-30E1CD3D42E1}"/>
    <cellStyle name="Normal 2 4 5 2 2 5 6" xfId="27926" xr:uid="{00A99DBA-C57C-48E7-98DD-71E7C18F46B4}"/>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01C2A0AE-5B54-43DB-A18F-E51012566F1B}"/>
    <cellStyle name="Normal 2 4 5 2 2 6 2 2 3" xfId="26261" xr:uid="{3DA1C6D9-548B-4F8C-A1F7-89B4C1DFCDD2}"/>
    <cellStyle name="Normal 2 4 5 2 2 6 2 2 4" xfId="34701" xr:uid="{DC1A176D-66D6-4F46-A3FC-F01B1FA87C2B}"/>
    <cellStyle name="Normal 2 4 5 2 2 6 2 3" xfId="13603" xr:uid="{4F63F5A9-A3B9-4199-86E4-8E227965570D}"/>
    <cellStyle name="Normal 2 4 5 2 2 6 2 4" xfId="22044" xr:uid="{66159A79-A214-46DF-BBEB-ABA34F5B7675}"/>
    <cellStyle name="Normal 2 4 5 2 2 6 2 5" xfId="30484" xr:uid="{3CB57C30-8C3D-4385-BC66-9C4BDA626946}"/>
    <cellStyle name="Normal 2 4 5 2 2 6 3" xfId="6349" xr:uid="{00000000-0005-0000-0000-00005B100000}"/>
    <cellStyle name="Normal 2 4 5 2 2 6 3 2" xfId="15675" xr:uid="{B9CEA116-D397-435C-A698-548E0B43C2F7}"/>
    <cellStyle name="Normal 2 4 5 2 2 6 3 3" xfId="24116" xr:uid="{7768B919-B6F1-4CE1-899C-239B4C82F103}"/>
    <cellStyle name="Normal 2 4 5 2 2 6 3 4" xfId="32556" xr:uid="{B1C1F9C6-4EA8-43F0-8835-414FB94A79D4}"/>
    <cellStyle name="Normal 2 4 5 2 2 6 4" xfId="11458" xr:uid="{434E5C24-48F0-4A87-AB9D-E8EFA6C07474}"/>
    <cellStyle name="Normal 2 4 5 2 2 6 5" xfId="19899" xr:uid="{560054F0-ADD5-4EC1-BBA0-1A5C5BE662F2}"/>
    <cellStyle name="Normal 2 4 5 2 2 6 6" xfId="28339" xr:uid="{5298DE2B-758D-4899-A2BC-1A394F360198}"/>
    <cellStyle name="Normal 2 4 5 2 2 7" xfId="2479" xr:uid="{00000000-0005-0000-0000-00005C100000}"/>
    <cellStyle name="Normal 2 4 5 2 2 7 2" xfId="6762" xr:uid="{00000000-0005-0000-0000-00005D100000}"/>
    <cellStyle name="Normal 2 4 5 2 2 7 2 2" xfId="16088" xr:uid="{0A309EC5-F9AC-44B8-8155-D3CF8392D0C4}"/>
    <cellStyle name="Normal 2 4 5 2 2 7 2 3" xfId="24529" xr:uid="{8D2427D7-AA93-43C0-8AD6-E846DCFAD1D5}"/>
    <cellStyle name="Normal 2 4 5 2 2 7 2 4" xfId="32969" xr:uid="{0B4D5370-DABB-4FC8-B0E3-54FC214215C1}"/>
    <cellStyle name="Normal 2 4 5 2 2 7 3" xfId="11871" xr:uid="{781599E7-FE16-458F-BF2C-13C21AC8CDDF}"/>
    <cellStyle name="Normal 2 4 5 2 2 7 4" xfId="20312" xr:uid="{2F619AF7-40DE-4219-A8F7-3E96C42421BF}"/>
    <cellStyle name="Normal 2 4 5 2 2 7 5" xfId="28752" xr:uid="{0CC40B38-639D-4F4C-9C0A-61D4BF69EDD2}"/>
    <cellStyle name="Normal 2 4 5 2 2 8" xfId="4696" xr:uid="{00000000-0005-0000-0000-00005E100000}"/>
    <cellStyle name="Normal 2 4 5 2 2 8 2" xfId="14022" xr:uid="{76826EBE-CEFE-458D-A2A8-61B27D729EF4}"/>
    <cellStyle name="Normal 2 4 5 2 2 8 3" xfId="22463" xr:uid="{CFAC425D-D2BD-4DA6-BBBA-3DDBBF401CBA}"/>
    <cellStyle name="Normal 2 4 5 2 2 8 4" xfId="30903" xr:uid="{B8440439-A2D4-48B8-B411-346D27CC57DE}"/>
    <cellStyle name="Normal 2 4 5 2 2 9" xfId="8918" xr:uid="{C191AFB9-5B9B-45BF-8589-0BB68E370D0F}"/>
    <cellStyle name="Normal 2 4 5 2 3" xfId="307" xr:uid="{00000000-0005-0000-0000-00005F100000}"/>
    <cellStyle name="Normal 2 4 5 2 3 10" xfId="18248" xr:uid="{902ECE04-4267-4A66-8877-9E7A00316E8E}"/>
    <cellStyle name="Normal 2 4 5 2 3 11" xfId="26688" xr:uid="{282D79C1-3BD1-4B42-AC32-EE63C575ED74}"/>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39847689-00B8-4AB7-BED8-B674F66ED165}"/>
    <cellStyle name="Normal 2 4 5 2 3 2 2 2 3" xfId="25024" xr:uid="{3141F933-B93B-4C99-867F-2C62CA890075}"/>
    <cellStyle name="Normal 2 4 5 2 3 2 2 2 4" xfId="33464" xr:uid="{A74CDA74-5129-47A7-8126-81BA8AA7603C}"/>
    <cellStyle name="Normal 2 4 5 2 3 2 2 3" xfId="12366" xr:uid="{FCC79BD2-132F-442E-B148-191BC44ACB00}"/>
    <cellStyle name="Normal 2 4 5 2 3 2 2 4" xfId="20807" xr:uid="{8B7E884B-2D2F-4CEF-BF16-348D236AA72E}"/>
    <cellStyle name="Normal 2 4 5 2 3 2 2 5" xfId="29247" xr:uid="{3B261E57-EDF9-4DD6-AC33-73AFF4953E68}"/>
    <cellStyle name="Normal 2 4 5 2 3 2 3" xfId="5112" xr:uid="{00000000-0005-0000-0000-000063100000}"/>
    <cellStyle name="Normal 2 4 5 2 3 2 3 2" xfId="14438" xr:uid="{E632EED4-B662-42D5-91F4-A126DEBFA70F}"/>
    <cellStyle name="Normal 2 4 5 2 3 2 3 3" xfId="22879" xr:uid="{E6A29B9B-0B88-476A-8B52-FFB4C6D80A09}"/>
    <cellStyle name="Normal 2 4 5 2 3 2 3 4" xfId="31319" xr:uid="{BC771F29-4DAB-4F93-9BAD-E81E602E8A1C}"/>
    <cellStyle name="Normal 2 4 5 2 3 2 4" xfId="9447" xr:uid="{5DAE67B2-15F6-4C7F-9310-B9C816D42F72}"/>
    <cellStyle name="Normal 2 4 5 2 3 2 5" xfId="10221" xr:uid="{4098FE2D-E820-43F4-ABC7-5C84AB69DD9F}"/>
    <cellStyle name="Normal 2 4 5 2 3 2 6" xfId="18662" xr:uid="{B827FDC4-E2FB-4E25-BD26-BF9D99759FD3}"/>
    <cellStyle name="Normal 2 4 5 2 3 2 7" xfId="27102" xr:uid="{B52DBC80-1BE2-4B89-8BFE-D2ECC0E08BFC}"/>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9416F21D-6B2B-4E29-9739-7F5956732D33}"/>
    <cellStyle name="Normal 2 4 5 2 3 3 2 2 3" xfId="25437" xr:uid="{077363D6-D693-4DBC-B700-94176F2BCF60}"/>
    <cellStyle name="Normal 2 4 5 2 3 3 2 2 4" xfId="33877" xr:uid="{081D30E5-32D9-422F-9035-6E5B28866A0B}"/>
    <cellStyle name="Normal 2 4 5 2 3 3 2 3" xfId="12779" xr:uid="{B15DFF60-0596-44C2-9CB9-E2A0595A6362}"/>
    <cellStyle name="Normal 2 4 5 2 3 3 2 4" xfId="21220" xr:uid="{BD84B931-ED78-48A7-99BE-BB2B555D7FF2}"/>
    <cellStyle name="Normal 2 4 5 2 3 3 2 5" xfId="29660" xr:uid="{21A6DE6B-97E8-4889-9CE5-ADD514C4FBCE}"/>
    <cellStyle name="Normal 2 4 5 2 3 3 3" xfId="5525" xr:uid="{00000000-0005-0000-0000-000067100000}"/>
    <cellStyle name="Normal 2 4 5 2 3 3 3 2" xfId="14851" xr:uid="{66E009E9-D0C6-437A-81CE-FA389AB04212}"/>
    <cellStyle name="Normal 2 4 5 2 3 3 3 3" xfId="23292" xr:uid="{3A2C9515-FCAC-44D8-AC05-67601966F96B}"/>
    <cellStyle name="Normal 2 4 5 2 3 3 3 4" xfId="31732" xr:uid="{93320C99-0A33-48EA-82CF-B36D7797A80B}"/>
    <cellStyle name="Normal 2 4 5 2 3 3 4" xfId="10634" xr:uid="{0B9DA266-B66B-44A0-B251-D4C7FBACDEBF}"/>
    <cellStyle name="Normal 2 4 5 2 3 3 5" xfId="19075" xr:uid="{50A23B4D-357A-40D0-B803-DC333810B86D}"/>
    <cellStyle name="Normal 2 4 5 2 3 3 6" xfId="27515" xr:uid="{28FE6809-67B0-4D1B-A73A-5BFD95272A67}"/>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1879F50F-124A-4EB1-ADB8-397A725E5C06}"/>
    <cellStyle name="Normal 2 4 5 2 3 4 2 2 3" xfId="25850" xr:uid="{6AEE169C-C357-42B3-85C4-5DBB10FCEF53}"/>
    <cellStyle name="Normal 2 4 5 2 3 4 2 2 4" xfId="34290" xr:uid="{6FBF4551-06F1-4523-95B2-BCF22E339F3F}"/>
    <cellStyle name="Normal 2 4 5 2 3 4 2 3" xfId="13192" xr:uid="{45CF0272-C6E1-4F3B-B6A9-6D5133D95E17}"/>
    <cellStyle name="Normal 2 4 5 2 3 4 2 4" xfId="21633" xr:uid="{60BA5510-5C2C-41CA-BDA9-90B279D3E7AA}"/>
    <cellStyle name="Normal 2 4 5 2 3 4 2 5" xfId="30073" xr:uid="{2CA9E156-1D42-406A-8B4E-A8608EADE827}"/>
    <cellStyle name="Normal 2 4 5 2 3 4 3" xfId="5938" xr:uid="{00000000-0005-0000-0000-00006B100000}"/>
    <cellStyle name="Normal 2 4 5 2 3 4 3 2" xfId="15264" xr:uid="{03064C1A-C842-4C33-8A60-A2651C5BEE84}"/>
    <cellStyle name="Normal 2 4 5 2 3 4 3 3" xfId="23705" xr:uid="{0BF32AE2-8AA8-4484-ADBC-0C6206234750}"/>
    <cellStyle name="Normal 2 4 5 2 3 4 3 4" xfId="32145" xr:uid="{210EBAE9-B1C5-44A9-A91B-B12443C37347}"/>
    <cellStyle name="Normal 2 4 5 2 3 4 4" xfId="11047" xr:uid="{E2DB350F-ADA7-46B6-B7DB-4D7C2E64DC89}"/>
    <cellStyle name="Normal 2 4 5 2 3 4 5" xfId="19488" xr:uid="{73DDEFF5-31C8-4107-B38C-04A903EC4742}"/>
    <cellStyle name="Normal 2 4 5 2 3 4 6" xfId="27928" xr:uid="{541691FF-16BB-4F1A-B8AB-0473D5E8136B}"/>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339511A1-50AD-4E72-805F-6ED1401E25ED}"/>
    <cellStyle name="Normal 2 4 5 2 3 5 2 2 3" xfId="26263" xr:uid="{3FB38655-4A21-40C8-897D-82EDBF9E01AE}"/>
    <cellStyle name="Normal 2 4 5 2 3 5 2 2 4" xfId="34703" xr:uid="{DE026DB4-0AD9-4698-AAAE-F04ED801B93F}"/>
    <cellStyle name="Normal 2 4 5 2 3 5 2 3" xfId="13605" xr:uid="{0058BBCD-43F8-4A3C-B886-9B82766F030F}"/>
    <cellStyle name="Normal 2 4 5 2 3 5 2 4" xfId="22046" xr:uid="{60C262AD-F8D5-41C3-B406-1E85E71BD08F}"/>
    <cellStyle name="Normal 2 4 5 2 3 5 2 5" xfId="30486" xr:uid="{6A8FC666-CA51-4702-BC4F-CE6FA50B1C98}"/>
    <cellStyle name="Normal 2 4 5 2 3 5 3" xfId="6351" xr:uid="{00000000-0005-0000-0000-00006F100000}"/>
    <cellStyle name="Normal 2 4 5 2 3 5 3 2" xfId="15677" xr:uid="{F0EF65D0-19AC-4A43-9719-473BB411BDF5}"/>
    <cellStyle name="Normal 2 4 5 2 3 5 3 3" xfId="24118" xr:uid="{D8B1D5D7-E90D-488D-9ABD-F55123864CA2}"/>
    <cellStyle name="Normal 2 4 5 2 3 5 3 4" xfId="32558" xr:uid="{D8997CDB-4EC2-496C-9C39-7E65434BEAA0}"/>
    <cellStyle name="Normal 2 4 5 2 3 5 4" xfId="11460" xr:uid="{C08FC8A1-91DF-428C-881B-8591365E3EA0}"/>
    <cellStyle name="Normal 2 4 5 2 3 5 5" xfId="19901" xr:uid="{71E12F49-8BA4-476B-8811-1F851A59B84A}"/>
    <cellStyle name="Normal 2 4 5 2 3 5 6" xfId="28341" xr:uid="{C18C4103-9B12-4252-BDAE-A52C2C606C84}"/>
    <cellStyle name="Normal 2 4 5 2 3 6" xfId="2481" xr:uid="{00000000-0005-0000-0000-000070100000}"/>
    <cellStyle name="Normal 2 4 5 2 3 6 2" xfId="6764" xr:uid="{00000000-0005-0000-0000-000071100000}"/>
    <cellStyle name="Normal 2 4 5 2 3 6 2 2" xfId="16090" xr:uid="{EB195D35-A212-47EB-B85A-25216291DDB2}"/>
    <cellStyle name="Normal 2 4 5 2 3 6 2 3" xfId="24531" xr:uid="{69B5E60E-C8C0-4AD4-87E8-DD24D92BF908}"/>
    <cellStyle name="Normal 2 4 5 2 3 6 2 4" xfId="32971" xr:uid="{E3DF6912-E8FC-4CB3-A6E3-661242AE8E14}"/>
    <cellStyle name="Normal 2 4 5 2 3 6 3" xfId="11873" xr:uid="{62148133-E172-4CDB-9B44-7D8A3BED535E}"/>
    <cellStyle name="Normal 2 4 5 2 3 6 4" xfId="20314" xr:uid="{2C49A183-167E-4ECA-923E-8685A28C7060}"/>
    <cellStyle name="Normal 2 4 5 2 3 6 5" xfId="28754" xr:uid="{AA18EB70-653B-4EB1-9E41-00D550380099}"/>
    <cellStyle name="Normal 2 4 5 2 3 7" xfId="4698" xr:uid="{00000000-0005-0000-0000-000072100000}"/>
    <cellStyle name="Normal 2 4 5 2 3 7 2" xfId="14024" xr:uid="{2FE0D36F-C154-4D41-B90A-52237BE05DA2}"/>
    <cellStyle name="Normal 2 4 5 2 3 7 3" xfId="22465" xr:uid="{B5A6FCF4-0579-4784-8943-69C9BFC96A53}"/>
    <cellStyle name="Normal 2 4 5 2 3 7 4" xfId="30905" xr:uid="{16CA0717-F068-441B-86F0-CA298AEFA421}"/>
    <cellStyle name="Normal 2 4 5 2 3 8" xfId="9022" xr:uid="{B979F5DF-A88B-437D-B1B4-B92D08856DC7}"/>
    <cellStyle name="Normal 2 4 5 2 3 9" xfId="9807" xr:uid="{D2A6C289-DA72-481D-8476-0CFEC29D0D19}"/>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13D71223-E1DF-4E17-B78A-9DEACDD21509}"/>
    <cellStyle name="Normal 2 4 5 2 4 2 2 3" xfId="25021" xr:uid="{70D0D725-F74B-41A1-B219-45E53AD40DED}"/>
    <cellStyle name="Normal 2 4 5 2 4 2 2 4" xfId="33461" xr:uid="{677D9CA0-C3B8-4C91-821F-5A1A5542538B}"/>
    <cellStyle name="Normal 2 4 5 2 4 2 3" xfId="12363" xr:uid="{20D8B7E6-5C4E-4BFA-B6CC-DAA666AF6BBB}"/>
    <cellStyle name="Normal 2 4 5 2 4 2 4" xfId="20804" xr:uid="{5593406C-599B-4C36-A616-A4829868EAB0}"/>
    <cellStyle name="Normal 2 4 5 2 4 2 5" xfId="29244" xr:uid="{C0866FD0-017E-48FA-A561-B45B5CEF0F13}"/>
    <cellStyle name="Normal 2 4 5 2 4 3" xfId="5109" xr:uid="{00000000-0005-0000-0000-000076100000}"/>
    <cellStyle name="Normal 2 4 5 2 4 3 2" xfId="14435" xr:uid="{50031476-D63F-413A-98BB-8A4392C8484E}"/>
    <cellStyle name="Normal 2 4 5 2 4 3 3" xfId="22876" xr:uid="{B212CB06-6042-4018-8CF9-70569F5AD825}"/>
    <cellStyle name="Normal 2 4 5 2 4 3 4" xfId="31316" xr:uid="{005DBAE1-F3F8-4001-B1C3-9EDFF75469F8}"/>
    <cellStyle name="Normal 2 4 5 2 4 4" xfId="9240" xr:uid="{16FBE981-4867-4157-8C0D-9C1339DB5B3F}"/>
    <cellStyle name="Normal 2 4 5 2 4 5" xfId="10218" xr:uid="{8331B836-6BE1-4CED-AF3B-B3917ACAB68D}"/>
    <cellStyle name="Normal 2 4 5 2 4 6" xfId="18659" xr:uid="{32F14C51-25F4-4FA4-B2CD-ED0EDEA549C7}"/>
    <cellStyle name="Normal 2 4 5 2 4 7" xfId="27099" xr:uid="{9EF86A27-533E-44D4-8C9A-3C0847C1AF59}"/>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3BA7AC41-8EB6-4F3E-BAE0-1DA1A5DDCE95}"/>
    <cellStyle name="Normal 2 4 5 2 5 2 2 3" xfId="25434" xr:uid="{70ED1CF9-AEEE-4A6E-8444-C05616F3CFAD}"/>
    <cellStyle name="Normal 2 4 5 2 5 2 2 4" xfId="33874" xr:uid="{BE847985-158F-497E-A8E9-47FF1E02F720}"/>
    <cellStyle name="Normal 2 4 5 2 5 2 3" xfId="12776" xr:uid="{1A51D7E9-C932-4E34-8CDD-1649EAE4BE7A}"/>
    <cellStyle name="Normal 2 4 5 2 5 2 4" xfId="21217" xr:uid="{B173CDB2-1305-4F70-A9C8-A07F6B2C2DB1}"/>
    <cellStyle name="Normal 2 4 5 2 5 2 5" xfId="29657" xr:uid="{CAD8771F-196C-4A6C-9040-A4B6817FFB60}"/>
    <cellStyle name="Normal 2 4 5 2 5 3" xfId="5522" xr:uid="{00000000-0005-0000-0000-00007A100000}"/>
    <cellStyle name="Normal 2 4 5 2 5 3 2" xfId="14848" xr:uid="{8AC97F27-4F37-4363-A903-8E7C113F06B0}"/>
    <cellStyle name="Normal 2 4 5 2 5 3 3" xfId="23289" xr:uid="{5057D361-C8A2-4CC6-AABE-0CE2840F18E5}"/>
    <cellStyle name="Normal 2 4 5 2 5 3 4" xfId="31729" xr:uid="{37183824-FD52-4E52-9134-C09F510285B2}"/>
    <cellStyle name="Normal 2 4 5 2 5 4" xfId="10631" xr:uid="{EC443B51-90E2-4F56-BFEF-27FBDF73BE37}"/>
    <cellStyle name="Normal 2 4 5 2 5 5" xfId="19072" xr:uid="{0D405AA8-1BDF-45F9-80E3-DD4E813E6065}"/>
    <cellStyle name="Normal 2 4 5 2 5 6" xfId="27512" xr:uid="{146C9BC0-BDAC-45BB-BBDA-E7E89360D5BD}"/>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CF73715F-70B1-401D-897A-AE7A1FAC982D}"/>
    <cellStyle name="Normal 2 4 5 2 6 2 2 3" xfId="25847" xr:uid="{5D9A4A33-4240-4E83-8AC9-26079C06E5AC}"/>
    <cellStyle name="Normal 2 4 5 2 6 2 2 4" xfId="34287" xr:uid="{17E9A394-14F5-4396-BF2F-F54BB4970EF4}"/>
    <cellStyle name="Normal 2 4 5 2 6 2 3" xfId="13189" xr:uid="{BAC90131-01CA-4FE7-BFF8-0D12E959F34D}"/>
    <cellStyle name="Normal 2 4 5 2 6 2 4" xfId="21630" xr:uid="{0B4B0760-6E1C-4863-856D-F2A2C27F61A3}"/>
    <cellStyle name="Normal 2 4 5 2 6 2 5" xfId="30070" xr:uid="{08369537-0E5F-4B0B-ABDE-2E3F0F70AB23}"/>
    <cellStyle name="Normal 2 4 5 2 6 3" xfId="5935" xr:uid="{00000000-0005-0000-0000-00007E100000}"/>
    <cellStyle name="Normal 2 4 5 2 6 3 2" xfId="15261" xr:uid="{941967EA-4DF8-467C-BD1E-A2E3BBF6C89E}"/>
    <cellStyle name="Normal 2 4 5 2 6 3 3" xfId="23702" xr:uid="{3A23C691-36B7-4C92-AD54-830AA78562A4}"/>
    <cellStyle name="Normal 2 4 5 2 6 3 4" xfId="32142" xr:uid="{758C3146-E0A4-4C9C-9CF6-B6762D17ADD2}"/>
    <cellStyle name="Normal 2 4 5 2 6 4" xfId="11044" xr:uid="{240BC292-35FA-4F0C-830B-D7F26493507B}"/>
    <cellStyle name="Normal 2 4 5 2 6 5" xfId="19485" xr:uid="{67A19215-5BA9-41EA-B73C-C61D3CE03917}"/>
    <cellStyle name="Normal 2 4 5 2 6 6" xfId="27925" xr:uid="{0F0BCC0A-700F-4116-B81F-E6506D72E011}"/>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ED109C3D-EDFB-4B56-A4FA-2C05B81E33F9}"/>
    <cellStyle name="Normal 2 4 5 2 7 2 2 3" xfId="26260" xr:uid="{5839AD8A-EEEF-468A-9DBE-846B685409DC}"/>
    <cellStyle name="Normal 2 4 5 2 7 2 2 4" xfId="34700" xr:uid="{58E6DD7A-AAFC-4D0A-8CED-8D9C032D555C}"/>
    <cellStyle name="Normal 2 4 5 2 7 2 3" xfId="13602" xr:uid="{850CB4F9-7498-4008-8547-59BA62180F91}"/>
    <cellStyle name="Normal 2 4 5 2 7 2 4" xfId="22043" xr:uid="{420C93FC-D60C-4777-863D-516841EEE239}"/>
    <cellStyle name="Normal 2 4 5 2 7 2 5" xfId="30483" xr:uid="{58390E5E-6162-4655-BE9B-BDDB8C3A1D9C}"/>
    <cellStyle name="Normal 2 4 5 2 7 3" xfId="6348" xr:uid="{00000000-0005-0000-0000-000082100000}"/>
    <cellStyle name="Normal 2 4 5 2 7 3 2" xfId="15674" xr:uid="{99F30CFD-6E72-49E7-826B-615298F5894B}"/>
    <cellStyle name="Normal 2 4 5 2 7 3 3" xfId="24115" xr:uid="{925A595B-2EC6-4E81-97E6-B56A84095669}"/>
    <cellStyle name="Normal 2 4 5 2 7 3 4" xfId="32555" xr:uid="{69F66B75-A837-4FBB-BA23-73167CB0A62B}"/>
    <cellStyle name="Normal 2 4 5 2 7 4" xfId="11457" xr:uid="{1EECA2F6-09DB-427A-9BDA-050EA2D3A5AC}"/>
    <cellStyle name="Normal 2 4 5 2 7 5" xfId="19898" xr:uid="{7060A449-8353-4E52-B859-9E867B40EA71}"/>
    <cellStyle name="Normal 2 4 5 2 7 6" xfId="28338" xr:uid="{5441942C-95B7-4A56-AB73-B4C9A64A2902}"/>
    <cellStyle name="Normal 2 4 5 2 8" xfId="2478" xr:uid="{00000000-0005-0000-0000-000083100000}"/>
    <cellStyle name="Normal 2 4 5 2 8 2" xfId="6761" xr:uid="{00000000-0005-0000-0000-000084100000}"/>
    <cellStyle name="Normal 2 4 5 2 8 2 2" xfId="16087" xr:uid="{682AD22B-0B5A-42E3-912E-D979A5F8C23B}"/>
    <cellStyle name="Normal 2 4 5 2 8 2 3" xfId="24528" xr:uid="{905D6CC5-42E9-4EE1-95AB-AFD45F6EE264}"/>
    <cellStyle name="Normal 2 4 5 2 8 2 4" xfId="32968" xr:uid="{AC5715E9-FAAA-4236-A3F8-F69DB1D2301E}"/>
    <cellStyle name="Normal 2 4 5 2 8 3" xfId="11870" xr:uid="{8A09E75F-C407-4389-BFFD-5B836C2C3757}"/>
    <cellStyle name="Normal 2 4 5 2 8 4" xfId="20311" xr:uid="{629C3A77-6C3B-470F-B0F8-180DF900C3B3}"/>
    <cellStyle name="Normal 2 4 5 2 8 5" xfId="28751" xr:uid="{4C5C0DB4-7619-45B9-BD31-C032AEFE2606}"/>
    <cellStyle name="Normal 2 4 5 2 9" xfId="4695" xr:uid="{00000000-0005-0000-0000-000085100000}"/>
    <cellStyle name="Normal 2 4 5 2 9 2" xfId="14021" xr:uid="{1AF74832-CB2E-4DB4-982A-C87E325D0CB3}"/>
    <cellStyle name="Normal 2 4 5 2 9 3" xfId="22462" xr:uid="{3F3CD405-148E-44E2-BFC9-C605BD8F5426}"/>
    <cellStyle name="Normal 2 4 5 2 9 4" xfId="30902" xr:uid="{FBB20B08-4FEB-4900-AA56-4B53D1510790}"/>
    <cellStyle name="Normal 2 4 5 3" xfId="308" xr:uid="{00000000-0005-0000-0000-000086100000}"/>
    <cellStyle name="Normal 2 4 5 3 10" xfId="9808" xr:uid="{F691DE8E-CD31-45E9-A621-757CA6CD96B0}"/>
    <cellStyle name="Normal 2 4 5 3 11" xfId="18249" xr:uid="{613BC4E6-BFC3-4444-B13E-634E4FC0EF65}"/>
    <cellStyle name="Normal 2 4 5 3 12" xfId="26689" xr:uid="{44466617-8351-49F6-A217-9F4B26D836A1}"/>
    <cellStyle name="Normal 2 4 5 3 2" xfId="309" xr:uid="{00000000-0005-0000-0000-000087100000}"/>
    <cellStyle name="Normal 2 4 5 3 2 10" xfId="18250" xr:uid="{9DF969A2-BB57-4764-9EDF-15B0AD2EB3B2}"/>
    <cellStyle name="Normal 2 4 5 3 2 11" xfId="26690" xr:uid="{DE846222-2AAB-4EBD-87F4-B31A2E851DF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E6BA990B-8526-41F0-BFD2-CFD32E8D6923}"/>
    <cellStyle name="Normal 2 4 5 3 2 2 2 2 3" xfId="25026" xr:uid="{48D57ACB-E2E2-4061-AC9C-0763EF012CCE}"/>
    <cellStyle name="Normal 2 4 5 3 2 2 2 2 4" xfId="33466" xr:uid="{B266A5D7-5F76-489D-8740-D2BCF9098622}"/>
    <cellStyle name="Normal 2 4 5 3 2 2 2 3" xfId="12368" xr:uid="{36E48DF7-CB50-4AC7-94D0-C8FD7BC0D8E2}"/>
    <cellStyle name="Normal 2 4 5 3 2 2 2 4" xfId="20809" xr:uid="{4B89F9CF-341E-41D1-8619-40C049A7FB3F}"/>
    <cellStyle name="Normal 2 4 5 3 2 2 2 5" xfId="29249" xr:uid="{939D8135-9FD3-49F4-8768-7EBC283775D9}"/>
    <cellStyle name="Normal 2 4 5 3 2 2 3" xfId="5114" xr:uid="{00000000-0005-0000-0000-00008B100000}"/>
    <cellStyle name="Normal 2 4 5 3 2 2 3 2" xfId="14440" xr:uid="{AF86B6A8-C5AD-4D7A-A120-8E6B79CFCC92}"/>
    <cellStyle name="Normal 2 4 5 3 2 2 3 3" xfId="22881" xr:uid="{25653EB6-52F1-45B6-8042-C25C74AD5B1C}"/>
    <cellStyle name="Normal 2 4 5 3 2 2 3 4" xfId="31321" xr:uid="{D83628C6-8E8F-4559-B972-AB40A402DD9B}"/>
    <cellStyle name="Normal 2 4 5 3 2 2 4" xfId="9515" xr:uid="{A1D6949C-773D-44DB-B26F-4DD01D24FF00}"/>
    <cellStyle name="Normal 2 4 5 3 2 2 5" xfId="10223" xr:uid="{72B972EE-E240-4103-9FC1-532BCF745C16}"/>
    <cellStyle name="Normal 2 4 5 3 2 2 6" xfId="18664" xr:uid="{DC200546-555F-4D2B-9502-80B28AEC35AB}"/>
    <cellStyle name="Normal 2 4 5 3 2 2 7" xfId="27104" xr:uid="{9EE65BA7-1406-4C6E-8560-754A33F50BA5}"/>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73DDC80A-1F53-4F16-B59F-C5D891790348}"/>
    <cellStyle name="Normal 2 4 5 3 2 3 2 2 3" xfId="25439" xr:uid="{90EDF453-B055-409F-9226-5787BB4A2214}"/>
    <cellStyle name="Normal 2 4 5 3 2 3 2 2 4" xfId="33879" xr:uid="{28E5F2BC-F8A7-432F-93A6-70C79665D6F0}"/>
    <cellStyle name="Normal 2 4 5 3 2 3 2 3" xfId="12781" xr:uid="{89CFE4FA-D2FE-4D84-A5C7-58565510CD80}"/>
    <cellStyle name="Normal 2 4 5 3 2 3 2 4" xfId="21222" xr:uid="{63332565-841B-400C-BEA8-3730B2C5A54B}"/>
    <cellStyle name="Normal 2 4 5 3 2 3 2 5" xfId="29662" xr:uid="{E2D077B9-F1C0-4C13-BCE0-8CE919C4E6B3}"/>
    <cellStyle name="Normal 2 4 5 3 2 3 3" xfId="5527" xr:uid="{00000000-0005-0000-0000-00008F100000}"/>
    <cellStyle name="Normal 2 4 5 3 2 3 3 2" xfId="14853" xr:uid="{167CAC90-68F6-4285-85EC-BCB43C683203}"/>
    <cellStyle name="Normal 2 4 5 3 2 3 3 3" xfId="23294" xr:uid="{E345FEF1-91AF-4ACD-906D-BFAC7DD7E7E0}"/>
    <cellStyle name="Normal 2 4 5 3 2 3 3 4" xfId="31734" xr:uid="{B850F6A4-9C77-43DB-A144-8919967F62E0}"/>
    <cellStyle name="Normal 2 4 5 3 2 3 4" xfId="10636" xr:uid="{99FA0CA4-D5EC-4BD6-BB31-B73DFE6FDED7}"/>
    <cellStyle name="Normal 2 4 5 3 2 3 5" xfId="19077" xr:uid="{76935322-821A-4E51-BDE0-6D38E1197EC8}"/>
    <cellStyle name="Normal 2 4 5 3 2 3 6" xfId="27517" xr:uid="{3BA7CAF8-0E48-4E64-A500-16FDECE0635D}"/>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24AFA1F0-BFC5-49F7-9148-BF6E8A25C2E6}"/>
    <cellStyle name="Normal 2 4 5 3 2 4 2 2 3" xfId="25852" xr:uid="{192467DB-1566-4D72-BE96-DE0ACF9836B5}"/>
    <cellStyle name="Normal 2 4 5 3 2 4 2 2 4" xfId="34292" xr:uid="{454E8F3E-F247-4BAD-8A1D-E3D60659E710}"/>
    <cellStyle name="Normal 2 4 5 3 2 4 2 3" xfId="13194" xr:uid="{566FA99D-1A35-4503-B9DE-588D39DCAACB}"/>
    <cellStyle name="Normal 2 4 5 3 2 4 2 4" xfId="21635" xr:uid="{D41F0831-99F2-495B-A608-EF1728A5D371}"/>
    <cellStyle name="Normal 2 4 5 3 2 4 2 5" xfId="30075" xr:uid="{19F8C359-4089-4038-8C1B-9F1F97C6FAFE}"/>
    <cellStyle name="Normal 2 4 5 3 2 4 3" xfId="5940" xr:uid="{00000000-0005-0000-0000-000093100000}"/>
    <cellStyle name="Normal 2 4 5 3 2 4 3 2" xfId="15266" xr:uid="{301D7B7F-F222-4DE1-8870-A5D45F26921A}"/>
    <cellStyle name="Normal 2 4 5 3 2 4 3 3" xfId="23707" xr:uid="{84FA1655-A72E-4781-A627-33FFB7822DF1}"/>
    <cellStyle name="Normal 2 4 5 3 2 4 3 4" xfId="32147" xr:uid="{0E8A03FB-83F1-49C8-A35E-E5B8299C4DBA}"/>
    <cellStyle name="Normal 2 4 5 3 2 4 4" xfId="11049" xr:uid="{0AC34494-9797-48F9-83E6-FC021EC54670}"/>
    <cellStyle name="Normal 2 4 5 3 2 4 5" xfId="19490" xr:uid="{A250E86D-D3B8-4A9C-BF01-905FE8F162E4}"/>
    <cellStyle name="Normal 2 4 5 3 2 4 6" xfId="27930" xr:uid="{3D62A3D1-69F3-4E5E-BD80-48B448ED11C7}"/>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D8F1CE83-8190-4647-BBA0-6A3CDBCD4E4A}"/>
    <cellStyle name="Normal 2 4 5 3 2 5 2 2 3" xfId="26265" xr:uid="{08DC4945-AC34-412F-B7BE-B0F946859343}"/>
    <cellStyle name="Normal 2 4 5 3 2 5 2 2 4" xfId="34705" xr:uid="{C4072222-E461-42C6-A13F-371A5A5D52BB}"/>
    <cellStyle name="Normal 2 4 5 3 2 5 2 3" xfId="13607" xr:uid="{F0A4E107-9D08-4636-AE25-D6D8C3FEEFE1}"/>
    <cellStyle name="Normal 2 4 5 3 2 5 2 4" xfId="22048" xr:uid="{5BAF9085-1089-4E62-A1B2-3E4A4856C8E5}"/>
    <cellStyle name="Normal 2 4 5 3 2 5 2 5" xfId="30488" xr:uid="{EAD4AB18-0B3C-499A-AA67-BCAB04229545}"/>
    <cellStyle name="Normal 2 4 5 3 2 5 3" xfId="6353" xr:uid="{00000000-0005-0000-0000-000097100000}"/>
    <cellStyle name="Normal 2 4 5 3 2 5 3 2" xfId="15679" xr:uid="{228193B6-A722-4D0D-8E6C-2F1DFDC83887}"/>
    <cellStyle name="Normal 2 4 5 3 2 5 3 3" xfId="24120" xr:uid="{77D57256-B0FB-4F46-B3E3-D863158592AB}"/>
    <cellStyle name="Normal 2 4 5 3 2 5 3 4" xfId="32560" xr:uid="{71318813-E867-4E17-A762-58E0E3EAA3B7}"/>
    <cellStyle name="Normal 2 4 5 3 2 5 4" xfId="11462" xr:uid="{7BD63199-C91D-4B7E-A558-27BBFFD4F44A}"/>
    <cellStyle name="Normal 2 4 5 3 2 5 5" xfId="19903" xr:uid="{3CF4AB1F-364E-49E9-9916-AFCE5578D637}"/>
    <cellStyle name="Normal 2 4 5 3 2 5 6" xfId="28343" xr:uid="{D2BA229A-D860-4A83-8406-D234701AA012}"/>
    <cellStyle name="Normal 2 4 5 3 2 6" xfId="2483" xr:uid="{00000000-0005-0000-0000-000098100000}"/>
    <cellStyle name="Normal 2 4 5 3 2 6 2" xfId="6766" xr:uid="{00000000-0005-0000-0000-000099100000}"/>
    <cellStyle name="Normal 2 4 5 3 2 6 2 2" xfId="16092" xr:uid="{6CDA5763-338D-4AC4-AA7E-9BBFB6E4D25E}"/>
    <cellStyle name="Normal 2 4 5 3 2 6 2 3" xfId="24533" xr:uid="{81A3DA64-C8F7-42B4-8BCB-7D3C05A39DCF}"/>
    <cellStyle name="Normal 2 4 5 3 2 6 2 4" xfId="32973" xr:uid="{5AE71A02-836D-4CE8-B5E0-4C9F87B1E762}"/>
    <cellStyle name="Normal 2 4 5 3 2 6 3" xfId="11875" xr:uid="{BDF80F1E-860A-47FC-BD88-8AB6B95E57E7}"/>
    <cellStyle name="Normal 2 4 5 3 2 6 4" xfId="20316" xr:uid="{5FF2EF74-A1F4-4DB9-9A1F-DFC2BCE090F0}"/>
    <cellStyle name="Normal 2 4 5 3 2 6 5" xfId="28756" xr:uid="{D20ED58D-BE1E-4687-B3C8-72870E608C35}"/>
    <cellStyle name="Normal 2 4 5 3 2 7" xfId="4700" xr:uid="{00000000-0005-0000-0000-00009A100000}"/>
    <cellStyle name="Normal 2 4 5 3 2 7 2" xfId="14026" xr:uid="{195FB515-4D46-4F36-AE93-9794E10B7D16}"/>
    <cellStyle name="Normal 2 4 5 3 2 7 3" xfId="22467" xr:uid="{E10C04DE-E88C-4BF8-9C8F-8C3BE9AC3399}"/>
    <cellStyle name="Normal 2 4 5 3 2 7 4" xfId="30907" xr:uid="{E82692F2-02D7-4346-B4CE-2354A0855EE3}"/>
    <cellStyle name="Normal 2 4 5 3 2 8" xfId="9090" xr:uid="{4B64C5F8-5AC3-43D3-B94A-46850BBF79A5}"/>
    <cellStyle name="Normal 2 4 5 3 2 9" xfId="9809" xr:uid="{3A04F9D1-4ADF-47FF-B5B1-7F8306008BCB}"/>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7DCD2929-E4F3-409A-9F49-6D1C23AAF1AB}"/>
    <cellStyle name="Normal 2 4 5 3 3 2 2 3" xfId="25025" xr:uid="{5A0C9FCF-2053-4C22-817F-AE8AE39344DE}"/>
    <cellStyle name="Normal 2 4 5 3 3 2 2 4" xfId="33465" xr:uid="{C82BD434-27F2-4203-8097-3C9499519DF7}"/>
    <cellStyle name="Normal 2 4 5 3 3 2 3" xfId="12367" xr:uid="{7AC75B70-779B-4D9F-86E4-8260FF202135}"/>
    <cellStyle name="Normal 2 4 5 3 3 2 4" xfId="20808" xr:uid="{00FAD548-6794-4C23-9415-25AEF050633A}"/>
    <cellStyle name="Normal 2 4 5 3 3 2 5" xfId="29248" xr:uid="{1DCB9125-EE9C-4811-B6DA-D045DEBCA2AB}"/>
    <cellStyle name="Normal 2 4 5 3 3 3" xfId="5113" xr:uid="{00000000-0005-0000-0000-00009E100000}"/>
    <cellStyle name="Normal 2 4 5 3 3 3 2" xfId="14439" xr:uid="{B80AEAA2-F7AE-4044-9E51-A0462F27A565}"/>
    <cellStyle name="Normal 2 4 5 3 3 3 3" xfId="22880" xr:uid="{00B8C5CC-06D2-451E-9ADD-3F8F4D5D3DC9}"/>
    <cellStyle name="Normal 2 4 5 3 3 3 4" xfId="31320" xr:uid="{59557AB1-FD79-4321-9680-B7B8EB0251A7}"/>
    <cellStyle name="Normal 2 4 5 3 3 4" xfId="9308" xr:uid="{40198FFA-4C90-42BE-90C8-42459F1A2A1C}"/>
    <cellStyle name="Normal 2 4 5 3 3 5" xfId="10222" xr:uid="{ADB8C96A-5919-4A03-B315-50C9DD238F15}"/>
    <cellStyle name="Normal 2 4 5 3 3 6" xfId="18663" xr:uid="{57966649-390B-4631-8734-8E6F5E5361AF}"/>
    <cellStyle name="Normal 2 4 5 3 3 7" xfId="27103" xr:uid="{72CA2E9D-AE54-411E-B898-1F1714C1B8FD}"/>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E6E29609-C73B-423E-AA83-937CE1EBF976}"/>
    <cellStyle name="Normal 2 4 5 3 4 2 2 3" xfId="25438" xr:uid="{A7BD17DE-407C-499E-BAC0-BC0CE0EAD7A6}"/>
    <cellStyle name="Normal 2 4 5 3 4 2 2 4" xfId="33878" xr:uid="{2F0C7E33-0608-4D16-B506-DFF796FE5982}"/>
    <cellStyle name="Normal 2 4 5 3 4 2 3" xfId="12780" xr:uid="{EBF3E9F9-1544-43D0-B8AD-7AD3F179F458}"/>
    <cellStyle name="Normal 2 4 5 3 4 2 4" xfId="21221" xr:uid="{A70BC52F-3ABA-4EF3-BA20-AC08380A0E2E}"/>
    <cellStyle name="Normal 2 4 5 3 4 2 5" xfId="29661" xr:uid="{631C695E-B594-4C5A-9737-9C753520E164}"/>
    <cellStyle name="Normal 2 4 5 3 4 3" xfId="5526" xr:uid="{00000000-0005-0000-0000-0000A2100000}"/>
    <cellStyle name="Normal 2 4 5 3 4 3 2" xfId="14852" xr:uid="{8B28D693-875D-426E-90D9-17A46E7CBC05}"/>
    <cellStyle name="Normal 2 4 5 3 4 3 3" xfId="23293" xr:uid="{E093CED9-BD1C-46C3-A145-B080FEF72069}"/>
    <cellStyle name="Normal 2 4 5 3 4 3 4" xfId="31733" xr:uid="{A523DD59-A453-4823-BCB5-5C59880507CC}"/>
    <cellStyle name="Normal 2 4 5 3 4 4" xfId="10635" xr:uid="{F5ADA1B5-A9C8-4778-A5A0-10ECA53092C2}"/>
    <cellStyle name="Normal 2 4 5 3 4 5" xfId="19076" xr:uid="{91D54D04-57C9-45CD-94C9-069196184CCA}"/>
    <cellStyle name="Normal 2 4 5 3 4 6" xfId="27516" xr:uid="{6616A0EF-697C-4683-BB77-C6E203256666}"/>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17633AF5-3D83-4EED-A2B8-0D0440A7DAF4}"/>
    <cellStyle name="Normal 2 4 5 3 5 2 2 3" xfId="25851" xr:uid="{97FB94AE-04DF-4C84-A52B-1FC9CAE25FDD}"/>
    <cellStyle name="Normal 2 4 5 3 5 2 2 4" xfId="34291" xr:uid="{B0F0B4CD-830D-4FA2-9BA6-CF4BBAF09622}"/>
    <cellStyle name="Normal 2 4 5 3 5 2 3" xfId="13193" xr:uid="{41952D0F-BFCE-47C4-A8BD-55508366B3E2}"/>
    <cellStyle name="Normal 2 4 5 3 5 2 4" xfId="21634" xr:uid="{7F3F29F6-BD43-4EB0-8FD9-D4F7208EFF0F}"/>
    <cellStyle name="Normal 2 4 5 3 5 2 5" xfId="30074" xr:uid="{F3FF75E7-0FE8-4951-ABB2-A6EB58E183D1}"/>
    <cellStyle name="Normal 2 4 5 3 5 3" xfId="5939" xr:uid="{00000000-0005-0000-0000-0000A6100000}"/>
    <cellStyle name="Normal 2 4 5 3 5 3 2" xfId="15265" xr:uid="{116DF594-B245-4F01-8990-E0356C15CB73}"/>
    <cellStyle name="Normal 2 4 5 3 5 3 3" xfId="23706" xr:uid="{17879FA6-8F91-435C-8E0C-1CCB5BF7A65A}"/>
    <cellStyle name="Normal 2 4 5 3 5 3 4" xfId="32146" xr:uid="{A815AF91-84E0-402F-9633-17B9F1B11658}"/>
    <cellStyle name="Normal 2 4 5 3 5 4" xfId="11048" xr:uid="{0DF9D339-98F7-46DA-B92C-2A8D36165EB3}"/>
    <cellStyle name="Normal 2 4 5 3 5 5" xfId="19489" xr:uid="{0AFB530B-3931-4D74-BB12-174019BB6AE9}"/>
    <cellStyle name="Normal 2 4 5 3 5 6" xfId="27929" xr:uid="{8637C852-105A-49A3-8541-1010E5E36CC9}"/>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45BF0DB6-755F-4545-AE29-C3D3002C4F35}"/>
    <cellStyle name="Normal 2 4 5 3 6 2 2 3" xfId="26264" xr:uid="{D9202C3B-953E-4809-885D-524B569DDB9E}"/>
    <cellStyle name="Normal 2 4 5 3 6 2 2 4" xfId="34704" xr:uid="{3E1862C4-6C43-45D8-A8D7-5D3D85F32C16}"/>
    <cellStyle name="Normal 2 4 5 3 6 2 3" xfId="13606" xr:uid="{733DB13B-781A-469A-B9BF-94BF59853311}"/>
    <cellStyle name="Normal 2 4 5 3 6 2 4" xfId="22047" xr:uid="{6447DABF-4BFF-48BB-B24A-3952BA32F9E4}"/>
    <cellStyle name="Normal 2 4 5 3 6 2 5" xfId="30487" xr:uid="{63BB6F27-1793-461C-B8D9-AFE531814130}"/>
    <cellStyle name="Normal 2 4 5 3 6 3" xfId="6352" xr:uid="{00000000-0005-0000-0000-0000AA100000}"/>
    <cellStyle name="Normal 2 4 5 3 6 3 2" xfId="15678" xr:uid="{4BB37268-10E3-407D-8806-ADEBC29641D4}"/>
    <cellStyle name="Normal 2 4 5 3 6 3 3" xfId="24119" xr:uid="{06FC5C0E-05B5-483A-B4D4-F415E09B80A5}"/>
    <cellStyle name="Normal 2 4 5 3 6 3 4" xfId="32559" xr:uid="{01A90592-AECD-4FEA-8BE8-4DF4F1810FC0}"/>
    <cellStyle name="Normal 2 4 5 3 6 4" xfId="11461" xr:uid="{01F4EBB5-3249-41EF-A880-E8EA95302F59}"/>
    <cellStyle name="Normal 2 4 5 3 6 5" xfId="19902" xr:uid="{696DE799-A249-46E2-A0C3-F83BE8E4E1BB}"/>
    <cellStyle name="Normal 2 4 5 3 6 6" xfId="28342" xr:uid="{A408D2D8-1683-4FA4-8365-55080A2E1EEB}"/>
    <cellStyle name="Normal 2 4 5 3 7" xfId="2482" xr:uid="{00000000-0005-0000-0000-0000AB100000}"/>
    <cellStyle name="Normal 2 4 5 3 7 2" xfId="6765" xr:uid="{00000000-0005-0000-0000-0000AC100000}"/>
    <cellStyle name="Normal 2 4 5 3 7 2 2" xfId="16091" xr:uid="{F65CCF17-8E4D-4404-8175-07119732E1DE}"/>
    <cellStyle name="Normal 2 4 5 3 7 2 3" xfId="24532" xr:uid="{1161F989-67E7-4CF7-8077-E5D2085212A6}"/>
    <cellStyle name="Normal 2 4 5 3 7 2 4" xfId="32972" xr:uid="{A71A80A4-5AE2-4C37-BEC0-B5F8EB8443BC}"/>
    <cellStyle name="Normal 2 4 5 3 7 3" xfId="11874" xr:uid="{A1D6A531-28FC-4FC8-A2C0-53E4A28AB5F3}"/>
    <cellStyle name="Normal 2 4 5 3 7 4" xfId="20315" xr:uid="{FC2DD9A5-41DB-476A-9773-BDF216E41E59}"/>
    <cellStyle name="Normal 2 4 5 3 7 5" xfId="28755" xr:uid="{6CE667DF-E5F1-4F11-AF6F-79F18B9CB08E}"/>
    <cellStyle name="Normal 2 4 5 3 8" xfId="4699" xr:uid="{00000000-0005-0000-0000-0000AD100000}"/>
    <cellStyle name="Normal 2 4 5 3 8 2" xfId="14025" xr:uid="{3CDD86D0-F744-4A58-9576-7F977654B0E3}"/>
    <cellStyle name="Normal 2 4 5 3 8 3" xfId="22466" xr:uid="{8F92E3BE-16B8-4EF5-960D-25BE495EA517}"/>
    <cellStyle name="Normal 2 4 5 3 8 4" xfId="30906" xr:uid="{CC3AE8E7-D8EF-4292-A417-44BA871504DD}"/>
    <cellStyle name="Normal 2 4 5 3 9" xfId="8883" xr:uid="{0A470B75-873E-4D74-A257-113E3E343E18}"/>
    <cellStyle name="Normal 2 4 5 4" xfId="310" xr:uid="{00000000-0005-0000-0000-0000AE100000}"/>
    <cellStyle name="Normal 2 4 5 4 10" xfId="18251" xr:uid="{3A71B5C5-073F-4065-A293-A7F59E87EDF8}"/>
    <cellStyle name="Normal 2 4 5 4 11" xfId="26691" xr:uid="{34F1EE34-B954-4CD3-834F-B02963E5A00A}"/>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F4717292-D8D4-4451-8ED0-0553274603F3}"/>
    <cellStyle name="Normal 2 4 5 4 2 2 2 3" xfId="25027" xr:uid="{24D69FDF-E4DC-424F-A7B5-A8F7B1BDF584}"/>
    <cellStyle name="Normal 2 4 5 4 2 2 2 4" xfId="33467" xr:uid="{B3048859-573A-46F9-A9BA-43C5EFF7FBEC}"/>
    <cellStyle name="Normal 2 4 5 4 2 2 3" xfId="12369" xr:uid="{17D4EDC3-09E2-4330-BD1C-E8E8568E31E3}"/>
    <cellStyle name="Normal 2 4 5 4 2 2 4" xfId="20810" xr:uid="{A137A285-756E-4457-A2A7-F235C4C07246}"/>
    <cellStyle name="Normal 2 4 5 4 2 2 5" xfId="29250" xr:uid="{22332EC9-2C1C-49C4-B579-2DE4348A5E07}"/>
    <cellStyle name="Normal 2 4 5 4 2 3" xfId="5115" xr:uid="{00000000-0005-0000-0000-0000B2100000}"/>
    <cellStyle name="Normal 2 4 5 4 2 3 2" xfId="14441" xr:uid="{7BA28DEB-ADE4-4D47-A40A-FA73F034026A}"/>
    <cellStyle name="Normal 2 4 5 4 2 3 3" xfId="22882" xr:uid="{09D02DE2-F88C-4906-89A6-7DEA9360EBFB}"/>
    <cellStyle name="Normal 2 4 5 4 2 3 4" xfId="31322" xr:uid="{8A69B542-4CC3-47EF-AD7D-3593D003B913}"/>
    <cellStyle name="Normal 2 4 5 4 2 4" xfId="9412" xr:uid="{0ECAC303-3EA0-4623-AA0F-854157CA32E5}"/>
    <cellStyle name="Normal 2 4 5 4 2 5" xfId="10224" xr:uid="{93022BAA-BE2C-4DC9-B1B5-2D2E16E8CB89}"/>
    <cellStyle name="Normal 2 4 5 4 2 6" xfId="18665" xr:uid="{AEFC0585-23CE-49F3-923F-59B80517459F}"/>
    <cellStyle name="Normal 2 4 5 4 2 7" xfId="27105" xr:uid="{76E84980-6EE1-42ED-9B60-FB1F46493D02}"/>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C9C5F706-71E5-489F-ABF1-8073881558DC}"/>
    <cellStyle name="Normal 2 4 5 4 3 2 2 3" xfId="25440" xr:uid="{D8AD3B56-F023-448C-923D-67FB6E54A2B1}"/>
    <cellStyle name="Normal 2 4 5 4 3 2 2 4" xfId="33880" xr:uid="{88C357C2-4EA2-4042-96FA-4FCCD2A8C89F}"/>
    <cellStyle name="Normal 2 4 5 4 3 2 3" xfId="12782" xr:uid="{9320BAC0-C274-4803-9DA9-3EC35DA11FEE}"/>
    <cellStyle name="Normal 2 4 5 4 3 2 4" xfId="21223" xr:uid="{9528C17E-89DC-4556-80AD-F9DDF3EF708F}"/>
    <cellStyle name="Normal 2 4 5 4 3 2 5" xfId="29663" xr:uid="{EE97E2C6-E5F4-4118-B09D-781769FA4CDF}"/>
    <cellStyle name="Normal 2 4 5 4 3 3" xfId="5528" xr:uid="{00000000-0005-0000-0000-0000B6100000}"/>
    <cellStyle name="Normal 2 4 5 4 3 3 2" xfId="14854" xr:uid="{4725AB5A-555F-4F2F-B745-FC35B8EBDFF2}"/>
    <cellStyle name="Normal 2 4 5 4 3 3 3" xfId="23295" xr:uid="{7CF531E0-A5E8-4F60-A7AA-E53093F69088}"/>
    <cellStyle name="Normal 2 4 5 4 3 3 4" xfId="31735" xr:uid="{D78D18B0-5BF3-453A-A07F-869E1354F645}"/>
    <cellStyle name="Normal 2 4 5 4 3 4" xfId="10637" xr:uid="{B9F9B236-0682-4C4F-B47B-45ABB3C74A5E}"/>
    <cellStyle name="Normal 2 4 5 4 3 5" xfId="19078" xr:uid="{ADA69C1A-B6C6-4B37-9626-DCD4D3215C1F}"/>
    <cellStyle name="Normal 2 4 5 4 3 6" xfId="27518" xr:uid="{81D545E7-9DBC-463C-BB78-010A42B7982B}"/>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FF54E98D-3F4D-48E6-A20D-AD0AB45AA3F0}"/>
    <cellStyle name="Normal 2 4 5 4 4 2 2 3" xfId="25853" xr:uid="{A16EC81A-B2DD-4347-AC2B-F38C916A0A77}"/>
    <cellStyle name="Normal 2 4 5 4 4 2 2 4" xfId="34293" xr:uid="{29664E86-36D0-4B97-9E78-D36991ECF42C}"/>
    <cellStyle name="Normal 2 4 5 4 4 2 3" xfId="13195" xr:uid="{EAA9AC3B-ACBF-450F-82B1-C9D33A6F7CF6}"/>
    <cellStyle name="Normal 2 4 5 4 4 2 4" xfId="21636" xr:uid="{52BE9664-547C-4953-9959-0214B1ECB7A4}"/>
    <cellStyle name="Normal 2 4 5 4 4 2 5" xfId="30076" xr:uid="{4321928F-949C-4677-97BD-BE9DF992223B}"/>
    <cellStyle name="Normal 2 4 5 4 4 3" xfId="5941" xr:uid="{00000000-0005-0000-0000-0000BA100000}"/>
    <cellStyle name="Normal 2 4 5 4 4 3 2" xfId="15267" xr:uid="{73AE965A-D11D-4953-843F-AB0FC88EDCAE}"/>
    <cellStyle name="Normal 2 4 5 4 4 3 3" xfId="23708" xr:uid="{68C2ACAF-200E-4516-A29A-A13E688CA626}"/>
    <cellStyle name="Normal 2 4 5 4 4 3 4" xfId="32148" xr:uid="{C879FCE8-D0E7-448D-8D66-AD2013733A5B}"/>
    <cellStyle name="Normal 2 4 5 4 4 4" xfId="11050" xr:uid="{3CCA560B-5C7C-4417-A675-3B571C2BF500}"/>
    <cellStyle name="Normal 2 4 5 4 4 5" xfId="19491" xr:uid="{BA62035D-7A3A-4418-82AF-52D447955CE4}"/>
    <cellStyle name="Normal 2 4 5 4 4 6" xfId="27931" xr:uid="{00166590-3480-4600-981C-C8F85FBD7AAA}"/>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8BBA7523-6C86-46D2-874A-47BA53D255AE}"/>
    <cellStyle name="Normal 2 4 5 4 5 2 2 3" xfId="26266" xr:uid="{8149E5E2-6A43-4ED5-8387-55DD2BF71282}"/>
    <cellStyle name="Normal 2 4 5 4 5 2 2 4" xfId="34706" xr:uid="{02764632-7990-47FC-AB5F-3FD390474A5E}"/>
    <cellStyle name="Normal 2 4 5 4 5 2 3" xfId="13608" xr:uid="{3F8212FC-A382-46DA-B86A-F138D8A4D9A8}"/>
    <cellStyle name="Normal 2 4 5 4 5 2 4" xfId="22049" xr:uid="{2E77F766-8D00-4EB4-86A2-05798F837DF6}"/>
    <cellStyle name="Normal 2 4 5 4 5 2 5" xfId="30489" xr:uid="{4E9C96E8-7239-4351-A2AA-FC1F1FF174C6}"/>
    <cellStyle name="Normal 2 4 5 4 5 3" xfId="6354" xr:uid="{00000000-0005-0000-0000-0000BE100000}"/>
    <cellStyle name="Normal 2 4 5 4 5 3 2" xfId="15680" xr:uid="{1814C6CF-B2E7-497C-9CD7-C83FF66B976B}"/>
    <cellStyle name="Normal 2 4 5 4 5 3 3" xfId="24121" xr:uid="{1D2F2947-6C41-4D4D-A14E-3536598197C0}"/>
    <cellStyle name="Normal 2 4 5 4 5 3 4" xfId="32561" xr:uid="{68823600-3D91-4D9A-8F12-3F41E71C44D6}"/>
    <cellStyle name="Normal 2 4 5 4 5 4" xfId="11463" xr:uid="{7D5EC82B-F7AF-47BC-A188-31C5352DDFC3}"/>
    <cellStyle name="Normal 2 4 5 4 5 5" xfId="19904" xr:uid="{024E0523-8C19-49B2-878D-17639AFA75D3}"/>
    <cellStyle name="Normal 2 4 5 4 5 6" xfId="28344" xr:uid="{D6464FB6-C920-45A1-BC39-A3C212130E57}"/>
    <cellStyle name="Normal 2 4 5 4 6" xfId="2484" xr:uid="{00000000-0005-0000-0000-0000BF100000}"/>
    <cellStyle name="Normal 2 4 5 4 6 2" xfId="6767" xr:uid="{00000000-0005-0000-0000-0000C0100000}"/>
    <cellStyle name="Normal 2 4 5 4 6 2 2" xfId="16093" xr:uid="{1D43291F-F44B-40D6-BB95-AAC148B735B0}"/>
    <cellStyle name="Normal 2 4 5 4 6 2 3" xfId="24534" xr:uid="{E08C39BE-40A3-4211-B051-E9536FBA82A0}"/>
    <cellStyle name="Normal 2 4 5 4 6 2 4" xfId="32974" xr:uid="{A0C4AFE5-E899-4D34-98A8-CD1D1C20E3B7}"/>
    <cellStyle name="Normal 2 4 5 4 6 3" xfId="11876" xr:uid="{9116F39A-EDB2-43FE-AA57-EF09BB56E3D8}"/>
    <cellStyle name="Normal 2 4 5 4 6 4" xfId="20317" xr:uid="{F528E6F3-1662-46DE-9F54-B5F400B0276C}"/>
    <cellStyle name="Normal 2 4 5 4 6 5" xfId="28757" xr:uid="{683B887B-D0EA-4A31-9B77-E41A70B32609}"/>
    <cellStyle name="Normal 2 4 5 4 7" xfId="4701" xr:uid="{00000000-0005-0000-0000-0000C1100000}"/>
    <cellStyle name="Normal 2 4 5 4 7 2" xfId="14027" xr:uid="{D83B2BEB-B924-42F5-A5BC-B62E70E10399}"/>
    <cellStyle name="Normal 2 4 5 4 7 3" xfId="22468" xr:uid="{C88D3913-C115-4D33-A7FC-D0CA1F4BE4DB}"/>
    <cellStyle name="Normal 2 4 5 4 7 4" xfId="30908" xr:uid="{65EB0305-ADA3-4FA6-8BF4-9A19F2B76352}"/>
    <cellStyle name="Normal 2 4 5 4 8" xfId="8987" xr:uid="{8DC2C01A-3078-41AD-BCFB-AA1CA8EE9C0A}"/>
    <cellStyle name="Normal 2 4 5 4 9" xfId="9810" xr:uid="{418E16AF-CC29-437D-83BA-5BDDCC4D45FA}"/>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44AD6611-459B-4F08-8D6D-F3F92A3F5A1C}"/>
    <cellStyle name="Normal 2 4 5 5 2 2 3" xfId="25020" xr:uid="{C1771883-B432-49DE-B8A1-555A2C7FF98B}"/>
    <cellStyle name="Normal 2 4 5 5 2 2 4" xfId="33460" xr:uid="{CBF64E29-7C11-4D3E-8773-2E2E479E39D3}"/>
    <cellStyle name="Normal 2 4 5 5 2 3" xfId="12362" xr:uid="{66FE9F7B-8A41-4792-A84A-35744DEE1A42}"/>
    <cellStyle name="Normal 2 4 5 5 2 4" xfId="20803" xr:uid="{F86DD897-90F3-49AD-A45B-DD2E06823AD1}"/>
    <cellStyle name="Normal 2 4 5 5 2 5" xfId="29243" xr:uid="{303EEB40-6E52-476B-AEEB-64942AF1971B}"/>
    <cellStyle name="Normal 2 4 5 5 3" xfId="5108" xr:uid="{00000000-0005-0000-0000-0000C5100000}"/>
    <cellStyle name="Normal 2 4 5 5 3 2" xfId="14434" xr:uid="{599E0794-367E-4E46-9F2E-99C2CBE36300}"/>
    <cellStyle name="Normal 2 4 5 5 3 3" xfId="22875" xr:uid="{7BA3AD12-19E5-4D2E-ACAE-567380C87775}"/>
    <cellStyle name="Normal 2 4 5 5 3 4" xfId="31315" xr:uid="{67835299-ECFC-447E-8D9B-EF03FD9D0396}"/>
    <cellStyle name="Normal 2 4 5 5 4" xfId="9204" xr:uid="{BE34B337-03EE-47D8-9E35-2EE6FAB30236}"/>
    <cellStyle name="Normal 2 4 5 5 5" xfId="10217" xr:uid="{2A04D5D8-30A0-4C5C-8522-781F65679D5B}"/>
    <cellStyle name="Normal 2 4 5 5 6" xfId="18658" xr:uid="{5D8F410E-511C-44B3-89C4-D3A8AD3CEEB2}"/>
    <cellStyle name="Normal 2 4 5 5 7" xfId="27098" xr:uid="{A4D99198-591C-4F32-88A6-91A214743459}"/>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9E3318E4-7269-4A3C-8C2A-506792FE51E4}"/>
    <cellStyle name="Normal 2 4 5 6 2 2 3" xfId="25433" xr:uid="{76CC32FC-7886-443E-85E6-634458D78A80}"/>
    <cellStyle name="Normal 2 4 5 6 2 2 4" xfId="33873" xr:uid="{675B28D8-1D9F-43FF-8D46-7818A0A7266B}"/>
    <cellStyle name="Normal 2 4 5 6 2 3" xfId="12775" xr:uid="{2C64975C-D171-44E5-9170-54CD023B715E}"/>
    <cellStyle name="Normal 2 4 5 6 2 4" xfId="21216" xr:uid="{9C47C620-EDB8-494B-A8ED-7D5E16F41CB0}"/>
    <cellStyle name="Normal 2 4 5 6 2 5" xfId="29656" xr:uid="{62EB9E9A-00E1-419F-92EF-58018E2337D0}"/>
    <cellStyle name="Normal 2 4 5 6 3" xfId="5521" xr:uid="{00000000-0005-0000-0000-0000C9100000}"/>
    <cellStyle name="Normal 2 4 5 6 3 2" xfId="14847" xr:uid="{8E91ACF3-A8E6-40A3-8D60-6CC5F2A5D0CC}"/>
    <cellStyle name="Normal 2 4 5 6 3 3" xfId="23288" xr:uid="{9FFED1B3-D199-4CCB-8C48-5812C0E5117D}"/>
    <cellStyle name="Normal 2 4 5 6 3 4" xfId="31728" xr:uid="{DB109CA3-6F82-45A5-AB9E-5CC11CBDC257}"/>
    <cellStyle name="Normal 2 4 5 6 4" xfId="10630" xr:uid="{ED2A05E6-6BCD-4DAD-A1A4-8E494CBBCA79}"/>
    <cellStyle name="Normal 2 4 5 6 5" xfId="19071" xr:uid="{C51B683F-3153-4D0C-A03A-184DE650D105}"/>
    <cellStyle name="Normal 2 4 5 6 6" xfId="27511" xr:uid="{6CF0ED1C-77CE-4947-97B5-04635677F4C6}"/>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8F070B68-0D22-410B-9070-32140D07588E}"/>
    <cellStyle name="Normal 2 4 5 7 2 2 3" xfId="25846" xr:uid="{4FC387BF-AAB1-4288-840B-84FEBA93BFA2}"/>
    <cellStyle name="Normal 2 4 5 7 2 2 4" xfId="34286" xr:uid="{31F928DF-70BC-41DD-860E-DF905EDEFEB7}"/>
    <cellStyle name="Normal 2 4 5 7 2 3" xfId="13188" xr:uid="{2F6D9780-F6F8-40C2-93BE-1EC5CF6A21AF}"/>
    <cellStyle name="Normal 2 4 5 7 2 4" xfId="21629" xr:uid="{0A42DF8A-F7E2-4E3E-99A6-E3DD077A4545}"/>
    <cellStyle name="Normal 2 4 5 7 2 5" xfId="30069" xr:uid="{F9EEBFCE-FB4B-4D2D-931B-3620B81F5C39}"/>
    <cellStyle name="Normal 2 4 5 7 3" xfId="5934" xr:uid="{00000000-0005-0000-0000-0000CD100000}"/>
    <cellStyle name="Normal 2 4 5 7 3 2" xfId="15260" xr:uid="{5B086400-D59B-4304-9FF6-273802F02715}"/>
    <cellStyle name="Normal 2 4 5 7 3 3" xfId="23701" xr:uid="{D2455F91-00C3-4B74-AF2C-653962091E62}"/>
    <cellStyle name="Normal 2 4 5 7 3 4" xfId="32141" xr:uid="{F4BFA744-CD68-4816-8407-5968EA5CE91D}"/>
    <cellStyle name="Normal 2 4 5 7 4" xfId="11043" xr:uid="{C1F7D254-4190-4DAB-9875-96844D5D38F2}"/>
    <cellStyle name="Normal 2 4 5 7 5" xfId="19484" xr:uid="{8CB0D703-C71B-4019-B7C1-63964945972F}"/>
    <cellStyle name="Normal 2 4 5 7 6" xfId="27924" xr:uid="{D2FF1BA0-AE4D-4D52-A0BF-5BFD591F126D}"/>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F509DA5B-D9C8-47EF-892C-B6A0ED3991E7}"/>
    <cellStyle name="Normal 2 4 5 8 2 2 3" xfId="26259" xr:uid="{3C725AC8-987D-48E1-A3D3-2A0991574E0F}"/>
    <cellStyle name="Normal 2 4 5 8 2 2 4" xfId="34699" xr:uid="{8FCD7E17-B303-40B6-84B7-520C2DD9CE5F}"/>
    <cellStyle name="Normal 2 4 5 8 2 3" xfId="13601" xr:uid="{B8F2AD91-FE4F-435F-A21D-06F5835943E5}"/>
    <cellStyle name="Normal 2 4 5 8 2 4" xfId="22042" xr:uid="{81FAE176-129E-407B-88F2-8E28BC481484}"/>
    <cellStyle name="Normal 2 4 5 8 2 5" xfId="30482" xr:uid="{D2E53464-F629-42C8-B4DF-63F61CA3D3E9}"/>
    <cellStyle name="Normal 2 4 5 8 3" xfId="6347" xr:uid="{00000000-0005-0000-0000-0000D1100000}"/>
    <cellStyle name="Normal 2 4 5 8 3 2" xfId="15673" xr:uid="{E4EF8AE6-766E-429E-BCBA-FC39A8A35362}"/>
    <cellStyle name="Normal 2 4 5 8 3 3" xfId="24114" xr:uid="{D0AD15A3-26D5-4E86-AA17-2992C165FD35}"/>
    <cellStyle name="Normal 2 4 5 8 3 4" xfId="32554" xr:uid="{918859FB-45C8-46B5-A533-5863BBFE4D84}"/>
    <cellStyle name="Normal 2 4 5 8 4" xfId="11456" xr:uid="{21592E45-A8A7-4855-87E3-8109D123BBA9}"/>
    <cellStyle name="Normal 2 4 5 8 5" xfId="19897" xr:uid="{7069C9CE-6D1E-4D6C-9895-731B2B50A795}"/>
    <cellStyle name="Normal 2 4 5 8 6" xfId="28337" xr:uid="{C236ACD6-3F1B-4FFF-91AC-596CF1B7291C}"/>
    <cellStyle name="Normal 2 4 5 9" xfId="2477" xr:uid="{00000000-0005-0000-0000-0000D2100000}"/>
    <cellStyle name="Normal 2 4 5 9 2" xfId="6760" xr:uid="{00000000-0005-0000-0000-0000D3100000}"/>
    <cellStyle name="Normal 2 4 5 9 2 2" xfId="16086" xr:uid="{A009B8A5-2D4C-4213-89FB-349DECA8D8D8}"/>
    <cellStyle name="Normal 2 4 5 9 2 3" xfId="24527" xr:uid="{8FE91040-468D-47E8-BDDE-88835BFE541F}"/>
    <cellStyle name="Normal 2 4 5 9 2 4" xfId="32967" xr:uid="{5CC947F4-BAD8-4766-BFB4-98A25C033582}"/>
    <cellStyle name="Normal 2 4 5 9 3" xfId="11869" xr:uid="{B3C95017-8714-414D-AC5F-DC2AD003A722}"/>
    <cellStyle name="Normal 2 4 5 9 4" xfId="20310" xr:uid="{13DDCD19-5824-4FF1-A335-882615C474EE}"/>
    <cellStyle name="Normal 2 4 5 9 5" xfId="28750" xr:uid="{24A2B0B5-5921-4526-928F-FEF4861EF27C}"/>
    <cellStyle name="Normal 2 4 6" xfId="311" xr:uid="{00000000-0005-0000-0000-0000D4100000}"/>
    <cellStyle name="Normal 2 4 7" xfId="312" xr:uid="{00000000-0005-0000-0000-0000D5100000}"/>
    <cellStyle name="Normal 2 4 7 10" xfId="9811" xr:uid="{80F54DE0-F61F-4B94-897E-E02BDCA6692D}"/>
    <cellStyle name="Normal 2 4 7 11" xfId="18252" xr:uid="{711FE41F-E7B2-46FE-91C9-797C71E2DFE2}"/>
    <cellStyle name="Normal 2 4 7 12" xfId="26692" xr:uid="{A723589E-3C25-4C85-960E-9CBD8A226A43}"/>
    <cellStyle name="Normal 2 4 7 2" xfId="313" xr:uid="{00000000-0005-0000-0000-0000D6100000}"/>
    <cellStyle name="Normal 2 4 7 2 10" xfId="18253" xr:uid="{774FC6C5-00FE-4D82-A484-FF66756617BB}"/>
    <cellStyle name="Normal 2 4 7 2 11" xfId="26693" xr:uid="{D7B917C0-9EAD-46DA-BE97-42EF90348A92}"/>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F0CA89BD-92DC-4383-AA48-1FA62AAE43B9}"/>
    <cellStyle name="Normal 2 4 7 2 2 2 2 3" xfId="25029" xr:uid="{D204F063-21DA-4BB9-B1B3-90DE662316DA}"/>
    <cellStyle name="Normal 2 4 7 2 2 2 2 4" xfId="33469" xr:uid="{FBADF78D-6040-46B8-92A9-CD96FCCB36D2}"/>
    <cellStyle name="Normal 2 4 7 2 2 2 3" xfId="12371" xr:uid="{A3346EAE-AA16-410F-B08F-E28CF0EFE4DD}"/>
    <cellStyle name="Normal 2 4 7 2 2 2 4" xfId="20812" xr:uid="{3E2F1915-BFC3-4786-83DE-7CB638D1F9C2}"/>
    <cellStyle name="Normal 2 4 7 2 2 2 5" xfId="29252" xr:uid="{6DF43865-685D-4EB5-B96F-9A13D0B59BE3}"/>
    <cellStyle name="Normal 2 4 7 2 2 3" xfId="5117" xr:uid="{00000000-0005-0000-0000-0000DA100000}"/>
    <cellStyle name="Normal 2 4 7 2 2 3 2" xfId="14443" xr:uid="{5D27BB56-0119-4DBE-9C6E-7F6F9867666F}"/>
    <cellStyle name="Normal 2 4 7 2 2 3 3" xfId="22884" xr:uid="{A6651D7C-5C61-4025-942E-6D594A2C32AE}"/>
    <cellStyle name="Normal 2 4 7 2 2 3 4" xfId="31324" xr:uid="{8B739E40-D13C-462D-A15D-D8EE8F20CD02}"/>
    <cellStyle name="Normal 2 4 7 2 2 4" xfId="9483" xr:uid="{3D7EFF6F-050D-4214-91CB-DF2673F23584}"/>
    <cellStyle name="Normal 2 4 7 2 2 5" xfId="10226" xr:uid="{07D84A3B-E80A-4A9F-B156-AF3D13DCC01E}"/>
    <cellStyle name="Normal 2 4 7 2 2 6" xfId="18667" xr:uid="{A8648645-F8A3-4A95-847B-6081CF0075ED}"/>
    <cellStyle name="Normal 2 4 7 2 2 7" xfId="27107" xr:uid="{7D5109BA-5928-4C91-A508-1C4B125A4F3D}"/>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771F28C0-A019-40DA-B2BE-99972AA23748}"/>
    <cellStyle name="Normal 2 4 7 2 3 2 2 3" xfId="25442" xr:uid="{8AF6DBB3-62A1-4C24-A0E5-339162776A43}"/>
    <cellStyle name="Normal 2 4 7 2 3 2 2 4" xfId="33882" xr:uid="{A4C7F256-9FA6-4A9D-AA9E-53AA0DED2CBD}"/>
    <cellStyle name="Normal 2 4 7 2 3 2 3" xfId="12784" xr:uid="{8B87F2BE-9B82-4732-8403-6287831BE8A3}"/>
    <cellStyle name="Normal 2 4 7 2 3 2 4" xfId="21225" xr:uid="{FB979AB3-2BC6-48EF-A590-327FEEA6F5CC}"/>
    <cellStyle name="Normal 2 4 7 2 3 2 5" xfId="29665" xr:uid="{4951C5A2-7AA0-40EB-9C48-81098D23176D}"/>
    <cellStyle name="Normal 2 4 7 2 3 3" xfId="5530" xr:uid="{00000000-0005-0000-0000-0000DE100000}"/>
    <cellStyle name="Normal 2 4 7 2 3 3 2" xfId="14856" xr:uid="{07255360-3565-4D5B-8139-60B2EAC6217B}"/>
    <cellStyle name="Normal 2 4 7 2 3 3 3" xfId="23297" xr:uid="{DAD8AC21-AE61-4B86-B4E7-56217E6D972D}"/>
    <cellStyle name="Normal 2 4 7 2 3 3 4" xfId="31737" xr:uid="{15FA1E67-4124-4249-ACDC-69DD25A0D7F7}"/>
    <cellStyle name="Normal 2 4 7 2 3 4" xfId="10639" xr:uid="{A8C58C3E-6677-4212-81D1-56A67143A532}"/>
    <cellStyle name="Normal 2 4 7 2 3 5" xfId="19080" xr:uid="{75847145-B80E-43A1-9CBE-092B67231573}"/>
    <cellStyle name="Normal 2 4 7 2 3 6" xfId="27520" xr:uid="{8C5D2175-A62F-47B5-B052-B0DD141ADF71}"/>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6DDDF36A-57B3-4A94-854C-C53D11C44D19}"/>
    <cellStyle name="Normal 2 4 7 2 4 2 2 3" xfId="25855" xr:uid="{52310CDA-888D-4C67-A85C-76A9B5963BE9}"/>
    <cellStyle name="Normal 2 4 7 2 4 2 2 4" xfId="34295" xr:uid="{0D89AFBA-B9F2-468E-8F76-54795CD21C8B}"/>
    <cellStyle name="Normal 2 4 7 2 4 2 3" xfId="13197" xr:uid="{72AD9343-293F-4E66-8B1A-EBA7A417C31C}"/>
    <cellStyle name="Normal 2 4 7 2 4 2 4" xfId="21638" xr:uid="{8D662ED0-E300-471E-AA25-BD5C9EF2FA9B}"/>
    <cellStyle name="Normal 2 4 7 2 4 2 5" xfId="30078" xr:uid="{2137186C-8FBA-442A-80E2-A86B9717DD41}"/>
    <cellStyle name="Normal 2 4 7 2 4 3" xfId="5943" xr:uid="{00000000-0005-0000-0000-0000E2100000}"/>
    <cellStyle name="Normal 2 4 7 2 4 3 2" xfId="15269" xr:uid="{1EE9A419-1D3A-4B14-973D-9045084E129F}"/>
    <cellStyle name="Normal 2 4 7 2 4 3 3" xfId="23710" xr:uid="{82D6383B-3C69-4145-9EF7-640850D0039E}"/>
    <cellStyle name="Normal 2 4 7 2 4 3 4" xfId="32150" xr:uid="{BEB08670-343F-43C9-8EB4-B2B1C50F5773}"/>
    <cellStyle name="Normal 2 4 7 2 4 4" xfId="11052" xr:uid="{94A790DE-A7C1-4FE3-9606-0F079D45D4BC}"/>
    <cellStyle name="Normal 2 4 7 2 4 5" xfId="19493" xr:uid="{B3217E4E-856F-449E-BD08-CB7D6923EF1A}"/>
    <cellStyle name="Normal 2 4 7 2 4 6" xfId="27933" xr:uid="{E7050EC0-242C-4842-BCF8-92221D7F95D0}"/>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C9B39826-CF24-4B0F-BB43-AFDCCFC4827B}"/>
    <cellStyle name="Normal 2 4 7 2 5 2 2 3" xfId="26268" xr:uid="{2F0F7794-B35D-45EB-81FD-7493A03A13F9}"/>
    <cellStyle name="Normal 2 4 7 2 5 2 2 4" xfId="34708" xr:uid="{C833950A-B830-404B-824D-FFDF16092333}"/>
    <cellStyle name="Normal 2 4 7 2 5 2 3" xfId="13610" xr:uid="{33E23785-3BBB-41B9-BB87-AF540109A117}"/>
    <cellStyle name="Normal 2 4 7 2 5 2 4" xfId="22051" xr:uid="{88511CE8-8C2C-4CDC-AD80-A66ADF8CAA1E}"/>
    <cellStyle name="Normal 2 4 7 2 5 2 5" xfId="30491" xr:uid="{C48A00E7-68B6-4D08-8762-2F094144789A}"/>
    <cellStyle name="Normal 2 4 7 2 5 3" xfId="6356" xr:uid="{00000000-0005-0000-0000-0000E6100000}"/>
    <cellStyle name="Normal 2 4 7 2 5 3 2" xfId="15682" xr:uid="{379A72F3-58C2-4EA1-ACC6-C779A5214C3E}"/>
    <cellStyle name="Normal 2 4 7 2 5 3 3" xfId="24123" xr:uid="{008BEC31-CB18-45AF-805E-36E8021D9D76}"/>
    <cellStyle name="Normal 2 4 7 2 5 3 4" xfId="32563" xr:uid="{FB4B8D53-7DB4-443B-B062-6315426C8EBF}"/>
    <cellStyle name="Normal 2 4 7 2 5 4" xfId="11465" xr:uid="{CE151E7C-BB25-4964-85DD-BBEBC9DB0530}"/>
    <cellStyle name="Normal 2 4 7 2 5 5" xfId="19906" xr:uid="{136D29A3-AD6D-40E3-BA9E-25E28294ECB7}"/>
    <cellStyle name="Normal 2 4 7 2 5 6" xfId="28346" xr:uid="{9FD90436-DA25-4520-A936-2F75619938B4}"/>
    <cellStyle name="Normal 2 4 7 2 6" xfId="2486" xr:uid="{00000000-0005-0000-0000-0000E7100000}"/>
    <cellStyle name="Normal 2 4 7 2 6 2" xfId="6769" xr:uid="{00000000-0005-0000-0000-0000E8100000}"/>
    <cellStyle name="Normal 2 4 7 2 6 2 2" xfId="16095" xr:uid="{3FE4B7F6-4906-406C-ACC4-649735BAABDF}"/>
    <cellStyle name="Normal 2 4 7 2 6 2 3" xfId="24536" xr:uid="{55F2C3C2-4D37-493A-8804-3A2748281403}"/>
    <cellStyle name="Normal 2 4 7 2 6 2 4" xfId="32976" xr:uid="{8918EA7B-99BA-4312-A072-77D453D1C24F}"/>
    <cellStyle name="Normal 2 4 7 2 6 3" xfId="11878" xr:uid="{437CAEAB-A653-4472-9EDB-884DA49FD013}"/>
    <cellStyle name="Normal 2 4 7 2 6 4" xfId="20319" xr:uid="{F236A6F5-6F52-49C7-8AC8-82481524A4F2}"/>
    <cellStyle name="Normal 2 4 7 2 6 5" xfId="28759" xr:uid="{4277C945-D951-45DA-9C8E-75BB43CBBFCC}"/>
    <cellStyle name="Normal 2 4 7 2 7" xfId="4703" xr:uid="{00000000-0005-0000-0000-0000E9100000}"/>
    <cellStyle name="Normal 2 4 7 2 7 2" xfId="14029" xr:uid="{B33E8DBE-A2E3-46C9-9172-09784E3E7E30}"/>
    <cellStyle name="Normal 2 4 7 2 7 3" xfId="22470" xr:uid="{F6E13F9F-AD0B-4F2A-B00D-EDD1BD132C3B}"/>
    <cellStyle name="Normal 2 4 7 2 7 4" xfId="30910" xr:uid="{D82F2FAD-DDDD-4446-904F-D72708880190}"/>
    <cellStyle name="Normal 2 4 7 2 8" xfId="9058" xr:uid="{FCEC438E-EF6A-4A00-BFE3-0DA309169A82}"/>
    <cellStyle name="Normal 2 4 7 2 9" xfId="9812" xr:uid="{59DE8864-8F13-4B17-A8FC-77166531CDDC}"/>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2D2E67D0-B010-4CEE-8B48-72C3C910BF61}"/>
    <cellStyle name="Normal 2 4 7 3 2 2 3" xfId="25028" xr:uid="{DCE9016D-C023-4068-91A1-38597351A78C}"/>
    <cellStyle name="Normal 2 4 7 3 2 2 4" xfId="33468" xr:uid="{7C58EB99-84F9-4DB9-B9E2-F92B75BCFEDD}"/>
    <cellStyle name="Normal 2 4 7 3 2 3" xfId="12370" xr:uid="{4287499A-974A-4BD0-81BB-AB38B3AB8877}"/>
    <cellStyle name="Normal 2 4 7 3 2 4" xfId="20811" xr:uid="{22CED251-9FA9-4A1B-8EA3-E2CDC1F5C2A5}"/>
    <cellStyle name="Normal 2 4 7 3 2 5" xfId="29251" xr:uid="{81F06203-949E-437A-A7F2-50ABE9E7FACF}"/>
    <cellStyle name="Normal 2 4 7 3 3" xfId="5116" xr:uid="{00000000-0005-0000-0000-0000ED100000}"/>
    <cellStyle name="Normal 2 4 7 3 3 2" xfId="14442" xr:uid="{0E5B9B11-0131-49B6-A1F8-A6D045686210}"/>
    <cellStyle name="Normal 2 4 7 3 3 3" xfId="22883" xr:uid="{860AFF6A-A065-4220-A3C0-5E25A2604E76}"/>
    <cellStyle name="Normal 2 4 7 3 3 4" xfId="31323" xr:uid="{A80E7B73-6629-4409-8FF2-110697099B6D}"/>
    <cellStyle name="Normal 2 4 7 3 4" xfId="9276" xr:uid="{90A81E61-1719-41E4-8673-7681E805C2E0}"/>
    <cellStyle name="Normal 2 4 7 3 5" xfId="10225" xr:uid="{DA9AD2D9-7164-4931-8630-C08BC75CC75B}"/>
    <cellStyle name="Normal 2 4 7 3 6" xfId="18666" xr:uid="{936DCDCF-87F2-4293-9C05-FCC3EC49674D}"/>
    <cellStyle name="Normal 2 4 7 3 7" xfId="27106" xr:uid="{F733E5AA-824E-4105-8E92-E1468BDB4DE5}"/>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C7D5EFAA-880D-45A7-AE9E-651788312D78}"/>
    <cellStyle name="Normal 2 4 7 4 2 2 3" xfId="25441" xr:uid="{B2C087AA-F4ED-4CC5-8EBA-E08ABB029F2C}"/>
    <cellStyle name="Normal 2 4 7 4 2 2 4" xfId="33881" xr:uid="{9AB02FDF-6082-48A5-B39C-8A7FD12E2442}"/>
    <cellStyle name="Normal 2 4 7 4 2 3" xfId="12783" xr:uid="{A60C8374-8997-41C9-9B75-459F8859AEFF}"/>
    <cellStyle name="Normal 2 4 7 4 2 4" xfId="21224" xr:uid="{537DDBC7-EFB8-4C4F-9DF3-147AE75A1EC6}"/>
    <cellStyle name="Normal 2 4 7 4 2 5" xfId="29664" xr:uid="{EE06CF29-ED05-432A-AC88-6A44C95A6C16}"/>
    <cellStyle name="Normal 2 4 7 4 3" xfId="5529" xr:uid="{00000000-0005-0000-0000-0000F1100000}"/>
    <cellStyle name="Normal 2 4 7 4 3 2" xfId="14855" xr:uid="{1DAC1825-0DDB-485A-975B-206728741F1C}"/>
    <cellStyle name="Normal 2 4 7 4 3 3" xfId="23296" xr:uid="{1ADB48CE-7F93-4DAC-93BA-BA94F8C316B2}"/>
    <cellStyle name="Normal 2 4 7 4 3 4" xfId="31736" xr:uid="{87371263-2B3D-460F-B86C-5DBE32982A52}"/>
    <cellStyle name="Normal 2 4 7 4 4" xfId="10638" xr:uid="{835EED3E-0E22-4753-A30B-6A2D25804808}"/>
    <cellStyle name="Normal 2 4 7 4 5" xfId="19079" xr:uid="{2300A057-FF7B-425A-AB88-ADCE86BA1C84}"/>
    <cellStyle name="Normal 2 4 7 4 6" xfId="27519" xr:uid="{F042833D-851A-49E2-BDF7-18B1012BA368}"/>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3B0802EA-450C-4861-BCED-6BE3213D2DAD}"/>
    <cellStyle name="Normal 2 4 7 5 2 2 3" xfId="25854" xr:uid="{A5D3036F-EFE9-49EA-A9A4-4637FD0F8054}"/>
    <cellStyle name="Normal 2 4 7 5 2 2 4" xfId="34294" xr:uid="{2D3DCFB5-F741-4ABD-A34D-1892E7A9E7BB}"/>
    <cellStyle name="Normal 2 4 7 5 2 3" xfId="13196" xr:uid="{B753FB5E-C866-4775-9D97-BEED097B0D88}"/>
    <cellStyle name="Normal 2 4 7 5 2 4" xfId="21637" xr:uid="{F012D9E0-1333-475D-888B-4B0919AD37A4}"/>
    <cellStyle name="Normal 2 4 7 5 2 5" xfId="30077" xr:uid="{D417C630-9C99-49B6-A39B-AD2246080484}"/>
    <cellStyle name="Normal 2 4 7 5 3" xfId="5942" xr:uid="{00000000-0005-0000-0000-0000F5100000}"/>
    <cellStyle name="Normal 2 4 7 5 3 2" xfId="15268" xr:uid="{EF406DD7-4660-4283-9D0D-5EA2B4AAE230}"/>
    <cellStyle name="Normal 2 4 7 5 3 3" xfId="23709" xr:uid="{6D349601-54FC-4C77-9DFF-D04FBE5A1CF7}"/>
    <cellStyle name="Normal 2 4 7 5 3 4" xfId="32149" xr:uid="{97CB13B7-B532-45CE-94D4-9C78D5D49173}"/>
    <cellStyle name="Normal 2 4 7 5 4" xfId="11051" xr:uid="{211D5C39-93B8-4BED-B4D5-C03561B596C6}"/>
    <cellStyle name="Normal 2 4 7 5 5" xfId="19492" xr:uid="{F4C41734-6EF2-4C44-BA33-856EEAA41AD2}"/>
    <cellStyle name="Normal 2 4 7 5 6" xfId="27932" xr:uid="{8F765ABE-4512-4D24-9EE9-E7149FED8560}"/>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15C5CCE2-5066-4469-BA6E-D94E80D893B9}"/>
    <cellStyle name="Normal 2 4 7 6 2 2 3" xfId="26267" xr:uid="{681E7078-73B1-491E-920A-2D075E60A9CF}"/>
    <cellStyle name="Normal 2 4 7 6 2 2 4" xfId="34707" xr:uid="{FB5D3343-5E1D-48BB-AC66-EF8E0C16FDB6}"/>
    <cellStyle name="Normal 2 4 7 6 2 3" xfId="13609" xr:uid="{0E330B75-55D8-420D-8078-82C5D64DF342}"/>
    <cellStyle name="Normal 2 4 7 6 2 4" xfId="22050" xr:uid="{BF079531-5DC5-4CC0-BEA2-851A3F31042C}"/>
    <cellStyle name="Normal 2 4 7 6 2 5" xfId="30490" xr:uid="{00A1DC89-0007-41A2-895A-B480FA0E9AC8}"/>
    <cellStyle name="Normal 2 4 7 6 3" xfId="6355" xr:uid="{00000000-0005-0000-0000-0000F9100000}"/>
    <cellStyle name="Normal 2 4 7 6 3 2" xfId="15681" xr:uid="{F2E9DCE7-F06E-49BF-B222-2004B30A978C}"/>
    <cellStyle name="Normal 2 4 7 6 3 3" xfId="24122" xr:uid="{E055E186-0C43-4E1A-A1E5-D6311B658194}"/>
    <cellStyle name="Normal 2 4 7 6 3 4" xfId="32562" xr:uid="{1891B38E-4883-4BFF-A8C6-B96EE8DF8A9B}"/>
    <cellStyle name="Normal 2 4 7 6 4" xfId="11464" xr:uid="{A3CC48FC-1F14-4032-AC0E-C3E5D403E94F}"/>
    <cellStyle name="Normal 2 4 7 6 5" xfId="19905" xr:uid="{AD4F95C1-D065-4398-A976-8290C0075E9D}"/>
    <cellStyle name="Normal 2 4 7 6 6" xfId="28345" xr:uid="{1ABD2B45-9D55-4108-BDB3-24DC40EE1F33}"/>
    <cellStyle name="Normal 2 4 7 7" xfId="2485" xr:uid="{00000000-0005-0000-0000-0000FA100000}"/>
    <cellStyle name="Normal 2 4 7 7 2" xfId="6768" xr:uid="{00000000-0005-0000-0000-0000FB100000}"/>
    <cellStyle name="Normal 2 4 7 7 2 2" xfId="16094" xr:uid="{65AA33A5-C307-403A-98F3-446C48A940B9}"/>
    <cellStyle name="Normal 2 4 7 7 2 3" xfId="24535" xr:uid="{DF1F4ADD-A44B-4584-8913-D3DD365D4F53}"/>
    <cellStyle name="Normal 2 4 7 7 2 4" xfId="32975" xr:uid="{ABA81D4E-7EA2-4D20-93C9-1082FAA43035}"/>
    <cellStyle name="Normal 2 4 7 7 3" xfId="11877" xr:uid="{561FDB0F-6480-4D89-B8FF-2C8E8EBF2909}"/>
    <cellStyle name="Normal 2 4 7 7 4" xfId="20318" xr:uid="{3A1D3ED2-497B-41C8-90D7-7B8B3C21B0BD}"/>
    <cellStyle name="Normal 2 4 7 7 5" xfId="28758" xr:uid="{9816FB26-F071-4598-A4CC-2D602CBAF920}"/>
    <cellStyle name="Normal 2 4 7 8" xfId="4702" xr:uid="{00000000-0005-0000-0000-0000FC100000}"/>
    <cellStyle name="Normal 2 4 7 8 2" xfId="14028" xr:uid="{BAE0895B-077D-4319-A372-EC3A9F7292BA}"/>
    <cellStyle name="Normal 2 4 7 8 3" xfId="22469" xr:uid="{987DCE42-6451-4A17-B141-6A084390C13E}"/>
    <cellStyle name="Normal 2 4 7 8 4" xfId="30909" xr:uid="{608BD6CF-D4F0-4E80-9A64-B9145A47E582}"/>
    <cellStyle name="Normal 2 4 7 9" xfId="8851" xr:uid="{6946A6C1-9296-4D8F-B36F-8F7964FD7AC6}"/>
    <cellStyle name="Normal 2 4 8" xfId="314" xr:uid="{00000000-0005-0000-0000-0000FD100000}"/>
    <cellStyle name="Normal 2 4 8 10" xfId="18254" xr:uid="{0E903157-85E0-40C7-91D7-350937AA9532}"/>
    <cellStyle name="Normal 2 4 8 11" xfId="26694" xr:uid="{7664AE40-0CF5-4478-854E-DA2833C836BD}"/>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666DD552-4ADB-449D-A920-8A42B5F75016}"/>
    <cellStyle name="Normal 2 4 8 2 2 2 3" xfId="25030" xr:uid="{56300017-9FD8-443A-AD36-5D9D9E42A7B8}"/>
    <cellStyle name="Normal 2 4 8 2 2 2 4" xfId="33470" xr:uid="{831989A7-704E-41B7-98BC-2B674DBDC92A}"/>
    <cellStyle name="Normal 2 4 8 2 2 3" xfId="12372" xr:uid="{46D60BCA-6816-4B57-A171-8062CDA13EEF}"/>
    <cellStyle name="Normal 2 4 8 2 2 4" xfId="20813" xr:uid="{5102EDD5-27F6-42FC-B99A-ED898DEE3F15}"/>
    <cellStyle name="Normal 2 4 8 2 2 5" xfId="29253" xr:uid="{29E29F41-9C6D-4F9F-ACE3-0E366A155CBF}"/>
    <cellStyle name="Normal 2 4 8 2 3" xfId="5118" xr:uid="{00000000-0005-0000-0000-000001110000}"/>
    <cellStyle name="Normal 2 4 8 2 3 2" xfId="14444" xr:uid="{F4ADD3AA-61F5-4A5F-A9C2-B02B9638B376}"/>
    <cellStyle name="Normal 2 4 8 2 3 3" xfId="22885" xr:uid="{12146DE6-FAEC-42AA-B411-A0B45C78B9A6}"/>
    <cellStyle name="Normal 2 4 8 2 3 4" xfId="31325" xr:uid="{C7F0D730-B915-4BEE-B1E2-B1725AFF5CFB}"/>
    <cellStyle name="Normal 2 4 8 2 4" xfId="9392" xr:uid="{812B973E-E5C9-43CD-85B0-C8CA30BD9BF3}"/>
    <cellStyle name="Normal 2 4 8 2 5" xfId="10227" xr:uid="{7C1A8971-C88F-4CE0-BF1E-8484E8FD541D}"/>
    <cellStyle name="Normal 2 4 8 2 6" xfId="18668" xr:uid="{793FD4D0-8FA2-43CE-BBD8-14821760496D}"/>
    <cellStyle name="Normal 2 4 8 2 7" xfId="27108" xr:uid="{04C67590-056A-40CA-A689-1E45BBDDED0A}"/>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1926537D-E5B2-4ECF-B638-1E357B081CA9}"/>
    <cellStyle name="Normal 2 4 8 3 2 2 3" xfId="25443" xr:uid="{8C8978F1-74A8-4A65-BF08-F070BA4EEFA6}"/>
    <cellStyle name="Normal 2 4 8 3 2 2 4" xfId="33883" xr:uid="{B24F0CF2-AE1C-4DC9-A118-9A4E04274F16}"/>
    <cellStyle name="Normal 2 4 8 3 2 3" xfId="12785" xr:uid="{6FD2F6F7-C90F-4075-B562-5E40BF080549}"/>
    <cellStyle name="Normal 2 4 8 3 2 4" xfId="21226" xr:uid="{C2CDB32A-6AAE-4E9A-8675-3DF283AC114C}"/>
    <cellStyle name="Normal 2 4 8 3 2 5" xfId="29666" xr:uid="{1257F809-E8A8-497B-B7D3-CCFD6A59B92B}"/>
    <cellStyle name="Normal 2 4 8 3 3" xfId="5531" xr:uid="{00000000-0005-0000-0000-000005110000}"/>
    <cellStyle name="Normal 2 4 8 3 3 2" xfId="14857" xr:uid="{E3E6ADCE-7ED6-4232-BA3F-5CFB10108C7F}"/>
    <cellStyle name="Normal 2 4 8 3 3 3" xfId="23298" xr:uid="{BEB91E45-156E-45EE-95B7-866E3012EF8A}"/>
    <cellStyle name="Normal 2 4 8 3 3 4" xfId="31738" xr:uid="{7209941C-F5B3-4C6E-96B9-CF6C9B133909}"/>
    <cellStyle name="Normal 2 4 8 3 4" xfId="10640" xr:uid="{6F7C72C3-F234-4374-9889-92B1FFE66E31}"/>
    <cellStyle name="Normal 2 4 8 3 5" xfId="19081" xr:uid="{F6F191D1-7428-485B-A27A-AFB057F25226}"/>
    <cellStyle name="Normal 2 4 8 3 6" xfId="27521" xr:uid="{7E45DAEC-11F9-4BE6-B862-59BA6F64D037}"/>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A391586B-88D5-40E7-B70A-E548899FA335}"/>
    <cellStyle name="Normal 2 4 8 4 2 2 3" xfId="25856" xr:uid="{D9619469-0D87-4995-9864-7A6721A58C03}"/>
    <cellStyle name="Normal 2 4 8 4 2 2 4" xfId="34296" xr:uid="{64280ED0-5D7D-458F-A46D-F3217E2347CD}"/>
    <cellStyle name="Normal 2 4 8 4 2 3" xfId="13198" xr:uid="{88667261-C6E6-477F-9785-2C5318EF6A81}"/>
    <cellStyle name="Normal 2 4 8 4 2 4" xfId="21639" xr:uid="{110EFCDC-5FD8-4EA8-9FD7-5A2C8A6FE633}"/>
    <cellStyle name="Normal 2 4 8 4 2 5" xfId="30079" xr:uid="{EFA8D47D-C52B-46D9-BF3E-93A2ADFA51FA}"/>
    <cellStyle name="Normal 2 4 8 4 3" xfId="5944" xr:uid="{00000000-0005-0000-0000-000009110000}"/>
    <cellStyle name="Normal 2 4 8 4 3 2" xfId="15270" xr:uid="{6838976B-4584-4BBB-9647-C5DFE0FFD7B5}"/>
    <cellStyle name="Normal 2 4 8 4 3 3" xfId="23711" xr:uid="{BBE448C6-1EF0-4590-B23A-8B418B5FB07E}"/>
    <cellStyle name="Normal 2 4 8 4 3 4" xfId="32151" xr:uid="{E6EF0B29-3E57-44CF-A90D-D3A898C57EE0}"/>
    <cellStyle name="Normal 2 4 8 4 4" xfId="11053" xr:uid="{896C1632-C59E-4D82-A152-15495669676B}"/>
    <cellStyle name="Normal 2 4 8 4 5" xfId="19494" xr:uid="{58483516-C5A2-4239-9D0B-CE3DAE8190D9}"/>
    <cellStyle name="Normal 2 4 8 4 6" xfId="27934" xr:uid="{DB8D8C71-C6A5-4D10-AFCA-8659284E6CF0}"/>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22A8D7DD-32C8-4B8C-82AA-38F6F08506C9}"/>
    <cellStyle name="Normal 2 4 8 5 2 2 3" xfId="26269" xr:uid="{15F82FBF-36BE-4B2E-8B3B-70A0B09DD253}"/>
    <cellStyle name="Normal 2 4 8 5 2 2 4" xfId="34709" xr:uid="{865A8447-6929-4C61-95D3-B6BE001B0567}"/>
    <cellStyle name="Normal 2 4 8 5 2 3" xfId="13611" xr:uid="{2BEECC27-404F-4624-8C06-5D108B20DCC3}"/>
    <cellStyle name="Normal 2 4 8 5 2 4" xfId="22052" xr:uid="{B41EDA0F-846E-41D7-932D-F0B42D85F350}"/>
    <cellStyle name="Normal 2 4 8 5 2 5" xfId="30492" xr:uid="{8619D440-7E5D-4455-A8CF-D3FE3F2009D7}"/>
    <cellStyle name="Normal 2 4 8 5 3" xfId="6357" xr:uid="{00000000-0005-0000-0000-00000D110000}"/>
    <cellStyle name="Normal 2 4 8 5 3 2" xfId="15683" xr:uid="{38B66700-1BAC-479D-B813-5CF12E41A61A}"/>
    <cellStyle name="Normal 2 4 8 5 3 3" xfId="24124" xr:uid="{E45629A9-FB2E-4A5C-A600-4D56A8A645DD}"/>
    <cellStyle name="Normal 2 4 8 5 3 4" xfId="32564" xr:uid="{C65DF8D1-FD2A-4D01-8E39-76287AF74307}"/>
    <cellStyle name="Normal 2 4 8 5 4" xfId="11466" xr:uid="{95385627-96E7-4647-8487-A33C869443ED}"/>
    <cellStyle name="Normal 2 4 8 5 5" xfId="19907" xr:uid="{8DCBAC52-4BDB-466F-BD25-2E0B39446EA0}"/>
    <cellStyle name="Normal 2 4 8 5 6" xfId="28347" xr:uid="{4ECACC2B-9B71-41E5-9F85-C421D2D70D32}"/>
    <cellStyle name="Normal 2 4 8 6" xfId="2487" xr:uid="{00000000-0005-0000-0000-00000E110000}"/>
    <cellStyle name="Normal 2 4 8 6 2" xfId="6770" xr:uid="{00000000-0005-0000-0000-00000F110000}"/>
    <cellStyle name="Normal 2 4 8 6 2 2" xfId="16096" xr:uid="{715E553B-24A8-4C3B-BC0A-7276955B9D8A}"/>
    <cellStyle name="Normal 2 4 8 6 2 3" xfId="24537" xr:uid="{CC8CAFF1-61D3-4129-8603-48F7F241C2F9}"/>
    <cellStyle name="Normal 2 4 8 6 2 4" xfId="32977" xr:uid="{A0298340-A812-472F-83A1-3297053B703F}"/>
    <cellStyle name="Normal 2 4 8 6 3" xfId="11879" xr:uid="{C23341F5-F6CE-4606-9970-ABC24E7F3C51}"/>
    <cellStyle name="Normal 2 4 8 6 4" xfId="20320" xr:uid="{564FD625-1F5C-41BC-B1AD-3497A90244B5}"/>
    <cellStyle name="Normal 2 4 8 6 5" xfId="28760" xr:uid="{51E02311-F66B-4E89-9AEF-75F61E796D48}"/>
    <cellStyle name="Normal 2 4 8 7" xfId="4704" xr:uid="{00000000-0005-0000-0000-000010110000}"/>
    <cellStyle name="Normal 2 4 8 7 2" xfId="14030" xr:uid="{18F3CB2D-BFF6-43D5-90ED-98F1168505A4}"/>
    <cellStyle name="Normal 2 4 8 7 3" xfId="22471" xr:uid="{0BAAA4D0-EF83-46F0-8D75-344E76F98E98}"/>
    <cellStyle name="Normal 2 4 8 7 4" xfId="30911" xr:uid="{27716391-D5B5-4DEF-AB72-133F0A35DE49}"/>
    <cellStyle name="Normal 2 4 8 8" xfId="8967" xr:uid="{32AC97CD-D3FD-4AE1-A8B2-07BEA9D5DE52}"/>
    <cellStyle name="Normal 2 4 8 9" xfId="9813" xr:uid="{F80F1C22-F0F9-422E-ABFD-DF777A6C7194}"/>
    <cellStyle name="Normal 2 4 9" xfId="9170" xr:uid="{5569C060-E090-4551-A44D-517EC3FD1834}"/>
    <cellStyle name="Normal 2 5" xfId="315" xr:uid="{00000000-0005-0000-0000-000011110000}"/>
    <cellStyle name="Normal 2 5 10" xfId="4705" xr:uid="{00000000-0005-0000-0000-000012110000}"/>
    <cellStyle name="Normal 2 5 10 2" xfId="14031" xr:uid="{37FACAB3-0428-4400-9168-A295153F1887}"/>
    <cellStyle name="Normal 2 5 10 3" xfId="22472" xr:uid="{6DD8AED2-C643-42CB-8E44-C03686E41B81}"/>
    <cellStyle name="Normal 2 5 10 4" xfId="30912" xr:uid="{F5F6E62C-3B82-4C16-965B-2A961832AB3F}"/>
    <cellStyle name="Normal 2 5 11" xfId="9814" xr:uid="{800B15C3-4C64-4205-A6DF-18B70BC797F4}"/>
    <cellStyle name="Normal 2 5 12" xfId="18255" xr:uid="{DC3BC447-71C7-419E-9622-8D3C93CE9346}"/>
    <cellStyle name="Normal 2 5 13" xfId="26695" xr:uid="{A811F93A-E166-4359-A7F2-F00A15118E37}"/>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1" xfId="9815" xr:uid="{41E74F16-F943-4A24-A882-3F8DAB10FDD5}"/>
    <cellStyle name="Normal 2 5 4 12" xfId="18256" xr:uid="{9D70BF1B-1534-49E7-9A80-86855D9DBFC1}"/>
    <cellStyle name="Normal 2 5 4 13" xfId="26696" xr:uid="{FDEDFA9A-997E-4F1E-9976-74E77D0A6916}"/>
    <cellStyle name="Normal 2 5 4 2" xfId="319" xr:uid="{00000000-0005-0000-0000-000016110000}"/>
    <cellStyle name="Normal 2 5 4 2 10" xfId="9816" xr:uid="{46C62C6D-441D-4560-B344-E019DEFD43D0}"/>
    <cellStyle name="Normal 2 5 4 2 11" xfId="18257" xr:uid="{707B8A7A-5BE5-40A6-ABBB-3FCDC13BCCCF}"/>
    <cellStyle name="Normal 2 5 4 2 12" xfId="26697" xr:uid="{3002CE88-D54E-444A-87F2-B0E694B7009F}"/>
    <cellStyle name="Normal 2 5 4 2 2" xfId="320" xr:uid="{00000000-0005-0000-0000-000017110000}"/>
    <cellStyle name="Normal 2 5 4 2 2 10" xfId="18258" xr:uid="{87B89506-AFBB-46A7-AD99-746768B768D1}"/>
    <cellStyle name="Normal 2 5 4 2 2 11" xfId="26698" xr:uid="{92E7C093-B42D-425B-A6E5-A0A3895BF227}"/>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4D38B69D-0953-4A86-864F-859D9F6549CA}"/>
    <cellStyle name="Normal 2 5 4 2 2 2 2 2 3" xfId="25034" xr:uid="{A53D9CF1-4968-4644-B6D2-9FBE08E1F164}"/>
    <cellStyle name="Normal 2 5 4 2 2 2 2 2 4" xfId="33474" xr:uid="{09386102-FD9E-476F-97EE-D5FFF1CE5E30}"/>
    <cellStyle name="Normal 2 5 4 2 2 2 2 3" xfId="12376" xr:uid="{414EE615-9EA0-422A-B47F-4B76BC564AD0}"/>
    <cellStyle name="Normal 2 5 4 2 2 2 2 4" xfId="20817" xr:uid="{022838C3-F3DD-4565-8259-D4B910FEA231}"/>
    <cellStyle name="Normal 2 5 4 2 2 2 2 5" xfId="29257" xr:uid="{844A06CC-9C21-4A8F-B74A-798C33CDF4CC}"/>
    <cellStyle name="Normal 2 5 4 2 2 2 3" xfId="5122" xr:uid="{00000000-0005-0000-0000-00001B110000}"/>
    <cellStyle name="Normal 2 5 4 2 2 2 3 2" xfId="14448" xr:uid="{775DD1D6-5AE3-4EF9-94EB-F9478E1F9F04}"/>
    <cellStyle name="Normal 2 5 4 2 2 2 3 3" xfId="22889" xr:uid="{BCCBD4FA-DA4F-417D-92B6-C26A17571D0E}"/>
    <cellStyle name="Normal 2 5 4 2 2 2 3 4" xfId="31329" xr:uid="{5404D0B2-31AF-4326-B728-E716AB2F5714}"/>
    <cellStyle name="Normal 2 5 4 2 2 2 4" xfId="9551" xr:uid="{392D7741-6781-4EA5-9C28-040053C1B05B}"/>
    <cellStyle name="Normal 2 5 4 2 2 2 5" xfId="10231" xr:uid="{FD0760D4-2DC9-4F95-B3CA-2CF703BB9557}"/>
    <cellStyle name="Normal 2 5 4 2 2 2 6" xfId="18672" xr:uid="{CC119011-A004-4E1D-8883-5566FE20628B}"/>
    <cellStyle name="Normal 2 5 4 2 2 2 7" xfId="27112" xr:uid="{69A3B9A0-7060-428D-B544-A5C13977E8AF}"/>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080EC672-10CD-4E7B-9548-D0760270A45F}"/>
    <cellStyle name="Normal 2 5 4 2 2 3 2 2 3" xfId="25447" xr:uid="{A6C61F7C-582C-4678-85F5-17E7936D7E76}"/>
    <cellStyle name="Normal 2 5 4 2 2 3 2 2 4" xfId="33887" xr:uid="{98F8155B-2CCF-4D5D-8CEF-D3CE08E2028B}"/>
    <cellStyle name="Normal 2 5 4 2 2 3 2 3" xfId="12789" xr:uid="{15EE3303-D3AA-4C96-B5C5-F2508DB52D8F}"/>
    <cellStyle name="Normal 2 5 4 2 2 3 2 4" xfId="21230" xr:uid="{B90C22C2-1015-4F67-86DF-6B7F5B28F950}"/>
    <cellStyle name="Normal 2 5 4 2 2 3 2 5" xfId="29670" xr:uid="{E144FAD7-7A10-419A-8DDC-AA96BA2C6CA3}"/>
    <cellStyle name="Normal 2 5 4 2 2 3 3" xfId="5535" xr:uid="{00000000-0005-0000-0000-00001F110000}"/>
    <cellStyle name="Normal 2 5 4 2 2 3 3 2" xfId="14861" xr:uid="{8B2F49B9-CB7A-4A1B-ACBF-9941175BE527}"/>
    <cellStyle name="Normal 2 5 4 2 2 3 3 3" xfId="23302" xr:uid="{118CADF4-0634-4D3A-9935-62A193F953A4}"/>
    <cellStyle name="Normal 2 5 4 2 2 3 3 4" xfId="31742" xr:uid="{D9239B6F-3BBC-4774-8DBB-6A3D23574575}"/>
    <cellStyle name="Normal 2 5 4 2 2 3 4" xfId="10644" xr:uid="{F28E779F-56E1-4DF4-8454-29E8115FF00F}"/>
    <cellStyle name="Normal 2 5 4 2 2 3 5" xfId="19085" xr:uid="{743F550A-E53E-4CDD-A524-99F2FB040069}"/>
    <cellStyle name="Normal 2 5 4 2 2 3 6" xfId="27525" xr:uid="{E6674919-B0BE-4A49-8C22-813BD7015B33}"/>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4A349340-C5B9-403F-8D79-488AE1FEFB7A}"/>
    <cellStyle name="Normal 2 5 4 2 2 4 2 2 3" xfId="25860" xr:uid="{01FC1B54-E1CF-4084-9288-B90916CBF606}"/>
    <cellStyle name="Normal 2 5 4 2 2 4 2 2 4" xfId="34300" xr:uid="{C974C7D0-7C1F-49A6-80B3-92289381BCDA}"/>
    <cellStyle name="Normal 2 5 4 2 2 4 2 3" xfId="13202" xr:uid="{1CB94988-05B6-4DC7-8E55-BC9CEBBBC20B}"/>
    <cellStyle name="Normal 2 5 4 2 2 4 2 4" xfId="21643" xr:uid="{001A7A4A-5A92-4172-A743-FBFDCBF3094B}"/>
    <cellStyle name="Normal 2 5 4 2 2 4 2 5" xfId="30083" xr:uid="{F1A1B954-C1A7-497E-97D1-2FFD342EF22F}"/>
    <cellStyle name="Normal 2 5 4 2 2 4 3" xfId="5948" xr:uid="{00000000-0005-0000-0000-000023110000}"/>
    <cellStyle name="Normal 2 5 4 2 2 4 3 2" xfId="15274" xr:uid="{B48DB2EE-DBA3-46C3-863A-7459C518F84D}"/>
    <cellStyle name="Normal 2 5 4 2 2 4 3 3" xfId="23715" xr:uid="{D60CCB92-832C-4470-9738-EA753F38EF1B}"/>
    <cellStyle name="Normal 2 5 4 2 2 4 3 4" xfId="32155" xr:uid="{C6FC8608-4423-42BC-92AD-2CBA1ACA4BE7}"/>
    <cellStyle name="Normal 2 5 4 2 2 4 4" xfId="11057" xr:uid="{0C3DFE69-99FE-4BCA-8E90-5238C0F1DA01}"/>
    <cellStyle name="Normal 2 5 4 2 2 4 5" xfId="19498" xr:uid="{2DCDAF9A-F432-4E69-A1C7-B4E65A39B268}"/>
    <cellStyle name="Normal 2 5 4 2 2 4 6" xfId="27938" xr:uid="{3CE1D37E-CE73-42C4-B5EE-CAF8F2740475}"/>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2A2D00C9-5F20-4DAB-AFD2-87F891452D68}"/>
    <cellStyle name="Normal 2 5 4 2 2 5 2 2 3" xfId="26273" xr:uid="{F18814A2-656A-4A1E-8455-D600E77A76CA}"/>
    <cellStyle name="Normal 2 5 4 2 2 5 2 2 4" xfId="34713" xr:uid="{3A88A3F2-A3A8-4D20-84B4-85C01F745AE6}"/>
    <cellStyle name="Normal 2 5 4 2 2 5 2 3" xfId="13615" xr:uid="{8E852CCD-2A21-48CB-9DD4-8953DEADBE53}"/>
    <cellStyle name="Normal 2 5 4 2 2 5 2 4" xfId="22056" xr:uid="{F4475CE8-F1B5-45F5-A853-A8C291AEF16B}"/>
    <cellStyle name="Normal 2 5 4 2 2 5 2 5" xfId="30496" xr:uid="{13E18DFE-C3D5-4C7D-BCDF-F8B0B1707A19}"/>
    <cellStyle name="Normal 2 5 4 2 2 5 3" xfId="6361" xr:uid="{00000000-0005-0000-0000-000027110000}"/>
    <cellStyle name="Normal 2 5 4 2 2 5 3 2" xfId="15687" xr:uid="{EFB79052-F887-47F7-BD7E-BD56C0D8EB16}"/>
    <cellStyle name="Normal 2 5 4 2 2 5 3 3" xfId="24128" xr:uid="{AA154B68-16B5-4EC8-8DF9-35AEE4DC9CA2}"/>
    <cellStyle name="Normal 2 5 4 2 2 5 3 4" xfId="32568" xr:uid="{CC19F1E7-E89D-47F9-9D9B-F4807B37547A}"/>
    <cellStyle name="Normal 2 5 4 2 2 5 4" xfId="11470" xr:uid="{B2989948-7727-448F-BAD7-923912FA9748}"/>
    <cellStyle name="Normal 2 5 4 2 2 5 5" xfId="19911" xr:uid="{3E726676-0A67-4484-8CB2-D11FF2DEEC24}"/>
    <cellStyle name="Normal 2 5 4 2 2 5 6" xfId="28351" xr:uid="{079AC5D0-D48C-4638-B7EF-A279BBC6E17B}"/>
    <cellStyle name="Normal 2 5 4 2 2 6" xfId="2491" xr:uid="{00000000-0005-0000-0000-000028110000}"/>
    <cellStyle name="Normal 2 5 4 2 2 6 2" xfId="6774" xr:uid="{00000000-0005-0000-0000-000029110000}"/>
    <cellStyle name="Normal 2 5 4 2 2 6 2 2" xfId="16100" xr:uid="{915ACEF8-9E27-42AD-BB7D-C74884B08EF0}"/>
    <cellStyle name="Normal 2 5 4 2 2 6 2 3" xfId="24541" xr:uid="{CF93CCC4-4F75-4AE9-8FA4-51E75A3F5228}"/>
    <cellStyle name="Normal 2 5 4 2 2 6 2 4" xfId="32981" xr:uid="{4F5B52EC-29A8-4DB7-B573-2CE5C1B80349}"/>
    <cellStyle name="Normal 2 5 4 2 2 6 3" xfId="11883" xr:uid="{0DE5F893-870F-47AC-8F84-CCF67FA5BB7C}"/>
    <cellStyle name="Normal 2 5 4 2 2 6 4" xfId="20324" xr:uid="{8A8909BE-A651-4F0F-8662-55BAB1EE3D6C}"/>
    <cellStyle name="Normal 2 5 4 2 2 6 5" xfId="28764" xr:uid="{126EDE76-5F21-4CD4-8085-306C78CD8F08}"/>
    <cellStyle name="Normal 2 5 4 2 2 7" xfId="4708" xr:uid="{00000000-0005-0000-0000-00002A110000}"/>
    <cellStyle name="Normal 2 5 4 2 2 7 2" xfId="14034" xr:uid="{089AEF90-73EC-4645-A1BE-50629466DA6C}"/>
    <cellStyle name="Normal 2 5 4 2 2 7 3" xfId="22475" xr:uid="{E5A6EE3E-AD39-4BF7-B9F0-A848D4A7ECB1}"/>
    <cellStyle name="Normal 2 5 4 2 2 7 4" xfId="30915" xr:uid="{A86A608B-712D-4AB6-8D01-DCEBBFA4752E}"/>
    <cellStyle name="Normal 2 5 4 2 2 8" xfId="9126" xr:uid="{C2CF4AFD-4082-4555-941B-6E9759C32D63}"/>
    <cellStyle name="Normal 2 5 4 2 2 9" xfId="9817" xr:uid="{0AF602AB-838C-41C2-A527-3568A92C3540}"/>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D3483BD5-80CF-4DF1-8DD4-26F55D6508B3}"/>
    <cellStyle name="Normal 2 5 4 2 3 2 2 3" xfId="25033" xr:uid="{3CBABD89-EDEE-4AA1-9DBC-1F0CA5FC7DF0}"/>
    <cellStyle name="Normal 2 5 4 2 3 2 2 4" xfId="33473" xr:uid="{FBA551FF-13E2-4C74-9D3C-FF5EC6F8AA6F}"/>
    <cellStyle name="Normal 2 5 4 2 3 2 3" xfId="12375" xr:uid="{5E56361A-368A-4B90-A629-D715FAD81C73}"/>
    <cellStyle name="Normal 2 5 4 2 3 2 4" xfId="20816" xr:uid="{A2C7CB89-F086-4092-A399-F42767155D79}"/>
    <cellStyle name="Normal 2 5 4 2 3 2 5" xfId="29256" xr:uid="{BFB7BAF5-DECA-492B-AFCE-BB4EFCABD717}"/>
    <cellStyle name="Normal 2 5 4 2 3 3" xfId="5121" xr:uid="{00000000-0005-0000-0000-00002E110000}"/>
    <cellStyle name="Normal 2 5 4 2 3 3 2" xfId="14447" xr:uid="{53F1FDD9-D920-46E7-AE53-E229C187D3A1}"/>
    <cellStyle name="Normal 2 5 4 2 3 3 3" xfId="22888" xr:uid="{4CDF94B0-6D3B-4843-B737-E1EEABB583A8}"/>
    <cellStyle name="Normal 2 5 4 2 3 3 4" xfId="31328" xr:uid="{63A06AF5-D6E7-4BEC-B246-CB758CB713E4}"/>
    <cellStyle name="Normal 2 5 4 2 3 4" xfId="9344" xr:uid="{207B8A34-09D9-4349-A9C7-5A5A998C6B6F}"/>
    <cellStyle name="Normal 2 5 4 2 3 5" xfId="10230" xr:uid="{4E3105F4-5790-4515-A378-40FFC3039191}"/>
    <cellStyle name="Normal 2 5 4 2 3 6" xfId="18671" xr:uid="{394E8472-0DA5-4D5C-86B8-7ED0E1AF7881}"/>
    <cellStyle name="Normal 2 5 4 2 3 7" xfId="27111" xr:uid="{009B8C58-273C-4EFD-A125-FB1461D0D646}"/>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6DAA4933-E203-42E6-B30D-5BF873264A47}"/>
    <cellStyle name="Normal 2 5 4 2 4 2 2 3" xfId="25446" xr:uid="{BC847193-55D5-41A5-9B72-CE86202972E7}"/>
    <cellStyle name="Normal 2 5 4 2 4 2 2 4" xfId="33886" xr:uid="{0CA5C96A-C2EE-4719-B890-B8D3F97696E5}"/>
    <cellStyle name="Normal 2 5 4 2 4 2 3" xfId="12788" xr:uid="{C3AD589C-13A9-4C40-995D-F20E025D3D35}"/>
    <cellStyle name="Normal 2 5 4 2 4 2 4" xfId="21229" xr:uid="{14F54C68-ACC6-4F88-8827-5790440F0FF1}"/>
    <cellStyle name="Normal 2 5 4 2 4 2 5" xfId="29669" xr:uid="{FCB83429-76C0-46F1-8AF3-91FA15E147B2}"/>
    <cellStyle name="Normal 2 5 4 2 4 3" xfId="5534" xr:uid="{00000000-0005-0000-0000-000032110000}"/>
    <cellStyle name="Normal 2 5 4 2 4 3 2" xfId="14860" xr:uid="{2DBA8595-78F5-4D11-A586-C2F61217D8F6}"/>
    <cellStyle name="Normal 2 5 4 2 4 3 3" xfId="23301" xr:uid="{D2A84F81-0166-4F49-BD18-128F8E17FFA0}"/>
    <cellStyle name="Normal 2 5 4 2 4 3 4" xfId="31741" xr:uid="{CFB65302-8FC2-4348-BB66-D0D107F235C2}"/>
    <cellStyle name="Normal 2 5 4 2 4 4" xfId="10643" xr:uid="{52D459F6-5CDC-4AA2-A15B-3E32B7325254}"/>
    <cellStyle name="Normal 2 5 4 2 4 5" xfId="19084" xr:uid="{37FFDA42-CEC0-4583-911F-51269B052AE2}"/>
    <cellStyle name="Normal 2 5 4 2 4 6" xfId="27524" xr:uid="{67BD1A45-AB4D-4818-849B-76E5AB4F3E16}"/>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4C4EED0C-BDF5-463E-A660-339862607D1C}"/>
    <cellStyle name="Normal 2 5 4 2 5 2 2 3" xfId="25859" xr:uid="{0D7C42C7-2319-426C-9830-04590BD00B99}"/>
    <cellStyle name="Normal 2 5 4 2 5 2 2 4" xfId="34299" xr:uid="{1A6CAA18-B528-49EC-AECF-7CC4A1E708AE}"/>
    <cellStyle name="Normal 2 5 4 2 5 2 3" xfId="13201" xr:uid="{CFCE3F5B-2C2F-4AA2-9432-1ED969508A44}"/>
    <cellStyle name="Normal 2 5 4 2 5 2 4" xfId="21642" xr:uid="{ED9B08E2-953D-4D5C-8284-5F6E87877C10}"/>
    <cellStyle name="Normal 2 5 4 2 5 2 5" xfId="30082" xr:uid="{A12820C3-5F00-49BF-A996-D57F5FD432E3}"/>
    <cellStyle name="Normal 2 5 4 2 5 3" xfId="5947" xr:uid="{00000000-0005-0000-0000-000036110000}"/>
    <cellStyle name="Normal 2 5 4 2 5 3 2" xfId="15273" xr:uid="{043C8288-13EB-4B96-8E76-2F99A8D7E40B}"/>
    <cellStyle name="Normal 2 5 4 2 5 3 3" xfId="23714" xr:uid="{087E9320-0B66-4F24-BB9F-DF926777FEEC}"/>
    <cellStyle name="Normal 2 5 4 2 5 3 4" xfId="32154" xr:uid="{DFC29747-7746-498D-8C49-70C8EDBDA2E5}"/>
    <cellStyle name="Normal 2 5 4 2 5 4" xfId="11056" xr:uid="{96DDA995-0715-4B42-9E3B-131FBB545A3E}"/>
    <cellStyle name="Normal 2 5 4 2 5 5" xfId="19497" xr:uid="{BC6BD180-BF40-4834-906D-9D903A322E70}"/>
    <cellStyle name="Normal 2 5 4 2 5 6" xfId="27937" xr:uid="{A28D25A4-6A85-4676-881E-CE22CADFB101}"/>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1923A653-11D4-4E4B-9F9D-37C38D874A78}"/>
    <cellStyle name="Normal 2 5 4 2 6 2 2 3" xfId="26272" xr:uid="{1AB43DAF-65A2-4033-93D8-485557035C9C}"/>
    <cellStyle name="Normal 2 5 4 2 6 2 2 4" xfId="34712" xr:uid="{E75A86C9-0C8E-49E9-AFF1-932BC75A3494}"/>
    <cellStyle name="Normal 2 5 4 2 6 2 3" xfId="13614" xr:uid="{69C91E8B-1640-49F1-8F59-4560A4D187AA}"/>
    <cellStyle name="Normal 2 5 4 2 6 2 4" xfId="22055" xr:uid="{731CD9BC-321F-487F-A0FE-B90022D00547}"/>
    <cellStyle name="Normal 2 5 4 2 6 2 5" xfId="30495" xr:uid="{A0FD8984-5E50-4812-932B-6944ECCCB3BE}"/>
    <cellStyle name="Normal 2 5 4 2 6 3" xfId="6360" xr:uid="{00000000-0005-0000-0000-00003A110000}"/>
    <cellStyle name="Normal 2 5 4 2 6 3 2" xfId="15686" xr:uid="{551E1E54-F9D7-4280-98F7-7987C4DA5569}"/>
    <cellStyle name="Normal 2 5 4 2 6 3 3" xfId="24127" xr:uid="{F15ED4A3-2484-464C-8EDA-AEA49FAE362F}"/>
    <cellStyle name="Normal 2 5 4 2 6 3 4" xfId="32567" xr:uid="{1D2BCE3B-2EA7-44D5-9602-8D7F3A37C5AE}"/>
    <cellStyle name="Normal 2 5 4 2 6 4" xfId="11469" xr:uid="{0EB58D67-359D-461C-9E8A-7BC4DA396DAF}"/>
    <cellStyle name="Normal 2 5 4 2 6 5" xfId="19910" xr:uid="{BCE17FDE-60C0-48AF-AD07-A956F24D04EE}"/>
    <cellStyle name="Normal 2 5 4 2 6 6" xfId="28350" xr:uid="{5D96E373-25A3-4736-8EB4-01E0FF719574}"/>
    <cellStyle name="Normal 2 5 4 2 7" xfId="2490" xr:uid="{00000000-0005-0000-0000-00003B110000}"/>
    <cellStyle name="Normal 2 5 4 2 7 2" xfId="6773" xr:uid="{00000000-0005-0000-0000-00003C110000}"/>
    <cellStyle name="Normal 2 5 4 2 7 2 2" xfId="16099" xr:uid="{44150000-5322-452C-9631-397245D5FC89}"/>
    <cellStyle name="Normal 2 5 4 2 7 2 3" xfId="24540" xr:uid="{CFC244A9-7B47-433D-9336-2C3D836A2706}"/>
    <cellStyle name="Normal 2 5 4 2 7 2 4" xfId="32980" xr:uid="{22971A9C-A9C9-468E-A7EA-FEE2C56BDCC6}"/>
    <cellStyle name="Normal 2 5 4 2 7 3" xfId="11882" xr:uid="{FA458144-72A1-471E-84D1-7F482464F54C}"/>
    <cellStyle name="Normal 2 5 4 2 7 4" xfId="20323" xr:uid="{EFA2A328-1185-4DF3-8C6E-C05735AD8072}"/>
    <cellStyle name="Normal 2 5 4 2 7 5" xfId="28763" xr:uid="{511F7AC6-AB0D-4A42-BE65-40B5EFED3EDE}"/>
    <cellStyle name="Normal 2 5 4 2 8" xfId="4707" xr:uid="{00000000-0005-0000-0000-00003D110000}"/>
    <cellStyle name="Normal 2 5 4 2 8 2" xfId="14033" xr:uid="{BA29FF20-820A-4471-93DC-50F2BC9885A1}"/>
    <cellStyle name="Normal 2 5 4 2 8 3" xfId="22474" xr:uid="{340B6917-C480-45CA-911E-E160BA5E4B82}"/>
    <cellStyle name="Normal 2 5 4 2 8 4" xfId="30914" xr:uid="{C028E08F-1CF6-4150-9F1B-02B7FB3F499D}"/>
    <cellStyle name="Normal 2 5 4 2 9" xfId="8919" xr:uid="{2A8C96F6-0F22-4271-BCA3-7E5B2E35A54F}"/>
    <cellStyle name="Normal 2 5 4 3" xfId="321" xr:uid="{00000000-0005-0000-0000-00003E110000}"/>
    <cellStyle name="Normal 2 5 4 3 10" xfId="18259" xr:uid="{89E79AB2-708C-4D90-BABE-FD87C24F3317}"/>
    <cellStyle name="Normal 2 5 4 3 11" xfId="26699" xr:uid="{BD5D5B27-F218-4E72-9775-54FFE721CC54}"/>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457CD260-D19D-42F8-80AD-4F3DC5DF5CB4}"/>
    <cellStyle name="Normal 2 5 4 3 2 2 2 3" xfId="25035" xr:uid="{999E5DCE-92A6-46D7-87F5-8D2808FDE2DF}"/>
    <cellStyle name="Normal 2 5 4 3 2 2 2 4" xfId="33475" xr:uid="{42130073-B844-40FD-ADEF-9BFD9C2744AF}"/>
    <cellStyle name="Normal 2 5 4 3 2 2 3" xfId="12377" xr:uid="{0494DA8B-0C35-4C3D-9A45-8FF8A33EE246}"/>
    <cellStyle name="Normal 2 5 4 3 2 2 4" xfId="20818" xr:uid="{B7D73F5B-D97E-4BD9-87C5-7EF18F5F577A}"/>
    <cellStyle name="Normal 2 5 4 3 2 2 5" xfId="29258" xr:uid="{E35ECA70-E01B-4B86-A340-217CDB2E93EB}"/>
    <cellStyle name="Normal 2 5 4 3 2 3" xfId="5123" xr:uid="{00000000-0005-0000-0000-000042110000}"/>
    <cellStyle name="Normal 2 5 4 3 2 3 2" xfId="14449" xr:uid="{A8A43153-EF06-43A4-9033-C43BB410CA98}"/>
    <cellStyle name="Normal 2 5 4 3 2 3 3" xfId="22890" xr:uid="{0441720B-C9A5-42ED-A71F-9E1B8BA50142}"/>
    <cellStyle name="Normal 2 5 4 3 2 3 4" xfId="31330" xr:uid="{47A76455-1EC5-49F1-A794-359A0669DB10}"/>
    <cellStyle name="Normal 2 5 4 3 2 4" xfId="9448" xr:uid="{0C1738F2-697E-4430-8A3F-E67747B3EDB0}"/>
    <cellStyle name="Normal 2 5 4 3 2 5" xfId="10232" xr:uid="{14044368-033F-4578-9781-1B20E1FDF8C2}"/>
    <cellStyle name="Normal 2 5 4 3 2 6" xfId="18673" xr:uid="{42A6D287-B86C-468A-91A0-4797C7C6AACA}"/>
    <cellStyle name="Normal 2 5 4 3 2 7" xfId="27113" xr:uid="{3EC288C2-A5BF-45AE-B107-09EBB8947552}"/>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6B331325-A2F8-4264-A8A9-FAC00D9EC9D5}"/>
    <cellStyle name="Normal 2 5 4 3 3 2 2 3" xfId="25448" xr:uid="{6E5DDF75-1E6C-455A-AEB2-C77B704F02D2}"/>
    <cellStyle name="Normal 2 5 4 3 3 2 2 4" xfId="33888" xr:uid="{AB2BE808-CEF0-4436-B60F-00A0AC9C55CB}"/>
    <cellStyle name="Normal 2 5 4 3 3 2 3" xfId="12790" xr:uid="{D06127AD-E5C8-4D05-A24C-DF8D5020E038}"/>
    <cellStyle name="Normal 2 5 4 3 3 2 4" xfId="21231" xr:uid="{AB159243-3D05-460D-A251-9C614CC63A5C}"/>
    <cellStyle name="Normal 2 5 4 3 3 2 5" xfId="29671" xr:uid="{182B1F56-72BE-4B6F-9396-4FC65062064D}"/>
    <cellStyle name="Normal 2 5 4 3 3 3" xfId="5536" xr:uid="{00000000-0005-0000-0000-000046110000}"/>
    <cellStyle name="Normal 2 5 4 3 3 3 2" xfId="14862" xr:uid="{57FCBAF5-20CD-442A-A2FB-5A6EAC8B9073}"/>
    <cellStyle name="Normal 2 5 4 3 3 3 3" xfId="23303" xr:uid="{E24AD462-8CC1-4214-BBAD-D4AAAC6BAD92}"/>
    <cellStyle name="Normal 2 5 4 3 3 3 4" xfId="31743" xr:uid="{6FD05DB3-33FF-4634-915D-13F28AD290A0}"/>
    <cellStyle name="Normal 2 5 4 3 3 4" xfId="10645" xr:uid="{4308D689-D50A-467F-A64F-CB6630B1B281}"/>
    <cellStyle name="Normal 2 5 4 3 3 5" xfId="19086" xr:uid="{856ABD42-5557-4020-BA74-3465003F5C14}"/>
    <cellStyle name="Normal 2 5 4 3 3 6" xfId="27526" xr:uid="{187FE458-954D-47E0-99E0-EE934F944733}"/>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F4E59D9E-7732-4CB9-9125-A3B95D91C8C2}"/>
    <cellStyle name="Normal 2 5 4 3 4 2 2 3" xfId="25861" xr:uid="{8CBB5E28-72DA-41DE-A9F8-066AE1017272}"/>
    <cellStyle name="Normal 2 5 4 3 4 2 2 4" xfId="34301" xr:uid="{C489CBDA-1159-4686-9553-2F35BCB5D295}"/>
    <cellStyle name="Normal 2 5 4 3 4 2 3" xfId="13203" xr:uid="{2D4BFA2D-D391-4414-9C90-31FA1800E163}"/>
    <cellStyle name="Normal 2 5 4 3 4 2 4" xfId="21644" xr:uid="{43D9E1C6-1800-472C-99BB-7146E7688F4C}"/>
    <cellStyle name="Normal 2 5 4 3 4 2 5" xfId="30084" xr:uid="{D831A9A2-5667-43EA-84AE-7953D58AA151}"/>
    <cellStyle name="Normal 2 5 4 3 4 3" xfId="5949" xr:uid="{00000000-0005-0000-0000-00004A110000}"/>
    <cellStyle name="Normal 2 5 4 3 4 3 2" xfId="15275" xr:uid="{A19DB16C-5E13-48DA-8E25-51119F7C532F}"/>
    <cellStyle name="Normal 2 5 4 3 4 3 3" xfId="23716" xr:uid="{23CF32E6-33E7-4EE0-A549-D0F7402AC313}"/>
    <cellStyle name="Normal 2 5 4 3 4 3 4" xfId="32156" xr:uid="{B65208EB-6E56-4629-B432-9F468F592516}"/>
    <cellStyle name="Normal 2 5 4 3 4 4" xfId="11058" xr:uid="{8C80FED3-852A-4588-9BA4-9211DA4D2655}"/>
    <cellStyle name="Normal 2 5 4 3 4 5" xfId="19499" xr:uid="{ABE799EE-B964-4829-A1A6-1DC14D8D60CB}"/>
    <cellStyle name="Normal 2 5 4 3 4 6" xfId="27939" xr:uid="{D4F16E29-1F7A-419C-8A0F-553D9B937014}"/>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E305499F-E140-487A-80E2-70E01856234A}"/>
    <cellStyle name="Normal 2 5 4 3 5 2 2 3" xfId="26274" xr:uid="{6E6221CA-4C72-45B9-B2F3-BE606D682FA8}"/>
    <cellStyle name="Normal 2 5 4 3 5 2 2 4" xfId="34714" xr:uid="{2762273D-337F-4AF5-87E4-700479CA86AA}"/>
    <cellStyle name="Normal 2 5 4 3 5 2 3" xfId="13616" xr:uid="{681D6138-56C4-46B5-82E9-2942588A7B53}"/>
    <cellStyle name="Normal 2 5 4 3 5 2 4" xfId="22057" xr:uid="{C1C83E9F-7EB9-4B4B-86A7-887C62CBE5AC}"/>
    <cellStyle name="Normal 2 5 4 3 5 2 5" xfId="30497" xr:uid="{DFB732AE-27C8-4997-9836-368C5D0AFF86}"/>
    <cellStyle name="Normal 2 5 4 3 5 3" xfId="6362" xr:uid="{00000000-0005-0000-0000-00004E110000}"/>
    <cellStyle name="Normal 2 5 4 3 5 3 2" xfId="15688" xr:uid="{ECB05C39-8627-4ADA-8AAA-22DC56838BF8}"/>
    <cellStyle name="Normal 2 5 4 3 5 3 3" xfId="24129" xr:uid="{F821F069-82DC-4C39-875A-A7EF3C2F6CCC}"/>
    <cellStyle name="Normal 2 5 4 3 5 3 4" xfId="32569" xr:uid="{3BD31082-BF9A-4D32-B632-D403AFE67723}"/>
    <cellStyle name="Normal 2 5 4 3 5 4" xfId="11471" xr:uid="{51CEE32C-2A05-4850-AF8B-BC0F4A7C7EC8}"/>
    <cellStyle name="Normal 2 5 4 3 5 5" xfId="19912" xr:uid="{0708D641-19B8-4E00-ABA1-2DEC6DCE1CCB}"/>
    <cellStyle name="Normal 2 5 4 3 5 6" xfId="28352" xr:uid="{379F5912-CDDC-43E3-9427-91116830A06E}"/>
    <cellStyle name="Normal 2 5 4 3 6" xfId="2492" xr:uid="{00000000-0005-0000-0000-00004F110000}"/>
    <cellStyle name="Normal 2 5 4 3 6 2" xfId="6775" xr:uid="{00000000-0005-0000-0000-000050110000}"/>
    <cellStyle name="Normal 2 5 4 3 6 2 2" xfId="16101" xr:uid="{754DC3A3-8936-488C-8AFE-EE86F985CD45}"/>
    <cellStyle name="Normal 2 5 4 3 6 2 3" xfId="24542" xr:uid="{594BA392-E90E-45DC-AD72-C8DF47726017}"/>
    <cellStyle name="Normal 2 5 4 3 6 2 4" xfId="32982" xr:uid="{FCAEB3B5-E884-4270-BCC9-8DD01831C870}"/>
    <cellStyle name="Normal 2 5 4 3 6 3" xfId="11884" xr:uid="{09394090-0A67-412E-8831-9E47F45707DE}"/>
    <cellStyle name="Normal 2 5 4 3 6 4" xfId="20325" xr:uid="{204B87D7-54D6-4653-87D9-60270DBEBDC0}"/>
    <cellStyle name="Normal 2 5 4 3 6 5" xfId="28765" xr:uid="{FE6DCC41-77F0-41EF-9BF3-6D4227E51995}"/>
    <cellStyle name="Normal 2 5 4 3 7" xfId="4709" xr:uid="{00000000-0005-0000-0000-000051110000}"/>
    <cellStyle name="Normal 2 5 4 3 7 2" xfId="14035" xr:uid="{57E3EA90-62BE-42CB-9E9A-D4F6240AAFA4}"/>
    <cellStyle name="Normal 2 5 4 3 7 3" xfId="22476" xr:uid="{E759BA59-61DE-4FE0-8BCA-1A0E7C46CE8B}"/>
    <cellStyle name="Normal 2 5 4 3 7 4" xfId="30916" xr:uid="{4503B573-A4EF-430B-8158-934DD53B97B0}"/>
    <cellStyle name="Normal 2 5 4 3 8" xfId="9023" xr:uid="{9B869639-3DD4-4511-AD70-D5125D34938F}"/>
    <cellStyle name="Normal 2 5 4 3 9" xfId="9818" xr:uid="{F3AAFA64-0859-41A5-9643-B9BD7C6C3DEB}"/>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90025748-0FCE-4AE4-9D75-20BDCFBE3767}"/>
    <cellStyle name="Normal 2 5 4 4 2 2 3" xfId="25032" xr:uid="{69DAEEDD-714F-4E88-B86C-8931C1908DEB}"/>
    <cellStyle name="Normal 2 5 4 4 2 2 4" xfId="33472" xr:uid="{B0D72316-DF72-4032-A093-724393EEE180}"/>
    <cellStyle name="Normal 2 5 4 4 2 3" xfId="12374" xr:uid="{0546BAE7-D84D-4F7B-B6BB-C205955E5794}"/>
    <cellStyle name="Normal 2 5 4 4 2 4" xfId="20815" xr:uid="{35BC7C19-3517-4109-BA15-D9146845410B}"/>
    <cellStyle name="Normal 2 5 4 4 2 5" xfId="29255" xr:uid="{A64AE8FB-FB8B-4CDC-BB6D-55439F0D8A94}"/>
    <cellStyle name="Normal 2 5 4 4 3" xfId="5120" xr:uid="{00000000-0005-0000-0000-000055110000}"/>
    <cellStyle name="Normal 2 5 4 4 3 2" xfId="14446" xr:uid="{AF35AD23-F26E-4077-9423-2A5ADB4589D2}"/>
    <cellStyle name="Normal 2 5 4 4 3 3" xfId="22887" xr:uid="{C8B1669D-EA64-4FF9-AF47-29904B9F403E}"/>
    <cellStyle name="Normal 2 5 4 4 3 4" xfId="31327" xr:uid="{FFEC1951-8AA3-40C4-A14C-E7F9AF122734}"/>
    <cellStyle name="Normal 2 5 4 4 4" xfId="9241" xr:uid="{2BD2F05F-E4C9-46B4-B3C9-F0D081C1F38F}"/>
    <cellStyle name="Normal 2 5 4 4 5" xfId="10229" xr:uid="{F6A6AE07-FDBC-4FC7-90FC-157A752DD3D5}"/>
    <cellStyle name="Normal 2 5 4 4 6" xfId="18670" xr:uid="{1285F314-641F-44D2-B5B9-13701BEB3635}"/>
    <cellStyle name="Normal 2 5 4 4 7" xfId="27110" xr:uid="{36D3A5C1-8D7A-4EA5-950B-C5B1C6EA155D}"/>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B41D3694-56FD-4895-8998-8848B170A6F4}"/>
    <cellStyle name="Normal 2 5 4 5 2 2 3" xfId="25445" xr:uid="{C4A096E1-3E1C-45B7-8C63-9BDDCA6839E6}"/>
    <cellStyle name="Normal 2 5 4 5 2 2 4" xfId="33885" xr:uid="{EB4C1848-8730-4925-9676-0274C30595A2}"/>
    <cellStyle name="Normal 2 5 4 5 2 3" xfId="12787" xr:uid="{220117A0-DCE0-482F-8D6D-507636ED50E3}"/>
    <cellStyle name="Normal 2 5 4 5 2 4" xfId="21228" xr:uid="{492BCC69-1BD1-42F7-8E32-2DE5C31E5096}"/>
    <cellStyle name="Normal 2 5 4 5 2 5" xfId="29668" xr:uid="{0874FE77-F94F-43DD-9F97-A887C6001059}"/>
    <cellStyle name="Normal 2 5 4 5 3" xfId="5533" xr:uid="{00000000-0005-0000-0000-000059110000}"/>
    <cellStyle name="Normal 2 5 4 5 3 2" xfId="14859" xr:uid="{EE373D07-B495-4EC6-895D-72D7BD9B30F3}"/>
    <cellStyle name="Normal 2 5 4 5 3 3" xfId="23300" xr:uid="{1E90BD0B-D648-45D4-ADC7-4D6193BF3F3D}"/>
    <cellStyle name="Normal 2 5 4 5 3 4" xfId="31740" xr:uid="{856A8E6D-3663-46E0-BE29-BA3AA89EA0B5}"/>
    <cellStyle name="Normal 2 5 4 5 4" xfId="10642" xr:uid="{BAE576B3-AED8-497D-8789-D09CD81C05B5}"/>
    <cellStyle name="Normal 2 5 4 5 5" xfId="19083" xr:uid="{A046E845-101C-456D-B0A5-433BD482852C}"/>
    <cellStyle name="Normal 2 5 4 5 6" xfId="27523" xr:uid="{DD334368-44D1-4842-974A-4F042F9FC58C}"/>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963EF9DD-8B21-459C-9B94-5E453D2BF767}"/>
    <cellStyle name="Normal 2 5 4 6 2 2 3" xfId="25858" xr:uid="{C66A9888-3FF0-46D3-ADBD-FE05BEBEBFED}"/>
    <cellStyle name="Normal 2 5 4 6 2 2 4" xfId="34298" xr:uid="{1A2DD33E-BCDC-46F2-94D1-6BD943C045E3}"/>
    <cellStyle name="Normal 2 5 4 6 2 3" xfId="13200" xr:uid="{AB00FC97-E480-4587-9BD3-8286964FFDB0}"/>
    <cellStyle name="Normal 2 5 4 6 2 4" xfId="21641" xr:uid="{6C32ECFB-4B92-4F54-82E1-2361D774969F}"/>
    <cellStyle name="Normal 2 5 4 6 2 5" xfId="30081" xr:uid="{135120E9-7E4A-4753-8762-36D2FF092BB6}"/>
    <cellStyle name="Normal 2 5 4 6 3" xfId="5946" xr:uid="{00000000-0005-0000-0000-00005D110000}"/>
    <cellStyle name="Normal 2 5 4 6 3 2" xfId="15272" xr:uid="{7C113DCA-86CB-4AAB-BAED-2A97A9742CCC}"/>
    <cellStyle name="Normal 2 5 4 6 3 3" xfId="23713" xr:uid="{8B80792A-C7CB-4920-9C08-8071D2458876}"/>
    <cellStyle name="Normal 2 5 4 6 3 4" xfId="32153" xr:uid="{5B67A30F-10E0-4BC5-95BA-553399FA2831}"/>
    <cellStyle name="Normal 2 5 4 6 4" xfId="11055" xr:uid="{85707B06-7E40-4003-82E2-4607A1F70882}"/>
    <cellStyle name="Normal 2 5 4 6 5" xfId="19496" xr:uid="{010BE7A4-611F-460B-AB61-67AB5B733738}"/>
    <cellStyle name="Normal 2 5 4 6 6" xfId="27936" xr:uid="{2F5E9A03-1CD3-4759-881C-63D9D226BF5B}"/>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57FC90EA-0908-403C-9A64-CF743E08A157}"/>
    <cellStyle name="Normal 2 5 4 7 2 2 3" xfId="26271" xr:uid="{A85C933A-4F6B-4EA0-AE6A-860563F3E020}"/>
    <cellStyle name="Normal 2 5 4 7 2 2 4" xfId="34711" xr:uid="{E491A8BF-2968-41E2-A30F-0A87DFE5B484}"/>
    <cellStyle name="Normal 2 5 4 7 2 3" xfId="13613" xr:uid="{B6FCABCC-55FC-4DBC-9A21-7B63FDFEEECE}"/>
    <cellStyle name="Normal 2 5 4 7 2 4" xfId="22054" xr:uid="{B6C6DECE-B8BD-4440-BAC8-8D912292CB6E}"/>
    <cellStyle name="Normal 2 5 4 7 2 5" xfId="30494" xr:uid="{0BE28202-8F98-42F7-A1C0-4322DA9D2976}"/>
    <cellStyle name="Normal 2 5 4 7 3" xfId="6359" xr:uid="{00000000-0005-0000-0000-000061110000}"/>
    <cellStyle name="Normal 2 5 4 7 3 2" xfId="15685" xr:uid="{9CAEF34B-FA69-4686-9E8C-3FADD7CD2584}"/>
    <cellStyle name="Normal 2 5 4 7 3 3" xfId="24126" xr:uid="{E693DB51-1A0F-4C81-B324-4E000D2B188B}"/>
    <cellStyle name="Normal 2 5 4 7 3 4" xfId="32566" xr:uid="{4390EE9C-A1ED-438E-BC63-5CA44BB22CA3}"/>
    <cellStyle name="Normal 2 5 4 7 4" xfId="11468" xr:uid="{30A49895-9BC6-409C-AA78-72D4E1C5D162}"/>
    <cellStyle name="Normal 2 5 4 7 5" xfId="19909" xr:uid="{F78B9B67-063C-43C5-9768-29346C26978E}"/>
    <cellStyle name="Normal 2 5 4 7 6" xfId="28349" xr:uid="{BC8D092F-3A8E-4BAC-A31B-8A36C3936ED6}"/>
    <cellStyle name="Normal 2 5 4 8" xfId="2489" xr:uid="{00000000-0005-0000-0000-000062110000}"/>
    <cellStyle name="Normal 2 5 4 8 2" xfId="6772" xr:uid="{00000000-0005-0000-0000-000063110000}"/>
    <cellStyle name="Normal 2 5 4 8 2 2" xfId="16098" xr:uid="{B7E63DE6-620E-4FAE-AFC8-0C525DC85731}"/>
    <cellStyle name="Normal 2 5 4 8 2 3" xfId="24539" xr:uid="{F58AC4AD-E1C8-4F9B-86FF-D265F44EA40B}"/>
    <cellStyle name="Normal 2 5 4 8 2 4" xfId="32979" xr:uid="{215CDFC7-CBA7-44FB-9953-E29A9C92A79B}"/>
    <cellStyle name="Normal 2 5 4 8 3" xfId="11881" xr:uid="{F36E1FB8-198C-4D4E-B330-9482D93E0E70}"/>
    <cellStyle name="Normal 2 5 4 8 4" xfId="20322" xr:uid="{A2C20D33-7A58-4D0C-AE58-5AD2394CD29A}"/>
    <cellStyle name="Normal 2 5 4 8 5" xfId="28762" xr:uid="{4C670238-4012-43FA-B364-261367CCCA99}"/>
    <cellStyle name="Normal 2 5 4 9" xfId="4706" xr:uid="{00000000-0005-0000-0000-000064110000}"/>
    <cellStyle name="Normal 2 5 4 9 2" xfId="14032" xr:uid="{169C2A3A-9F1B-4993-8258-366A615A8B79}"/>
    <cellStyle name="Normal 2 5 4 9 3" xfId="22473" xr:uid="{1A6C7F4A-866A-4E28-B875-27E260E882E2}"/>
    <cellStyle name="Normal 2 5 4 9 4" xfId="30913" xr:uid="{1C6AF474-67E6-4300-AD79-D486348C90DD}"/>
    <cellStyle name="Normal 2 5 5" xfId="803" xr:uid="{00000000-0005-0000-0000-000065110000}"/>
    <cellStyle name="Normal 2 5 5 2" xfId="3042" xr:uid="{00000000-0005-0000-0000-000066110000}"/>
    <cellStyle name="Normal 2 5 5 2 2" xfId="7264" xr:uid="{00000000-0005-0000-0000-000067110000}"/>
    <cellStyle name="Normal 2 5 5 2 2 2" xfId="16590" xr:uid="{E47685C5-0C3C-44FC-8DFF-ED18090D4829}"/>
    <cellStyle name="Normal 2 5 5 2 2 3" xfId="25031" xr:uid="{DDC5A4A5-BB09-40FA-8ADA-B9AF1EA728B6}"/>
    <cellStyle name="Normal 2 5 5 2 2 4" xfId="33471" xr:uid="{025EBBD0-45A3-4B2E-AB28-54385BC998E1}"/>
    <cellStyle name="Normal 2 5 5 2 3" xfId="12373" xr:uid="{63CFB77E-7E24-439E-A848-1CE986FFF8DE}"/>
    <cellStyle name="Normal 2 5 5 2 4" xfId="20814" xr:uid="{067F9DCE-ED38-4290-9F8F-CE0DB1A1B6A4}"/>
    <cellStyle name="Normal 2 5 5 2 5" xfId="29254" xr:uid="{470870DE-956D-4A6C-991F-8D8DDDC4F5BD}"/>
    <cellStyle name="Normal 2 5 5 3" xfId="5119" xr:uid="{00000000-0005-0000-0000-000068110000}"/>
    <cellStyle name="Normal 2 5 5 3 2" xfId="14445" xr:uid="{474DA5F1-0B04-4F51-B047-7A44D2232F99}"/>
    <cellStyle name="Normal 2 5 5 3 3" xfId="22886" xr:uid="{9658144D-903D-4127-8831-65537EC4957E}"/>
    <cellStyle name="Normal 2 5 5 3 4" xfId="31326" xr:uid="{D072EF6C-FAF4-49C0-8223-093B933C3EE4}"/>
    <cellStyle name="Normal 2 5 5 4" xfId="9606" xr:uid="{3AE4D77A-44EE-40C2-9F71-05FBDE2746B2}"/>
    <cellStyle name="Normal 2 5 5 5" xfId="10228" xr:uid="{6D894E9D-2F2F-428B-8293-E873FE4CEEEA}"/>
    <cellStyle name="Normal 2 5 5 6" xfId="18669" xr:uid="{33E66711-3E8A-430F-BFE0-B9D8AA271085}"/>
    <cellStyle name="Normal 2 5 5 7" xfId="27109" xr:uid="{0B643E16-4D6A-466C-B109-4429483F0362}"/>
    <cellStyle name="Normal 2 5 6" xfId="1225" xr:uid="{00000000-0005-0000-0000-000069110000}"/>
    <cellStyle name="Normal 2 5 6 2" xfId="3455" xr:uid="{00000000-0005-0000-0000-00006A110000}"/>
    <cellStyle name="Normal 2 5 6 2 2" xfId="7677" xr:uid="{00000000-0005-0000-0000-00006B110000}"/>
    <cellStyle name="Normal 2 5 6 2 2 2" xfId="17003" xr:uid="{2BB83313-245A-4EE2-8FD8-8A5B08F136A4}"/>
    <cellStyle name="Normal 2 5 6 2 2 3" xfId="25444" xr:uid="{EE4CC6FE-4326-46FF-A826-20AB167C763A}"/>
    <cellStyle name="Normal 2 5 6 2 2 4" xfId="33884" xr:uid="{5D7A36BF-42F6-46EB-9DA2-AB53C323B5D8}"/>
    <cellStyle name="Normal 2 5 6 2 3" xfId="12786" xr:uid="{D8A52CB8-A9C3-451F-A1A4-E5E90DE68D8A}"/>
    <cellStyle name="Normal 2 5 6 2 4" xfId="21227" xr:uid="{99DB5BA3-6CD4-4AA8-94F8-AD500EFE22B3}"/>
    <cellStyle name="Normal 2 5 6 2 5" xfId="29667" xr:uid="{7B3EB263-932F-4B16-9D7A-4880043B3601}"/>
    <cellStyle name="Normal 2 5 6 3" xfId="5532" xr:uid="{00000000-0005-0000-0000-00006C110000}"/>
    <cellStyle name="Normal 2 5 6 3 2" xfId="14858" xr:uid="{4C0443C4-E099-414D-B4AA-8987ADB8FFF8}"/>
    <cellStyle name="Normal 2 5 6 3 3" xfId="23299" xr:uid="{C72082CB-8714-40F1-88E6-FF148F115B7D}"/>
    <cellStyle name="Normal 2 5 6 3 4" xfId="31739" xr:uid="{0A5BA3EE-7B95-450F-B6A5-E98F92045919}"/>
    <cellStyle name="Normal 2 5 6 4" xfId="10641" xr:uid="{8AAF401D-EE15-4381-ABD8-CE86A03AB5DB}"/>
    <cellStyle name="Normal 2 5 6 5" xfId="19082" xr:uid="{68F1FF28-A8F1-4FE4-B9A4-0C69E92B5C24}"/>
    <cellStyle name="Normal 2 5 6 6" xfId="27522" xr:uid="{92433207-47B2-4556-8EE1-C30B157F86F4}"/>
    <cellStyle name="Normal 2 5 7" xfId="1638" xr:uid="{00000000-0005-0000-0000-00006D110000}"/>
    <cellStyle name="Normal 2 5 7 2" xfId="3868" xr:uid="{00000000-0005-0000-0000-00006E110000}"/>
    <cellStyle name="Normal 2 5 7 2 2" xfId="8090" xr:uid="{00000000-0005-0000-0000-00006F110000}"/>
    <cellStyle name="Normal 2 5 7 2 2 2" xfId="17416" xr:uid="{678C05EB-D1EA-4530-8DC8-BFDB8977C7F0}"/>
    <cellStyle name="Normal 2 5 7 2 2 3" xfId="25857" xr:uid="{DB09D94D-9EB2-44F6-9BDE-B694A1E72B82}"/>
    <cellStyle name="Normal 2 5 7 2 2 4" xfId="34297" xr:uid="{3FE8F8D0-0088-4485-8D5D-A902A10E610A}"/>
    <cellStyle name="Normal 2 5 7 2 3" xfId="13199" xr:uid="{330FAFB6-37CD-49FA-A937-60296A650353}"/>
    <cellStyle name="Normal 2 5 7 2 4" xfId="21640" xr:uid="{712B76CD-3346-484B-AE9F-E37C369FD02E}"/>
    <cellStyle name="Normal 2 5 7 2 5" xfId="30080" xr:uid="{080841AE-F29A-4247-A0AE-9E617B465BD7}"/>
    <cellStyle name="Normal 2 5 7 3" xfId="5945" xr:uid="{00000000-0005-0000-0000-000070110000}"/>
    <cellStyle name="Normal 2 5 7 3 2" xfId="15271" xr:uid="{1F95FB2A-230E-4D63-A908-1F6156A40C18}"/>
    <cellStyle name="Normal 2 5 7 3 3" xfId="23712" xr:uid="{98E9A36B-D158-4B4D-BBB3-364AEA0E17C8}"/>
    <cellStyle name="Normal 2 5 7 3 4" xfId="32152" xr:uid="{A32A39B8-9920-4475-B5AB-42DA7C9B2FA3}"/>
    <cellStyle name="Normal 2 5 7 4" xfId="11054" xr:uid="{F4AC7B3C-A32C-4B2D-BD16-87B257810745}"/>
    <cellStyle name="Normal 2 5 7 5" xfId="19495" xr:uid="{6CB9C3A7-E0CC-45CA-95C5-8057087D772A}"/>
    <cellStyle name="Normal 2 5 7 6" xfId="27935" xr:uid="{C9A56BD6-9EA5-436A-819E-49956C55B08C}"/>
    <cellStyle name="Normal 2 5 8" xfId="2052" xr:uid="{00000000-0005-0000-0000-000071110000}"/>
    <cellStyle name="Normal 2 5 8 2" xfId="4281" xr:uid="{00000000-0005-0000-0000-000072110000}"/>
    <cellStyle name="Normal 2 5 8 2 2" xfId="8503" xr:uid="{00000000-0005-0000-0000-000073110000}"/>
    <cellStyle name="Normal 2 5 8 2 2 2" xfId="17829" xr:uid="{1CDFB8A9-2305-42B1-8909-C7507C293354}"/>
    <cellStyle name="Normal 2 5 8 2 2 3" xfId="26270" xr:uid="{808D56D4-5BAE-4851-8939-7B8AD628CEF9}"/>
    <cellStyle name="Normal 2 5 8 2 2 4" xfId="34710" xr:uid="{F9B367DC-13D2-449D-9FB2-3CE82B28D072}"/>
    <cellStyle name="Normal 2 5 8 2 3" xfId="13612" xr:uid="{4112ED9D-DA35-4411-9EE4-2674FB854B6D}"/>
    <cellStyle name="Normal 2 5 8 2 4" xfId="22053" xr:uid="{60F5E17B-DAC7-4A23-9DC4-EEF9FD46B8B0}"/>
    <cellStyle name="Normal 2 5 8 2 5" xfId="30493" xr:uid="{7C5AFC3E-4D3E-4448-AD91-3046780927EF}"/>
    <cellStyle name="Normal 2 5 8 3" xfId="6358" xr:uid="{00000000-0005-0000-0000-000074110000}"/>
    <cellStyle name="Normal 2 5 8 3 2" xfId="15684" xr:uid="{8E6013DC-8C04-41F0-9A62-BD8F37E5E181}"/>
    <cellStyle name="Normal 2 5 8 3 3" xfId="24125" xr:uid="{90A7CEC8-0167-4CBC-A286-600472FA1ADB}"/>
    <cellStyle name="Normal 2 5 8 3 4" xfId="32565" xr:uid="{B7B098EA-BF38-4C71-96F9-298E1D25A1DE}"/>
    <cellStyle name="Normal 2 5 8 4" xfId="11467" xr:uid="{F7652B0B-4CB1-4328-A530-35B5037773E2}"/>
    <cellStyle name="Normal 2 5 8 5" xfId="19908" xr:uid="{B468B736-720A-40A6-80A1-7439CC06017E}"/>
    <cellStyle name="Normal 2 5 8 6" xfId="28348" xr:uid="{B0D953F0-03AF-421D-A991-7C84E5CDB962}"/>
    <cellStyle name="Normal 2 5 9" xfId="2488" xr:uid="{00000000-0005-0000-0000-000075110000}"/>
    <cellStyle name="Normal 2 5 9 2" xfId="6771" xr:uid="{00000000-0005-0000-0000-000076110000}"/>
    <cellStyle name="Normal 2 5 9 2 2" xfId="16097" xr:uid="{2A72B747-E067-4013-96F5-93504CA3E2C2}"/>
    <cellStyle name="Normal 2 5 9 2 3" xfId="24538" xr:uid="{9707AF80-D90F-401B-98B1-DA8A217CCFAF}"/>
    <cellStyle name="Normal 2 5 9 2 4" xfId="32978" xr:uid="{DBA55590-896E-4940-BD34-A95C9E859C16}"/>
    <cellStyle name="Normal 2 5 9 3" xfId="11880" xr:uid="{9D9A1B66-3255-4A51-811F-390D34A3229D}"/>
    <cellStyle name="Normal 2 5 9 4" xfId="20321" xr:uid="{5DB183D7-98F7-4945-9D8E-B5742638DB0B}"/>
    <cellStyle name="Normal 2 5 9 5" xfId="28761" xr:uid="{5859B780-EBEA-4A46-9C64-D64F6EE1AF7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0" xfId="18053" xr:uid="{ADA3710C-9EBA-4B8B-AFE4-5E1DD0A9DB8F}"/>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DDD33706-D687-4ED2-912A-84931F61BCFA}"/>
    <cellStyle name="Normal 3 2 11" xfId="18260" xr:uid="{264DEC39-34EE-49E9-B4C5-678FFC50DAC5}"/>
    <cellStyle name="Normal 3 2 12" xfId="26700" xr:uid="{942989E4-8B2F-434A-80AF-24A25D55AEF6}"/>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1" xfId="9820" xr:uid="{B2CD9439-51FE-4B59-921D-8FA41649A8D7}"/>
    <cellStyle name="Normal 3 2 3 12" xfId="18261" xr:uid="{4B914E12-CB41-46C3-8F6C-AF15E163BFDE}"/>
    <cellStyle name="Normal 3 2 3 13" xfId="26701" xr:uid="{CBC87FFC-28AE-4873-9579-3C7C98B2DE32}"/>
    <cellStyle name="Normal 3 2 3 2" xfId="327" xr:uid="{00000000-0005-0000-0000-00007F110000}"/>
    <cellStyle name="Normal 3 2 3 2 10" xfId="9821" xr:uid="{445A0AE4-4DF0-4AAA-AAAA-9F74A4FE6AF3}"/>
    <cellStyle name="Normal 3 2 3 2 11" xfId="18262" xr:uid="{E17D9D7D-932E-4514-A241-B5285D9EFD61}"/>
    <cellStyle name="Normal 3 2 3 2 12" xfId="26702" xr:uid="{55F63D70-0E48-4048-A30A-7E7567B01FDA}"/>
    <cellStyle name="Normal 3 2 3 2 2" xfId="328" xr:uid="{00000000-0005-0000-0000-000080110000}"/>
    <cellStyle name="Normal 3 2 3 2 2 10" xfId="18263" xr:uid="{1F62C1AA-BA5B-4B7C-980B-628B90EBFA57}"/>
    <cellStyle name="Normal 3 2 3 2 2 11" xfId="26703" xr:uid="{6E5C864F-465F-4B2B-B046-5D1B7863BDB6}"/>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473F7F19-6D0C-452B-8A52-3459D601FC6E}"/>
    <cellStyle name="Normal 3 2 3 2 2 2 2 2 3" xfId="25039" xr:uid="{A22932CF-0050-4F72-BC0D-89257BBC6D02}"/>
    <cellStyle name="Normal 3 2 3 2 2 2 2 2 4" xfId="33479" xr:uid="{AD4524C2-34D0-4D8B-A612-96F9402781E3}"/>
    <cellStyle name="Normal 3 2 3 2 2 2 2 3" xfId="12381" xr:uid="{C0EE679D-4945-43B0-B940-43757B55EB6D}"/>
    <cellStyle name="Normal 3 2 3 2 2 2 2 4" xfId="20822" xr:uid="{8981DAF6-CEE1-43E1-AA7D-65131682C3EC}"/>
    <cellStyle name="Normal 3 2 3 2 2 2 2 5" xfId="29262" xr:uid="{F8BBD750-A563-4801-AC6E-DE1583ADC491}"/>
    <cellStyle name="Normal 3 2 3 2 2 2 3" xfId="5127" xr:uid="{00000000-0005-0000-0000-000084110000}"/>
    <cellStyle name="Normal 3 2 3 2 2 2 3 2" xfId="14453" xr:uid="{88E788DC-9577-4FEC-96BD-A982DB8B20EE}"/>
    <cellStyle name="Normal 3 2 3 2 2 2 3 3" xfId="22894" xr:uid="{96A4D9F3-0C8E-431E-840B-1324BBD73580}"/>
    <cellStyle name="Normal 3 2 3 2 2 2 3 4" xfId="31334" xr:uid="{AA43BD1C-BBE6-4A66-A57E-D446284A3785}"/>
    <cellStyle name="Normal 3 2 3 2 2 2 4" xfId="9552" xr:uid="{54198C1B-8B77-4C07-BFED-28C4D4E00A0C}"/>
    <cellStyle name="Normal 3 2 3 2 2 2 5" xfId="10236" xr:uid="{6BFFB519-7BDB-4AA2-9564-95939DE2F0F7}"/>
    <cellStyle name="Normal 3 2 3 2 2 2 6" xfId="18677" xr:uid="{B17CCB37-89B5-41B7-B4DB-CD678CF059AB}"/>
    <cellStyle name="Normal 3 2 3 2 2 2 7" xfId="27117" xr:uid="{8C876BD7-1375-494B-ABA1-64F588797D54}"/>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7318824A-D8E0-4923-A61F-A55E327F2511}"/>
    <cellStyle name="Normal 3 2 3 2 2 3 2 2 3" xfId="25452" xr:uid="{BC7AE499-4ED3-42D4-9FF4-FCE7E1FF3E1D}"/>
    <cellStyle name="Normal 3 2 3 2 2 3 2 2 4" xfId="33892" xr:uid="{D9D05DB1-E1C9-4623-B2D7-E599927F1DC3}"/>
    <cellStyle name="Normal 3 2 3 2 2 3 2 3" xfId="12794" xr:uid="{2FDDE849-FB1A-4D4F-9758-A5745BE119DC}"/>
    <cellStyle name="Normal 3 2 3 2 2 3 2 4" xfId="21235" xr:uid="{6759F8B2-8CBD-4DD1-AC1C-6D461382CF49}"/>
    <cellStyle name="Normal 3 2 3 2 2 3 2 5" xfId="29675" xr:uid="{E8E6EEC4-E87E-4CC8-94F9-34C95E3579BB}"/>
    <cellStyle name="Normal 3 2 3 2 2 3 3" xfId="5540" xr:uid="{00000000-0005-0000-0000-000088110000}"/>
    <cellStyle name="Normal 3 2 3 2 2 3 3 2" xfId="14866" xr:uid="{F23130C7-FBC2-451D-AE49-35600E86389E}"/>
    <cellStyle name="Normal 3 2 3 2 2 3 3 3" xfId="23307" xr:uid="{B1F60BEB-84D0-4C5A-BA16-9AF6A59483C2}"/>
    <cellStyle name="Normal 3 2 3 2 2 3 3 4" xfId="31747" xr:uid="{BC437F09-0A12-4FF3-9A8C-D7B8CD7087F9}"/>
    <cellStyle name="Normal 3 2 3 2 2 3 4" xfId="10649" xr:uid="{3E809424-D4BB-46A8-A6EE-ACB4E4A2D28B}"/>
    <cellStyle name="Normal 3 2 3 2 2 3 5" xfId="19090" xr:uid="{F026DE9D-EAEB-46C5-A4C9-034C603BF309}"/>
    <cellStyle name="Normal 3 2 3 2 2 3 6" xfId="27530" xr:uid="{577B8BD4-ACC3-4483-8A1F-0A5C63730695}"/>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A63948BA-946E-430E-BE36-64CE75C9D3C4}"/>
    <cellStyle name="Normal 3 2 3 2 2 4 2 2 3" xfId="25865" xr:uid="{549741CA-5610-409C-AAC4-B1D605F3D7E6}"/>
    <cellStyle name="Normal 3 2 3 2 2 4 2 2 4" xfId="34305" xr:uid="{BF36425C-25BB-4622-B647-C41ABA31E27D}"/>
    <cellStyle name="Normal 3 2 3 2 2 4 2 3" xfId="13207" xr:uid="{830DDB26-FB5D-490F-BF8D-3A27E5D5F7DD}"/>
    <cellStyle name="Normal 3 2 3 2 2 4 2 4" xfId="21648" xr:uid="{7D141508-6BB9-4ABB-8D7D-974DC783A61A}"/>
    <cellStyle name="Normal 3 2 3 2 2 4 2 5" xfId="30088" xr:uid="{A2F3A5E5-3754-45C2-A876-F833A7A2DDCB}"/>
    <cellStyle name="Normal 3 2 3 2 2 4 3" xfId="5953" xr:uid="{00000000-0005-0000-0000-00008C110000}"/>
    <cellStyle name="Normal 3 2 3 2 2 4 3 2" xfId="15279" xr:uid="{50CEFE25-0E73-4E10-BEFC-5194EDC0BC26}"/>
    <cellStyle name="Normal 3 2 3 2 2 4 3 3" xfId="23720" xr:uid="{C19DBCE1-154F-401D-AE87-98904FEABF52}"/>
    <cellStyle name="Normal 3 2 3 2 2 4 3 4" xfId="32160" xr:uid="{58DD7A02-9880-4B33-B421-1FCA6C9EA255}"/>
    <cellStyle name="Normal 3 2 3 2 2 4 4" xfId="11062" xr:uid="{55C9E0DD-6EEB-4766-B615-EB469A5DDEE3}"/>
    <cellStyle name="Normal 3 2 3 2 2 4 5" xfId="19503" xr:uid="{B92EE3FB-5A43-4A0B-9FC8-DFC723BBEAA8}"/>
    <cellStyle name="Normal 3 2 3 2 2 4 6" xfId="27943" xr:uid="{72FDCFA8-4DA4-402E-9D80-C48507884B77}"/>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03829C34-B76E-4982-8F9E-BCD92B3415FD}"/>
    <cellStyle name="Normal 3 2 3 2 2 5 2 2 3" xfId="26278" xr:uid="{61D930B2-38EC-492A-B5CC-0A8972EB2BAC}"/>
    <cellStyle name="Normal 3 2 3 2 2 5 2 2 4" xfId="34718" xr:uid="{A63585CA-39AA-4485-83F0-D22CD2815391}"/>
    <cellStyle name="Normal 3 2 3 2 2 5 2 3" xfId="13620" xr:uid="{AD1512AC-2B22-44F1-AF88-FADCFDAC1172}"/>
    <cellStyle name="Normal 3 2 3 2 2 5 2 4" xfId="22061" xr:uid="{020E122D-010A-4705-AF8D-E8C7E81E89D9}"/>
    <cellStyle name="Normal 3 2 3 2 2 5 2 5" xfId="30501" xr:uid="{71195017-AA85-4D80-AE02-9EFF5E62AD7D}"/>
    <cellStyle name="Normal 3 2 3 2 2 5 3" xfId="6366" xr:uid="{00000000-0005-0000-0000-000090110000}"/>
    <cellStyle name="Normal 3 2 3 2 2 5 3 2" xfId="15692" xr:uid="{78003981-E7BB-4ADC-AE64-0339BAE1D324}"/>
    <cellStyle name="Normal 3 2 3 2 2 5 3 3" xfId="24133" xr:uid="{304BD91A-3C84-49B9-87C0-B0DE8FB9854C}"/>
    <cellStyle name="Normal 3 2 3 2 2 5 3 4" xfId="32573" xr:uid="{13D64956-2449-4724-8B75-50878B26E826}"/>
    <cellStyle name="Normal 3 2 3 2 2 5 4" xfId="11475" xr:uid="{B35053AB-B800-4184-B0F4-E5969AFF6E33}"/>
    <cellStyle name="Normal 3 2 3 2 2 5 5" xfId="19916" xr:uid="{4C388C50-8EA6-4A52-83D7-9D21E20D0A9A}"/>
    <cellStyle name="Normal 3 2 3 2 2 5 6" xfId="28356" xr:uid="{06A39516-0AF7-4AC0-BC0B-E1F5B21CB3B7}"/>
    <cellStyle name="Normal 3 2 3 2 2 6" xfId="2496" xr:uid="{00000000-0005-0000-0000-000091110000}"/>
    <cellStyle name="Normal 3 2 3 2 2 6 2" xfId="6779" xr:uid="{00000000-0005-0000-0000-000092110000}"/>
    <cellStyle name="Normal 3 2 3 2 2 6 2 2" xfId="16105" xr:uid="{7EAEDF0B-552B-4F9E-923F-AED4D8953EBF}"/>
    <cellStyle name="Normal 3 2 3 2 2 6 2 3" xfId="24546" xr:uid="{B79DD715-00A6-4627-96EA-313C1E402A7F}"/>
    <cellStyle name="Normal 3 2 3 2 2 6 2 4" xfId="32986" xr:uid="{8B5AB44A-A540-4FB3-A210-B0F30324538C}"/>
    <cellStyle name="Normal 3 2 3 2 2 6 3" xfId="11888" xr:uid="{00322A73-7BF4-42CB-BD9E-B8CBA787125D}"/>
    <cellStyle name="Normal 3 2 3 2 2 6 4" xfId="20329" xr:uid="{421838EF-99B6-4692-9FBF-B7F309AEA651}"/>
    <cellStyle name="Normal 3 2 3 2 2 6 5" xfId="28769" xr:uid="{537B46C3-A228-4A89-AD75-6426729E9846}"/>
    <cellStyle name="Normal 3 2 3 2 2 7" xfId="4713" xr:uid="{00000000-0005-0000-0000-000093110000}"/>
    <cellStyle name="Normal 3 2 3 2 2 7 2" xfId="14039" xr:uid="{59DCEFEF-1C21-411D-A4BA-98020AD910EA}"/>
    <cellStyle name="Normal 3 2 3 2 2 7 3" xfId="22480" xr:uid="{60C6D974-90BA-48A9-91AC-C92365E71DB8}"/>
    <cellStyle name="Normal 3 2 3 2 2 7 4" xfId="30920" xr:uid="{C55E15F7-C920-4EF7-BDD6-E21FC54D957B}"/>
    <cellStyle name="Normal 3 2 3 2 2 8" xfId="9127" xr:uid="{0583B12A-AAD6-4358-9C0C-42D6EBC3DFD8}"/>
    <cellStyle name="Normal 3 2 3 2 2 9" xfId="9822" xr:uid="{7F9EDF9C-2E3C-4862-85EE-BC06AE6B8B40}"/>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49943D87-B93F-4ED7-A080-14B1CCC9EE97}"/>
    <cellStyle name="Normal 3 2 3 2 3 2 2 3" xfId="25038" xr:uid="{FA60A884-646B-4BBE-93D1-63040716DAC1}"/>
    <cellStyle name="Normal 3 2 3 2 3 2 2 4" xfId="33478" xr:uid="{5DBAE5C4-CCD8-4C7A-86DF-59237661CC43}"/>
    <cellStyle name="Normal 3 2 3 2 3 2 3" xfId="12380" xr:uid="{F2994921-4562-4977-8862-426C23088C88}"/>
    <cellStyle name="Normal 3 2 3 2 3 2 4" xfId="20821" xr:uid="{4DBE947B-36E5-419D-ABE2-C301EAA71CE6}"/>
    <cellStyle name="Normal 3 2 3 2 3 2 5" xfId="29261" xr:uid="{61CF2B27-E653-4395-A068-7436A079D6E1}"/>
    <cellStyle name="Normal 3 2 3 2 3 3" xfId="5126" xr:uid="{00000000-0005-0000-0000-000097110000}"/>
    <cellStyle name="Normal 3 2 3 2 3 3 2" xfId="14452" xr:uid="{6E6F109B-8078-4D00-B5A6-EAFA532ADCAA}"/>
    <cellStyle name="Normal 3 2 3 2 3 3 3" xfId="22893" xr:uid="{DEF9DAAC-99B9-45C4-A0FE-0F61D3C15E2B}"/>
    <cellStyle name="Normal 3 2 3 2 3 3 4" xfId="31333" xr:uid="{C1DE84F9-F56A-4E0B-A38C-5543E13DC425}"/>
    <cellStyle name="Normal 3 2 3 2 3 4" xfId="9345" xr:uid="{C34A3811-3C7F-4E99-A17A-CCF74A426C86}"/>
    <cellStyle name="Normal 3 2 3 2 3 5" xfId="10235" xr:uid="{C0389E59-3D2F-48DC-83AA-7B56A9678F29}"/>
    <cellStyle name="Normal 3 2 3 2 3 6" xfId="18676" xr:uid="{6A5FC85C-E99C-4D74-B0E5-511974FE1278}"/>
    <cellStyle name="Normal 3 2 3 2 3 7" xfId="27116" xr:uid="{807C5717-A61E-4167-948C-7FF67E7F53BB}"/>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1B9382FD-EDD3-4B4F-96B7-A7F1036CDC91}"/>
    <cellStyle name="Normal 3 2 3 2 4 2 2 3" xfId="25451" xr:uid="{1DC5A2DB-EE79-450D-A8DB-D42B200A86D7}"/>
    <cellStyle name="Normal 3 2 3 2 4 2 2 4" xfId="33891" xr:uid="{15251F46-294D-45CD-9D38-2946CA215F87}"/>
    <cellStyle name="Normal 3 2 3 2 4 2 3" xfId="12793" xr:uid="{6A30CF84-FCB1-4308-A925-66D4A72CD381}"/>
    <cellStyle name="Normal 3 2 3 2 4 2 4" xfId="21234" xr:uid="{8B333696-A9DE-4739-9ECC-5573A8C6D473}"/>
    <cellStyle name="Normal 3 2 3 2 4 2 5" xfId="29674" xr:uid="{9A95B635-D916-407B-A369-E333F86DBDCE}"/>
    <cellStyle name="Normal 3 2 3 2 4 3" xfId="5539" xr:uid="{00000000-0005-0000-0000-00009B110000}"/>
    <cellStyle name="Normal 3 2 3 2 4 3 2" xfId="14865" xr:uid="{82A31EFD-A66B-4B63-A957-14AF2D4E94F8}"/>
    <cellStyle name="Normal 3 2 3 2 4 3 3" xfId="23306" xr:uid="{B935BCA1-B7AA-4DBA-A3DC-8EE98AA2449D}"/>
    <cellStyle name="Normal 3 2 3 2 4 3 4" xfId="31746" xr:uid="{59B199B7-EC3E-4AAD-B74D-E9FC9692E085}"/>
    <cellStyle name="Normal 3 2 3 2 4 4" xfId="10648" xr:uid="{E4C44E5D-9D36-43BE-9A32-2FB2C404F3F1}"/>
    <cellStyle name="Normal 3 2 3 2 4 5" xfId="19089" xr:uid="{CE04A4E7-71CE-4E5D-90F7-4E00644D3BF6}"/>
    <cellStyle name="Normal 3 2 3 2 4 6" xfId="27529" xr:uid="{C229010F-ADBE-4B95-B8BD-819821A1629C}"/>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FD04DDA8-8DFF-48FF-B074-A43F241F892B}"/>
    <cellStyle name="Normal 3 2 3 2 5 2 2 3" xfId="25864" xr:uid="{CF2889A1-4514-4AEA-8BD2-F545E3A26260}"/>
    <cellStyle name="Normal 3 2 3 2 5 2 2 4" xfId="34304" xr:uid="{E98DA2D5-327F-4BC5-9355-4A0714308BBC}"/>
    <cellStyle name="Normal 3 2 3 2 5 2 3" xfId="13206" xr:uid="{933236D5-4436-4F79-9741-6A89AFDBEFC9}"/>
    <cellStyle name="Normal 3 2 3 2 5 2 4" xfId="21647" xr:uid="{739C3B6B-0A2F-4277-9977-AD6F93AA8909}"/>
    <cellStyle name="Normal 3 2 3 2 5 2 5" xfId="30087" xr:uid="{E4C38F99-9A22-4A6B-B222-C470A00663B9}"/>
    <cellStyle name="Normal 3 2 3 2 5 3" xfId="5952" xr:uid="{00000000-0005-0000-0000-00009F110000}"/>
    <cellStyle name="Normal 3 2 3 2 5 3 2" xfId="15278" xr:uid="{794B573B-7411-4F79-97D7-F129DE52402C}"/>
    <cellStyle name="Normal 3 2 3 2 5 3 3" xfId="23719" xr:uid="{F441DA99-0942-48FD-822E-7552C8FF22AC}"/>
    <cellStyle name="Normal 3 2 3 2 5 3 4" xfId="32159" xr:uid="{3B0AC4A4-94C7-4FEC-8DFC-6598182097E5}"/>
    <cellStyle name="Normal 3 2 3 2 5 4" xfId="11061" xr:uid="{1A7D2888-09CC-4223-81E7-50C75F81FCE5}"/>
    <cellStyle name="Normal 3 2 3 2 5 5" xfId="19502" xr:uid="{BF43DA01-A108-4B33-A40C-4543031E39D5}"/>
    <cellStyle name="Normal 3 2 3 2 5 6" xfId="27942" xr:uid="{4CA0FDA2-774F-4396-97E2-F37DA27B62D8}"/>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01ECCDBA-9BC7-4690-90F7-24B8D6A9EF9E}"/>
    <cellStyle name="Normal 3 2 3 2 6 2 2 3" xfId="26277" xr:uid="{B3EF3D7D-4F46-4CAD-A62F-91CD1A511EC5}"/>
    <cellStyle name="Normal 3 2 3 2 6 2 2 4" xfId="34717" xr:uid="{1C5E6FBC-7842-4B32-B9BC-0045F8FCD833}"/>
    <cellStyle name="Normal 3 2 3 2 6 2 3" xfId="13619" xr:uid="{AA19AD38-59F9-4048-A609-DC382381BCDB}"/>
    <cellStyle name="Normal 3 2 3 2 6 2 4" xfId="22060" xr:uid="{9991C062-5D5D-49EB-9163-28C154A97247}"/>
    <cellStyle name="Normal 3 2 3 2 6 2 5" xfId="30500" xr:uid="{BBD45C0F-9E3D-42C0-9C37-60F7412D7269}"/>
    <cellStyle name="Normal 3 2 3 2 6 3" xfId="6365" xr:uid="{00000000-0005-0000-0000-0000A3110000}"/>
    <cellStyle name="Normal 3 2 3 2 6 3 2" xfId="15691" xr:uid="{4CBF5856-BC6C-494A-9C84-69DA27D36044}"/>
    <cellStyle name="Normal 3 2 3 2 6 3 3" xfId="24132" xr:uid="{170E6D12-BFB1-4CA3-BF92-B18BBFD0E098}"/>
    <cellStyle name="Normal 3 2 3 2 6 3 4" xfId="32572" xr:uid="{699FCBF6-AFA7-48D1-B8A2-1FB99F70DB13}"/>
    <cellStyle name="Normal 3 2 3 2 6 4" xfId="11474" xr:uid="{79FDC710-04C1-40F1-BD24-E4827528A37E}"/>
    <cellStyle name="Normal 3 2 3 2 6 5" xfId="19915" xr:uid="{3D5C4B09-7122-46E7-A308-C32F906FD08E}"/>
    <cellStyle name="Normal 3 2 3 2 6 6" xfId="28355" xr:uid="{E8853F54-7891-44B6-BA42-8AA52CA280E1}"/>
    <cellStyle name="Normal 3 2 3 2 7" xfId="2495" xr:uid="{00000000-0005-0000-0000-0000A4110000}"/>
    <cellStyle name="Normal 3 2 3 2 7 2" xfId="6778" xr:uid="{00000000-0005-0000-0000-0000A5110000}"/>
    <cellStyle name="Normal 3 2 3 2 7 2 2" xfId="16104" xr:uid="{C62234DA-7EAA-42A4-8B61-662ABC94774C}"/>
    <cellStyle name="Normal 3 2 3 2 7 2 3" xfId="24545" xr:uid="{25CBA228-9BD7-4D71-ADEB-7498D3D09CB4}"/>
    <cellStyle name="Normal 3 2 3 2 7 2 4" xfId="32985" xr:uid="{1720381D-8B35-457D-9B8B-9A13D29E1101}"/>
    <cellStyle name="Normal 3 2 3 2 7 3" xfId="11887" xr:uid="{6E1AA348-652C-45E3-9035-B271A6E23033}"/>
    <cellStyle name="Normal 3 2 3 2 7 4" xfId="20328" xr:uid="{039CFBAC-A395-4866-B689-9575A227E3C9}"/>
    <cellStyle name="Normal 3 2 3 2 7 5" xfId="28768" xr:uid="{BFA084CE-3309-418B-ACE9-B4E57DAA0F23}"/>
    <cellStyle name="Normal 3 2 3 2 8" xfId="4712" xr:uid="{00000000-0005-0000-0000-0000A6110000}"/>
    <cellStyle name="Normal 3 2 3 2 8 2" xfId="14038" xr:uid="{4242823A-76FA-46D9-B74D-9F3735F83C53}"/>
    <cellStyle name="Normal 3 2 3 2 8 3" xfId="22479" xr:uid="{2EC8AA9D-7083-4B83-88C1-F39E3862CFB0}"/>
    <cellStyle name="Normal 3 2 3 2 8 4" xfId="30919" xr:uid="{94D15F91-19F1-4B70-8CB4-D557B72CEA39}"/>
    <cellStyle name="Normal 3 2 3 2 9" xfId="8920" xr:uid="{D9E0825A-068A-435C-BDBE-2C0571A11FAF}"/>
    <cellStyle name="Normal 3 2 3 3" xfId="329" xr:uid="{00000000-0005-0000-0000-0000A7110000}"/>
    <cellStyle name="Normal 3 2 3 3 10" xfId="18264" xr:uid="{C2C471CC-0E7D-4FA6-829B-5BEE2E1C1DED}"/>
    <cellStyle name="Normal 3 2 3 3 11" xfId="26704" xr:uid="{CF6CBC97-A343-45CB-B650-B3A5ABFB1EFF}"/>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16E49811-BF38-4DD7-8C6B-0412E054E5A4}"/>
    <cellStyle name="Normal 3 2 3 3 2 2 2 3" xfId="25040" xr:uid="{97795853-5A4E-42CC-9D03-0976947D99F3}"/>
    <cellStyle name="Normal 3 2 3 3 2 2 2 4" xfId="33480" xr:uid="{BBD98A2C-47DC-405F-8167-C38B48483D3E}"/>
    <cellStyle name="Normal 3 2 3 3 2 2 3" xfId="12382" xr:uid="{F196A33E-CE95-4B7D-87EB-A29BA8F61417}"/>
    <cellStyle name="Normal 3 2 3 3 2 2 4" xfId="20823" xr:uid="{3FAB68D3-9195-44AE-A225-72E28834F5FC}"/>
    <cellStyle name="Normal 3 2 3 3 2 2 5" xfId="29263" xr:uid="{077EF3B1-7062-4A0C-B723-C841DCE665BA}"/>
    <cellStyle name="Normal 3 2 3 3 2 3" xfId="5128" xr:uid="{00000000-0005-0000-0000-0000AB110000}"/>
    <cellStyle name="Normal 3 2 3 3 2 3 2" xfId="14454" xr:uid="{E0621475-F291-4D87-A358-B2B4C111AEA1}"/>
    <cellStyle name="Normal 3 2 3 3 2 3 3" xfId="22895" xr:uid="{2E07B548-0B1E-4963-B52C-17B2E919B3CC}"/>
    <cellStyle name="Normal 3 2 3 3 2 3 4" xfId="31335" xr:uid="{0112A8AE-D5B5-43D1-908E-2F9DF4653078}"/>
    <cellStyle name="Normal 3 2 3 3 2 4" xfId="9449" xr:uid="{7F58A2DC-DF16-44D1-8D09-04DD41EF4468}"/>
    <cellStyle name="Normal 3 2 3 3 2 5" xfId="10237" xr:uid="{B28E9B2E-4E33-4E18-9DD2-8DC5ECB54DDA}"/>
    <cellStyle name="Normal 3 2 3 3 2 6" xfId="18678" xr:uid="{817CE108-28B3-4DD0-BE49-37338F8A09E3}"/>
    <cellStyle name="Normal 3 2 3 3 2 7" xfId="27118" xr:uid="{B99A5421-83F8-4327-B431-6FC58CE33195}"/>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24528814-883F-4CAF-9417-3C3F06265707}"/>
    <cellStyle name="Normal 3 2 3 3 3 2 2 3" xfId="25453" xr:uid="{3A4885C9-674E-4DA3-8CB3-18183594E0C4}"/>
    <cellStyle name="Normal 3 2 3 3 3 2 2 4" xfId="33893" xr:uid="{414414F1-96F4-48DF-BBB2-2CB8F3B798A8}"/>
    <cellStyle name="Normal 3 2 3 3 3 2 3" xfId="12795" xr:uid="{E49CF7D6-F523-49F0-8DE1-643DF424044F}"/>
    <cellStyle name="Normal 3 2 3 3 3 2 4" xfId="21236" xr:uid="{DE5C354B-503B-48A2-85B5-C33943BBB179}"/>
    <cellStyle name="Normal 3 2 3 3 3 2 5" xfId="29676" xr:uid="{2144A8F7-6967-4EB3-A882-FD4AC8DC512A}"/>
    <cellStyle name="Normal 3 2 3 3 3 3" xfId="5541" xr:uid="{00000000-0005-0000-0000-0000AF110000}"/>
    <cellStyle name="Normal 3 2 3 3 3 3 2" xfId="14867" xr:uid="{69FB990D-CE48-4AD8-B41C-CADB3BDF53D3}"/>
    <cellStyle name="Normal 3 2 3 3 3 3 3" xfId="23308" xr:uid="{28C88D99-5FD7-43E5-8D1C-847F6746C81E}"/>
    <cellStyle name="Normal 3 2 3 3 3 3 4" xfId="31748" xr:uid="{0B3D81FC-3A31-483B-9795-FDF61F50415C}"/>
    <cellStyle name="Normal 3 2 3 3 3 4" xfId="10650" xr:uid="{20784EF1-792A-4841-AF6B-8F8051EC147F}"/>
    <cellStyle name="Normal 3 2 3 3 3 5" xfId="19091" xr:uid="{D270FEC6-3DE6-48D9-9142-138C7FAE54E0}"/>
    <cellStyle name="Normal 3 2 3 3 3 6" xfId="27531" xr:uid="{4437F5E8-F204-4DA2-BDC0-5526E381DAB4}"/>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6FCD8ED4-F85D-479D-9033-3DB278843967}"/>
    <cellStyle name="Normal 3 2 3 3 4 2 2 3" xfId="25866" xr:uid="{FB9A5E08-9A22-43F3-A7D4-A45B2F8E113A}"/>
    <cellStyle name="Normal 3 2 3 3 4 2 2 4" xfId="34306" xr:uid="{80A48FF6-4AC7-4B72-B885-FF22360A5EF5}"/>
    <cellStyle name="Normal 3 2 3 3 4 2 3" xfId="13208" xr:uid="{CACB0CAE-843E-4A5F-B972-C282283FAFC2}"/>
    <cellStyle name="Normal 3 2 3 3 4 2 4" xfId="21649" xr:uid="{26078BF3-A20F-4EDF-AE7B-083310FDA9FC}"/>
    <cellStyle name="Normal 3 2 3 3 4 2 5" xfId="30089" xr:uid="{44B7EC59-28E6-490A-9A11-A500D5915975}"/>
    <cellStyle name="Normal 3 2 3 3 4 3" xfId="5954" xr:uid="{00000000-0005-0000-0000-0000B3110000}"/>
    <cellStyle name="Normal 3 2 3 3 4 3 2" xfId="15280" xr:uid="{4B8E35D6-F4FD-46F5-AEF6-9A3F35877A00}"/>
    <cellStyle name="Normal 3 2 3 3 4 3 3" xfId="23721" xr:uid="{32907652-4A0E-4B47-A674-FA0572D1C068}"/>
    <cellStyle name="Normal 3 2 3 3 4 3 4" xfId="32161" xr:uid="{F1B1E2DA-37BB-4F34-9DA5-642BBED2887C}"/>
    <cellStyle name="Normal 3 2 3 3 4 4" xfId="11063" xr:uid="{1594E2B0-C1D9-4F8B-A841-EF51DD3D35E7}"/>
    <cellStyle name="Normal 3 2 3 3 4 5" xfId="19504" xr:uid="{49327FD5-2C44-4A0F-8562-510CA620A000}"/>
    <cellStyle name="Normal 3 2 3 3 4 6" xfId="27944" xr:uid="{722B4BEB-D078-4A20-8F41-4B80E79DD2A2}"/>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8A1868B2-9F18-488E-9E58-B4147B7DD524}"/>
    <cellStyle name="Normal 3 2 3 3 5 2 2 3" xfId="26279" xr:uid="{7202E183-5C4B-419A-9CF1-EC8D2F3DF17D}"/>
    <cellStyle name="Normal 3 2 3 3 5 2 2 4" xfId="34719" xr:uid="{0412F2C5-60BE-4D99-A008-0D7FA4E37BD0}"/>
    <cellStyle name="Normal 3 2 3 3 5 2 3" xfId="13621" xr:uid="{040E785C-1D0E-41CE-95E0-8FD6ADB3ACE5}"/>
    <cellStyle name="Normal 3 2 3 3 5 2 4" xfId="22062" xr:uid="{85445F40-204A-492B-82E8-C0F910E51D39}"/>
    <cellStyle name="Normal 3 2 3 3 5 2 5" xfId="30502" xr:uid="{3CBEFA0C-4DE4-44D8-95C5-907CD45E09B4}"/>
    <cellStyle name="Normal 3 2 3 3 5 3" xfId="6367" xr:uid="{00000000-0005-0000-0000-0000B7110000}"/>
    <cellStyle name="Normal 3 2 3 3 5 3 2" xfId="15693" xr:uid="{88C3CAEA-F952-458A-970B-9A776EECD38D}"/>
    <cellStyle name="Normal 3 2 3 3 5 3 3" xfId="24134" xr:uid="{F9CE51B2-794B-4874-886D-BABA31941D1F}"/>
    <cellStyle name="Normal 3 2 3 3 5 3 4" xfId="32574" xr:uid="{1709E1D0-A5A2-42D9-8CF8-A8ED898280C4}"/>
    <cellStyle name="Normal 3 2 3 3 5 4" xfId="11476" xr:uid="{30F1FBA7-7990-4A27-8F09-4E0231ADB925}"/>
    <cellStyle name="Normal 3 2 3 3 5 5" xfId="19917" xr:uid="{7445D656-268A-492B-83FD-1DBBD5BCC58B}"/>
    <cellStyle name="Normal 3 2 3 3 5 6" xfId="28357" xr:uid="{491FA048-24D3-42A6-86ED-A9C071A52415}"/>
    <cellStyle name="Normal 3 2 3 3 6" xfId="2497" xr:uid="{00000000-0005-0000-0000-0000B8110000}"/>
    <cellStyle name="Normal 3 2 3 3 6 2" xfId="6780" xr:uid="{00000000-0005-0000-0000-0000B9110000}"/>
    <cellStyle name="Normal 3 2 3 3 6 2 2" xfId="16106" xr:uid="{6B30255E-8492-4B5E-B3D8-682B35872F63}"/>
    <cellStyle name="Normal 3 2 3 3 6 2 3" xfId="24547" xr:uid="{7735A6A5-A37D-4C4D-8B9F-C35095869723}"/>
    <cellStyle name="Normal 3 2 3 3 6 2 4" xfId="32987" xr:uid="{BCCD7DFB-912A-4F58-866C-8E8A470B1EE7}"/>
    <cellStyle name="Normal 3 2 3 3 6 3" xfId="11889" xr:uid="{2B87093E-FD2E-462F-B8BD-D50BDD1D03E1}"/>
    <cellStyle name="Normal 3 2 3 3 6 4" xfId="20330" xr:uid="{D646D0D2-97CB-41F2-A076-AD6C2DD1BC5E}"/>
    <cellStyle name="Normal 3 2 3 3 6 5" xfId="28770" xr:uid="{87E64C14-9F3F-4142-A0B7-696AFCEF94F4}"/>
    <cellStyle name="Normal 3 2 3 3 7" xfId="4714" xr:uid="{00000000-0005-0000-0000-0000BA110000}"/>
    <cellStyle name="Normal 3 2 3 3 7 2" xfId="14040" xr:uid="{7674E1ED-A134-4C5E-A6B0-9899A7CF04E4}"/>
    <cellStyle name="Normal 3 2 3 3 7 3" xfId="22481" xr:uid="{3818E659-C641-4E16-B43B-A4FB5B24271F}"/>
    <cellStyle name="Normal 3 2 3 3 7 4" xfId="30921" xr:uid="{E9B733CF-B4B6-4822-A4FC-33899BC3B295}"/>
    <cellStyle name="Normal 3 2 3 3 8" xfId="9024" xr:uid="{AE2F680F-18A3-47B5-ADCF-6BEAD71D50CE}"/>
    <cellStyle name="Normal 3 2 3 3 9" xfId="9823" xr:uid="{8327167A-CF93-4A98-904E-30034A7A7AF6}"/>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41BC622F-96A9-4FB3-928D-90343C72DCDA}"/>
    <cellStyle name="Normal 3 2 3 4 2 2 3" xfId="25037" xr:uid="{90F49C6B-1E83-4B9F-94C5-D0CE1F16D84C}"/>
    <cellStyle name="Normal 3 2 3 4 2 2 4" xfId="33477" xr:uid="{884B869D-1C13-4952-999C-7F8A4CDE1D51}"/>
    <cellStyle name="Normal 3 2 3 4 2 3" xfId="12379" xr:uid="{1DEC68A0-7480-4696-9AAB-EDB2EBA0DCA6}"/>
    <cellStyle name="Normal 3 2 3 4 2 4" xfId="20820" xr:uid="{2CEFFF2B-A1DB-4001-B3BA-6DAB893DA7CA}"/>
    <cellStyle name="Normal 3 2 3 4 2 5" xfId="29260" xr:uid="{44DB7416-5DC7-4DCF-A63E-0C3FDDE89694}"/>
    <cellStyle name="Normal 3 2 3 4 3" xfId="5125" xr:uid="{00000000-0005-0000-0000-0000BE110000}"/>
    <cellStyle name="Normal 3 2 3 4 3 2" xfId="14451" xr:uid="{7DC32E44-46DF-439A-B7C2-0438CE0C4D89}"/>
    <cellStyle name="Normal 3 2 3 4 3 3" xfId="22892" xr:uid="{B4C22E9F-147F-48AE-AECA-4A5BEDFB5167}"/>
    <cellStyle name="Normal 3 2 3 4 3 4" xfId="31332" xr:uid="{660502D0-5B5E-4BE4-8D39-A3483C9DA2FE}"/>
    <cellStyle name="Normal 3 2 3 4 4" xfId="9242" xr:uid="{05AEEDFF-7EEB-40DB-B13D-145C971A771B}"/>
    <cellStyle name="Normal 3 2 3 4 5" xfId="10234" xr:uid="{44C07174-2FB6-4B55-AE86-0DBB382ECCBF}"/>
    <cellStyle name="Normal 3 2 3 4 6" xfId="18675" xr:uid="{A10A57F3-B592-48C2-AFD0-052DC1EF202A}"/>
    <cellStyle name="Normal 3 2 3 4 7" xfId="27115" xr:uid="{B9FBE2AF-151E-4DAC-A35B-27B9A2DE3854}"/>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D0E71C55-F279-4A72-9A05-9EC69A75CCA3}"/>
    <cellStyle name="Normal 3 2 3 5 2 2 3" xfId="25450" xr:uid="{7EB94565-08D8-4390-AFAF-40BAE4996656}"/>
    <cellStyle name="Normal 3 2 3 5 2 2 4" xfId="33890" xr:uid="{CFE8DF21-20E6-4253-B7E7-5557D2452770}"/>
    <cellStyle name="Normal 3 2 3 5 2 3" xfId="12792" xr:uid="{214880BF-6A17-4C94-ABCB-52E3F58A354F}"/>
    <cellStyle name="Normal 3 2 3 5 2 4" xfId="21233" xr:uid="{09DAF620-2C97-4221-833C-7F57B165ECAF}"/>
    <cellStyle name="Normal 3 2 3 5 2 5" xfId="29673" xr:uid="{CE1970EB-1911-4BC0-95C5-100D750975AD}"/>
    <cellStyle name="Normal 3 2 3 5 3" xfId="5538" xr:uid="{00000000-0005-0000-0000-0000C2110000}"/>
    <cellStyle name="Normal 3 2 3 5 3 2" xfId="14864" xr:uid="{26A23604-69F9-4494-84DA-07952B9B639F}"/>
    <cellStyle name="Normal 3 2 3 5 3 3" xfId="23305" xr:uid="{819A57AE-3D20-4E67-ABB2-DDD6F3298447}"/>
    <cellStyle name="Normal 3 2 3 5 3 4" xfId="31745" xr:uid="{EF6172C7-488B-4930-933F-9F566C8271F2}"/>
    <cellStyle name="Normal 3 2 3 5 4" xfId="10647" xr:uid="{94CF1853-F8E2-4534-8724-A72D0165A0AA}"/>
    <cellStyle name="Normal 3 2 3 5 5" xfId="19088" xr:uid="{BFDED16A-3EE4-4858-A398-446A603D6967}"/>
    <cellStyle name="Normal 3 2 3 5 6" xfId="27528" xr:uid="{27DD27A8-4363-437A-803C-EF3A8B175945}"/>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E7AE7497-DE5F-4AA4-8F5C-EC2002FB4D9F}"/>
    <cellStyle name="Normal 3 2 3 6 2 2 3" xfId="25863" xr:uid="{83CAC484-61C3-49DF-B63A-BFFECEF190A4}"/>
    <cellStyle name="Normal 3 2 3 6 2 2 4" xfId="34303" xr:uid="{2CF24A01-1B7E-4CB6-9849-97D8E5DA7FD0}"/>
    <cellStyle name="Normal 3 2 3 6 2 3" xfId="13205" xr:uid="{FCC5C280-DAC4-43A7-A371-DBFDA6A2F4BC}"/>
    <cellStyle name="Normal 3 2 3 6 2 4" xfId="21646" xr:uid="{19007F10-4767-4510-9F18-681730C194A6}"/>
    <cellStyle name="Normal 3 2 3 6 2 5" xfId="30086" xr:uid="{C7C34C6A-60F7-49B8-9678-E068B7774767}"/>
    <cellStyle name="Normal 3 2 3 6 3" xfId="5951" xr:uid="{00000000-0005-0000-0000-0000C6110000}"/>
    <cellStyle name="Normal 3 2 3 6 3 2" xfId="15277" xr:uid="{682261C1-7234-406C-BAC2-BA94DDBF26C7}"/>
    <cellStyle name="Normal 3 2 3 6 3 3" xfId="23718" xr:uid="{EA098D35-E4F7-4084-8A05-C7A40C7214C2}"/>
    <cellStyle name="Normal 3 2 3 6 3 4" xfId="32158" xr:uid="{5408BF6B-1792-40F5-BDE4-EAFCCA53E17E}"/>
    <cellStyle name="Normal 3 2 3 6 4" xfId="11060" xr:uid="{3861CDD7-8D07-4D25-A460-2E316A2466C7}"/>
    <cellStyle name="Normal 3 2 3 6 5" xfId="19501" xr:uid="{DB203721-B3FF-4201-AD88-C8EA0E8C5B0E}"/>
    <cellStyle name="Normal 3 2 3 6 6" xfId="27941" xr:uid="{B6E20818-2FF7-4614-A7A9-9B74CE169169}"/>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D1EAEA42-1D60-44FC-85F2-759CF2320CC6}"/>
    <cellStyle name="Normal 3 2 3 7 2 2 3" xfId="26276" xr:uid="{E76B3BAB-FFD5-490B-A956-D6A1CAFEA50F}"/>
    <cellStyle name="Normal 3 2 3 7 2 2 4" xfId="34716" xr:uid="{D21BFD1A-E0CF-4711-BD8E-A97BC2A82074}"/>
    <cellStyle name="Normal 3 2 3 7 2 3" xfId="13618" xr:uid="{4B8B6B89-A3D7-403E-A118-65844FBC67D1}"/>
    <cellStyle name="Normal 3 2 3 7 2 4" xfId="22059" xr:uid="{A926A896-008E-440B-B904-1083EF21B3A9}"/>
    <cellStyle name="Normal 3 2 3 7 2 5" xfId="30499" xr:uid="{BFB01509-4639-40A8-92C3-04C51AD9D168}"/>
    <cellStyle name="Normal 3 2 3 7 3" xfId="6364" xr:uid="{00000000-0005-0000-0000-0000CA110000}"/>
    <cellStyle name="Normal 3 2 3 7 3 2" xfId="15690" xr:uid="{D3001752-BA1F-43EC-BF4F-AF80815B196F}"/>
    <cellStyle name="Normal 3 2 3 7 3 3" xfId="24131" xr:uid="{0612D4B7-23CE-4785-A789-DD8226B3E5FB}"/>
    <cellStyle name="Normal 3 2 3 7 3 4" xfId="32571" xr:uid="{C0C10840-EC8F-4BBA-85DE-BC8387721783}"/>
    <cellStyle name="Normal 3 2 3 7 4" xfId="11473" xr:uid="{35B70C72-869A-458B-AAE5-65A5C772AE45}"/>
    <cellStyle name="Normal 3 2 3 7 5" xfId="19914" xr:uid="{0DD00AE8-5E14-4D49-ADDA-0F88943520E4}"/>
    <cellStyle name="Normal 3 2 3 7 6" xfId="28354" xr:uid="{E83CBA4B-AEA3-40D2-83BE-97C230925951}"/>
    <cellStyle name="Normal 3 2 3 8" xfId="2494" xr:uid="{00000000-0005-0000-0000-0000CB110000}"/>
    <cellStyle name="Normal 3 2 3 8 2" xfId="6777" xr:uid="{00000000-0005-0000-0000-0000CC110000}"/>
    <cellStyle name="Normal 3 2 3 8 2 2" xfId="16103" xr:uid="{594DC2C2-8FDE-4E83-87BC-73E559FC8F36}"/>
    <cellStyle name="Normal 3 2 3 8 2 3" xfId="24544" xr:uid="{7D701C51-F13B-4DAA-8EB0-AD18C80417E0}"/>
    <cellStyle name="Normal 3 2 3 8 2 4" xfId="32984" xr:uid="{6475A12B-339D-4864-A280-74D654C37CAF}"/>
    <cellStyle name="Normal 3 2 3 8 3" xfId="11886" xr:uid="{D9CF1743-C3A9-4D31-BD60-7E2541F706BC}"/>
    <cellStyle name="Normal 3 2 3 8 4" xfId="20327" xr:uid="{71F133BA-F4AB-4262-AB33-50DE9DAE208D}"/>
    <cellStyle name="Normal 3 2 3 8 5" xfId="28767" xr:uid="{7D1EBE9D-DFBC-4DCA-B3A5-879E1177B0FB}"/>
    <cellStyle name="Normal 3 2 3 9" xfId="4711" xr:uid="{00000000-0005-0000-0000-0000CD110000}"/>
    <cellStyle name="Normal 3 2 3 9 2" xfId="14037" xr:uid="{FE007D2A-F05A-455D-82A1-FFDBE03D5DDF}"/>
    <cellStyle name="Normal 3 2 3 9 3" xfId="22478" xr:uid="{BD8D7255-2D57-440B-9538-8070251C3D96}"/>
    <cellStyle name="Normal 3 2 3 9 4" xfId="30918" xr:uid="{CD8B11CB-C21F-46F9-AE67-C826F5801BAC}"/>
    <cellStyle name="Normal 3 2 4" xfId="809" xr:uid="{00000000-0005-0000-0000-0000CE110000}"/>
    <cellStyle name="Normal 3 2 4 2" xfId="3047" xr:uid="{00000000-0005-0000-0000-0000CF110000}"/>
    <cellStyle name="Normal 3 2 4 2 2" xfId="7269" xr:uid="{00000000-0005-0000-0000-0000D0110000}"/>
    <cellStyle name="Normal 3 2 4 2 2 2" xfId="16595" xr:uid="{AF774A42-CEC9-4A18-80E7-82C18A4DAD1F}"/>
    <cellStyle name="Normal 3 2 4 2 2 3" xfId="25036" xr:uid="{CB9AF186-FA1B-44F5-908F-AB46124401BF}"/>
    <cellStyle name="Normal 3 2 4 2 2 4" xfId="33476" xr:uid="{E6DD5159-DA39-4EBF-9484-453075948EC3}"/>
    <cellStyle name="Normal 3 2 4 2 3" xfId="12378" xr:uid="{A3BFA9E2-F0B2-456F-924B-0239F9D5E4E3}"/>
    <cellStyle name="Normal 3 2 4 2 4" xfId="20819" xr:uid="{F72A5726-A1E0-40A6-989B-E76DF4386CE7}"/>
    <cellStyle name="Normal 3 2 4 2 5" xfId="29259" xr:uid="{9FE12D5D-AF9E-4471-8CFC-4E7C8BB18F4D}"/>
    <cellStyle name="Normal 3 2 4 3" xfId="5124" xr:uid="{00000000-0005-0000-0000-0000D1110000}"/>
    <cellStyle name="Normal 3 2 4 3 2" xfId="14450" xr:uid="{B1BDFB37-B633-4160-A03E-BC808644D474}"/>
    <cellStyle name="Normal 3 2 4 3 3" xfId="22891" xr:uid="{C429AE79-4995-4C6B-BF24-D9251F621C61}"/>
    <cellStyle name="Normal 3 2 4 3 4" xfId="31331" xr:uid="{66DEB4C5-A374-428D-93BE-7C1799C424AF}"/>
    <cellStyle name="Normal 3 2 4 4" xfId="9607" xr:uid="{7D769806-7069-4B8D-8CAC-B3B91BBA8D64}"/>
    <cellStyle name="Normal 3 2 4 5" xfId="10233" xr:uid="{243AB685-AA2E-4AD8-849B-B5F27D2B5C11}"/>
    <cellStyle name="Normal 3 2 4 6" xfId="18674" xr:uid="{89ECAD74-7ED8-4A94-9E24-13D9FE039CCF}"/>
    <cellStyle name="Normal 3 2 4 7" xfId="27114" xr:uid="{A86596E1-2B7A-4673-BB15-BA8AD4BB882E}"/>
    <cellStyle name="Normal 3 2 5" xfId="1230" xr:uid="{00000000-0005-0000-0000-0000D2110000}"/>
    <cellStyle name="Normal 3 2 5 2" xfId="3460" xr:uid="{00000000-0005-0000-0000-0000D3110000}"/>
    <cellStyle name="Normal 3 2 5 2 2" xfId="7682" xr:uid="{00000000-0005-0000-0000-0000D4110000}"/>
    <cellStyle name="Normal 3 2 5 2 2 2" xfId="17008" xr:uid="{0E7A971B-19DE-4A4D-BF50-7914CF06AF2E}"/>
    <cellStyle name="Normal 3 2 5 2 2 3" xfId="25449" xr:uid="{EF965D4E-28A0-41A4-9FFA-0C5596490736}"/>
    <cellStyle name="Normal 3 2 5 2 2 4" xfId="33889" xr:uid="{4151E0BF-64E6-45D6-ACF6-6B480D182466}"/>
    <cellStyle name="Normal 3 2 5 2 3" xfId="12791" xr:uid="{2878C50F-FBED-45D9-A803-BD6CE336E47C}"/>
    <cellStyle name="Normal 3 2 5 2 4" xfId="21232" xr:uid="{5203748D-5E6D-46BA-A6A8-4C0B3E1E41E5}"/>
    <cellStyle name="Normal 3 2 5 2 5" xfId="29672" xr:uid="{6B1DDC0C-0BCE-4257-B47F-EC25CB1BAEA6}"/>
    <cellStyle name="Normal 3 2 5 3" xfId="5537" xr:uid="{00000000-0005-0000-0000-0000D5110000}"/>
    <cellStyle name="Normal 3 2 5 3 2" xfId="14863" xr:uid="{5C276F67-ABE6-4CC8-8517-DB969A53193E}"/>
    <cellStyle name="Normal 3 2 5 3 3" xfId="23304" xr:uid="{26899CAA-462A-453D-963D-649A10B3D05D}"/>
    <cellStyle name="Normal 3 2 5 3 4" xfId="31744" xr:uid="{B2B6872E-9183-4115-A151-459C609E9F0F}"/>
    <cellStyle name="Normal 3 2 5 4" xfId="10646" xr:uid="{2113A982-6E37-478A-8076-3B61B0E179EE}"/>
    <cellStyle name="Normal 3 2 5 5" xfId="19087" xr:uid="{988FA805-ACF5-4061-8BDC-AC1F2165569A}"/>
    <cellStyle name="Normal 3 2 5 6" xfId="27527" xr:uid="{A090F099-829A-42AE-AB23-7B1AF44AA76E}"/>
    <cellStyle name="Normal 3 2 6" xfId="1643" xr:uid="{00000000-0005-0000-0000-0000D6110000}"/>
    <cellStyle name="Normal 3 2 6 2" xfId="3873" xr:uid="{00000000-0005-0000-0000-0000D7110000}"/>
    <cellStyle name="Normal 3 2 6 2 2" xfId="8095" xr:uid="{00000000-0005-0000-0000-0000D8110000}"/>
    <cellStyle name="Normal 3 2 6 2 2 2" xfId="17421" xr:uid="{3C6E3CEB-D7E1-4E33-AB4E-20F3F7EA0A88}"/>
    <cellStyle name="Normal 3 2 6 2 2 3" xfId="25862" xr:uid="{6F7F8CC8-7AF9-4791-94A4-4B63B70C86DC}"/>
    <cellStyle name="Normal 3 2 6 2 2 4" xfId="34302" xr:uid="{F3A11E54-207A-42E2-A1E7-672290D48D6A}"/>
    <cellStyle name="Normal 3 2 6 2 3" xfId="13204" xr:uid="{AF90C23D-3BFC-48C4-9B0C-D4884AD77834}"/>
    <cellStyle name="Normal 3 2 6 2 4" xfId="21645" xr:uid="{C04DE88D-911D-4EB3-9155-04EE59BF7773}"/>
    <cellStyle name="Normal 3 2 6 2 5" xfId="30085" xr:uid="{AE9FD0B5-981D-4D09-973A-A8DED47F9F59}"/>
    <cellStyle name="Normal 3 2 6 3" xfId="5950" xr:uid="{00000000-0005-0000-0000-0000D9110000}"/>
    <cellStyle name="Normal 3 2 6 3 2" xfId="15276" xr:uid="{AD77922C-A06A-43E7-AB8E-1FA50337C330}"/>
    <cellStyle name="Normal 3 2 6 3 3" xfId="23717" xr:uid="{96B70648-FEB9-4FFD-8EB8-DBAAF5214E82}"/>
    <cellStyle name="Normal 3 2 6 3 4" xfId="32157" xr:uid="{02EAA614-2AB8-442F-9ACA-354B5A08373A}"/>
    <cellStyle name="Normal 3 2 6 4" xfId="11059" xr:uid="{D3DF1157-4CCD-4ECE-B41F-C84E6DA9EAB0}"/>
    <cellStyle name="Normal 3 2 6 5" xfId="19500" xr:uid="{A22D57AE-9733-41FE-8FD4-CE54D526E324}"/>
    <cellStyle name="Normal 3 2 6 6" xfId="27940" xr:uid="{CD868AC7-2C3A-4D6F-99A0-C005AA119323}"/>
    <cellStyle name="Normal 3 2 7" xfId="2057" xr:uid="{00000000-0005-0000-0000-0000DA110000}"/>
    <cellStyle name="Normal 3 2 7 2" xfId="4286" xr:uid="{00000000-0005-0000-0000-0000DB110000}"/>
    <cellStyle name="Normal 3 2 7 2 2" xfId="8508" xr:uid="{00000000-0005-0000-0000-0000DC110000}"/>
    <cellStyle name="Normal 3 2 7 2 2 2" xfId="17834" xr:uid="{4EA0F5A4-1B4C-4B2C-B599-DB80224532DA}"/>
    <cellStyle name="Normal 3 2 7 2 2 3" xfId="26275" xr:uid="{B0DD5A11-96D2-4536-A1FA-E54051B62A70}"/>
    <cellStyle name="Normal 3 2 7 2 2 4" xfId="34715" xr:uid="{50695886-F0D9-46CB-BB75-4CB2F6A7A97E}"/>
    <cellStyle name="Normal 3 2 7 2 3" xfId="13617" xr:uid="{285255FD-C7DA-478B-8222-DD15424DB7D1}"/>
    <cellStyle name="Normal 3 2 7 2 4" xfId="22058" xr:uid="{1516385E-8EA6-40C3-93F3-C4F09665F858}"/>
    <cellStyle name="Normal 3 2 7 2 5" xfId="30498" xr:uid="{281EE12E-0803-4B2A-A5DD-F450B8D620AA}"/>
    <cellStyle name="Normal 3 2 7 3" xfId="6363" xr:uid="{00000000-0005-0000-0000-0000DD110000}"/>
    <cellStyle name="Normal 3 2 7 3 2" xfId="15689" xr:uid="{C13A35B7-F6D6-49D5-A0EB-F58071FA9528}"/>
    <cellStyle name="Normal 3 2 7 3 3" xfId="24130" xr:uid="{89319112-4935-44B8-B6BB-FC41167B625F}"/>
    <cellStyle name="Normal 3 2 7 3 4" xfId="32570" xr:uid="{8D2011E1-AFA9-4E32-837F-B5017F4D8E96}"/>
    <cellStyle name="Normal 3 2 7 4" xfId="11472" xr:uid="{7A86B800-7486-4C56-BE39-D1A3BBC28990}"/>
    <cellStyle name="Normal 3 2 7 5" xfId="19913" xr:uid="{0CA35803-5075-41DF-9807-F61B8A805C8C}"/>
    <cellStyle name="Normal 3 2 7 6" xfId="28353" xr:uid="{DAFFB6F9-3FE6-4767-9A43-0806020C578B}"/>
    <cellStyle name="Normal 3 2 8" xfId="2493" xr:uid="{00000000-0005-0000-0000-0000DE110000}"/>
    <cellStyle name="Normal 3 2 8 2" xfId="6776" xr:uid="{00000000-0005-0000-0000-0000DF110000}"/>
    <cellStyle name="Normal 3 2 8 2 2" xfId="16102" xr:uid="{5E57C325-E95C-44FC-9075-9888BF0240F4}"/>
    <cellStyle name="Normal 3 2 8 2 3" xfId="24543" xr:uid="{9126C8A0-6E9C-4FE9-8FEE-8617B3AF2BDA}"/>
    <cellStyle name="Normal 3 2 8 2 4" xfId="32983" xr:uid="{0ACD2DEB-5C69-4960-8031-1EB88B4ECF0E}"/>
    <cellStyle name="Normal 3 2 8 3" xfId="11885" xr:uid="{CD82A5EA-9CA9-44B8-A6B4-053C52FF919B}"/>
    <cellStyle name="Normal 3 2 8 4" xfId="20326" xr:uid="{6BA98BCE-526E-4B97-8405-51F824D52AFE}"/>
    <cellStyle name="Normal 3 2 8 5" xfId="28766" xr:uid="{374C3376-B82A-4D36-BBD9-4E47928E6710}"/>
    <cellStyle name="Normal 3 2 9" xfId="4710" xr:uid="{00000000-0005-0000-0000-0000E0110000}"/>
    <cellStyle name="Normal 3 2 9 2" xfId="14036" xr:uid="{70D59265-144C-4297-A07D-3B0A6DAD1CC1}"/>
    <cellStyle name="Normal 3 2 9 3" xfId="22477" xr:uid="{E20B2BB3-EE17-4065-B8CC-54C18F020249}"/>
    <cellStyle name="Normal 3 2 9 4" xfId="30917" xr:uid="{06E147D2-6D54-4B36-9ACF-89727B18A1BA}"/>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1" xfId="9824" xr:uid="{63748747-602A-4BCC-A20D-6A7CE8069975}"/>
    <cellStyle name="Normal 4 12" xfId="18265" xr:uid="{AF130575-AA69-4B15-ABCF-643900A0555C}"/>
    <cellStyle name="Normal 4 13" xfId="26705" xr:uid="{1C63E50D-A9F5-42D0-AE73-932514D048B9}"/>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C4584517-8199-4845-9BAE-DC8709D37F90}"/>
    <cellStyle name="Normal 4 2 2 10 2 2 3" xfId="26280" xr:uid="{B0B1CF1F-D2F5-4415-820D-30E3156D1170}"/>
    <cellStyle name="Normal 4 2 2 10 2 2 4" xfId="34720" xr:uid="{6DDACBB4-FFFC-44FA-B521-7D67C635949A}"/>
    <cellStyle name="Normal 4 2 2 10 2 3" xfId="13622" xr:uid="{15FCC77B-D97E-4D4F-97C4-B75CEFE98209}"/>
    <cellStyle name="Normal 4 2 2 10 2 4" xfId="22063" xr:uid="{3BFF009A-D99A-4322-AC33-80E0647AFB28}"/>
    <cellStyle name="Normal 4 2 2 10 2 5" xfId="30503" xr:uid="{783B370C-1DC8-43CE-9C2A-3FC6DE972B3F}"/>
    <cellStyle name="Normal 4 2 2 10 3" xfId="6368" xr:uid="{00000000-0005-0000-0000-0000ED110000}"/>
    <cellStyle name="Normal 4 2 2 10 3 2" xfId="15694" xr:uid="{E06CF0FD-EEB6-495E-809C-412B66BFC7B4}"/>
    <cellStyle name="Normal 4 2 2 10 3 3" xfId="24135" xr:uid="{9100D580-9386-434B-91A0-847688B4E535}"/>
    <cellStyle name="Normal 4 2 2 10 3 4" xfId="32575" xr:uid="{050AF3DF-45ED-46EC-9591-83866ABC867B}"/>
    <cellStyle name="Normal 4 2 2 10 4" xfId="11477" xr:uid="{8F6219CA-D3D1-423C-9BD4-9CA9238C0C6A}"/>
    <cellStyle name="Normal 4 2 2 10 5" xfId="19918" xr:uid="{241FCD43-9DC9-4773-8ADD-FD08285CCA2E}"/>
    <cellStyle name="Normal 4 2 2 10 6" xfId="28358" xr:uid="{33830E43-7379-4652-BF2F-B23C3E4F9DE7}"/>
    <cellStyle name="Normal 4 2 2 11" xfId="2498" xr:uid="{00000000-0005-0000-0000-0000EE110000}"/>
    <cellStyle name="Normal 4 2 2 11 2" xfId="6781" xr:uid="{00000000-0005-0000-0000-0000EF110000}"/>
    <cellStyle name="Normal 4 2 2 11 2 2" xfId="16107" xr:uid="{AD48269C-AAF6-4A20-B878-1BFEF623FFB2}"/>
    <cellStyle name="Normal 4 2 2 11 2 3" xfId="24548" xr:uid="{1ECAC7FE-A0BA-43CD-9146-C46A54D0B81F}"/>
    <cellStyle name="Normal 4 2 2 11 2 4" xfId="32988" xr:uid="{2752A8F5-2668-49E4-ACDC-AE2F5921EE66}"/>
    <cellStyle name="Normal 4 2 2 11 3" xfId="11890" xr:uid="{02EE5552-6956-4F37-BA95-C658945BE716}"/>
    <cellStyle name="Normal 4 2 2 11 4" xfId="20331" xr:uid="{7461EFD9-4467-4B70-8EDC-2166BDCFB527}"/>
    <cellStyle name="Normal 4 2 2 11 5" xfId="28771" xr:uid="{62C8C52B-B12C-43BE-BAA1-8971CABAF889}"/>
    <cellStyle name="Normal 4 2 2 12" xfId="4716" xr:uid="{00000000-0005-0000-0000-0000F0110000}"/>
    <cellStyle name="Normal 4 2 2 12 2" xfId="14042" xr:uid="{F2E39E51-925E-4F13-9BCA-D258A8DFCDC6}"/>
    <cellStyle name="Normal 4 2 2 12 3" xfId="22483" xr:uid="{68287CAC-3D36-4C3C-9938-06ABD918EE10}"/>
    <cellStyle name="Normal 4 2 2 12 4" xfId="30923" xr:uid="{F01C6655-7020-4997-B5E9-CA757786956C}"/>
    <cellStyle name="Normal 4 2 2 13" xfId="8752" xr:uid="{7B61EFAC-4165-4615-9A47-7AF5DAE027C9}"/>
    <cellStyle name="Normal 4 2 2 14" xfId="9825" xr:uid="{271AC8E6-751A-4FF1-9E6B-189717D8ED5B}"/>
    <cellStyle name="Normal 4 2 2 15" xfId="18266" xr:uid="{7389F9E5-3FAC-498F-9635-4CA4FC74E3E5}"/>
    <cellStyle name="Normal 4 2 2 16" xfId="26706" xr:uid="{591BEC07-CDD3-4011-AF44-D5B0A4C3E6EC}"/>
    <cellStyle name="Normal 4 2 2 2" xfId="338" xr:uid="{00000000-0005-0000-0000-0000F1110000}"/>
    <cellStyle name="Normal 4 2 2 3" xfId="339" xr:uid="{00000000-0005-0000-0000-0000F2110000}"/>
    <cellStyle name="Normal 4 2 2 3 10" xfId="4717" xr:uid="{00000000-0005-0000-0000-0000F3110000}"/>
    <cellStyle name="Normal 4 2 2 3 10 2" xfId="14043" xr:uid="{FDE397D6-9F1C-47E2-BDC1-70EF0DA25F65}"/>
    <cellStyle name="Normal 4 2 2 3 10 3" xfId="22484" xr:uid="{67ECDEB2-765B-4699-A49D-F5711C0D6B88}"/>
    <cellStyle name="Normal 4 2 2 3 10 4" xfId="30924" xr:uid="{AC8421F5-8CFB-4D62-8FDB-8DA43A84138F}"/>
    <cellStyle name="Normal 4 2 2 3 11" xfId="8784" xr:uid="{8AA3A883-811C-4C4A-AFFF-9AAED56BF228}"/>
    <cellStyle name="Normal 4 2 2 3 12" xfId="9826" xr:uid="{93B1F0D1-4CC0-4B56-94A1-EBD4FF987536}"/>
    <cellStyle name="Normal 4 2 2 3 13" xfId="18267" xr:uid="{C8EF2F6A-DF43-4143-9019-6221E390CFA4}"/>
    <cellStyle name="Normal 4 2 2 3 14" xfId="26707" xr:uid="{C6A7FC75-6392-49B2-8D11-378D6883F9EE}"/>
    <cellStyle name="Normal 4 2 2 3 2" xfId="340" xr:uid="{00000000-0005-0000-0000-0000F4110000}"/>
    <cellStyle name="Normal 4 2 2 3 2 10" xfId="8819" xr:uid="{16629302-3759-4242-B07E-BB5D034B10E8}"/>
    <cellStyle name="Normal 4 2 2 3 2 11" xfId="9827" xr:uid="{55AB99DC-E309-4560-8C1C-3841E1F1DBDA}"/>
    <cellStyle name="Normal 4 2 2 3 2 12" xfId="18268" xr:uid="{88EB65AC-B1C1-462F-B7CA-5B42FD814AB2}"/>
    <cellStyle name="Normal 4 2 2 3 2 13" xfId="26708" xr:uid="{E418DFC6-86B2-4F9F-9C38-23970D67A205}"/>
    <cellStyle name="Normal 4 2 2 3 2 2" xfId="341" xr:uid="{00000000-0005-0000-0000-0000F5110000}"/>
    <cellStyle name="Normal 4 2 2 3 2 2 10" xfId="9828" xr:uid="{C6B35BA1-E8BD-436D-845E-957B21AA380D}"/>
    <cellStyle name="Normal 4 2 2 3 2 2 11" xfId="18269" xr:uid="{E25D3214-5F64-4B4F-B77F-9BD411AB349A}"/>
    <cellStyle name="Normal 4 2 2 3 2 2 12" xfId="26709" xr:uid="{F5037FFD-E4CE-41AB-A38B-7984D3CA2C65}"/>
    <cellStyle name="Normal 4 2 2 3 2 2 2" xfId="342" xr:uid="{00000000-0005-0000-0000-0000F6110000}"/>
    <cellStyle name="Normal 4 2 2 3 2 2 2 10" xfId="18270" xr:uid="{15D0F9D5-16BC-4C3F-8D37-89BD9B31D6AB}"/>
    <cellStyle name="Normal 4 2 2 3 2 2 2 11" xfId="26710" xr:uid="{36C9B1B1-BFE6-4238-87BD-C2EFFF5E7DCD}"/>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4885B90B-3125-4719-A012-0F0B29A74F1D}"/>
    <cellStyle name="Normal 4 2 2 3 2 2 2 2 2 2 3" xfId="25045" xr:uid="{48C85A47-C891-43AA-B860-249A1F9B3F21}"/>
    <cellStyle name="Normal 4 2 2 3 2 2 2 2 2 2 4" xfId="33485" xr:uid="{C36983A4-9140-4415-A759-87EDBC326B2F}"/>
    <cellStyle name="Normal 4 2 2 3 2 2 2 2 2 3" xfId="12387" xr:uid="{B2B601F1-8016-47B5-84B3-BD4BF8E5DA8C}"/>
    <cellStyle name="Normal 4 2 2 3 2 2 2 2 2 4" xfId="20828" xr:uid="{042EA9D3-2699-45EE-A191-9120C25638BD}"/>
    <cellStyle name="Normal 4 2 2 3 2 2 2 2 2 5" xfId="29268" xr:uid="{4B3EB6D9-D321-487F-A2A0-FA7047911627}"/>
    <cellStyle name="Normal 4 2 2 3 2 2 2 2 3" xfId="5133" xr:uid="{00000000-0005-0000-0000-0000FA110000}"/>
    <cellStyle name="Normal 4 2 2 3 2 2 2 2 3 2" xfId="14459" xr:uid="{41A38BAA-69F5-4AFE-9FB8-A25FC5BE5610}"/>
    <cellStyle name="Normal 4 2 2 3 2 2 2 2 3 3" xfId="22900" xr:uid="{52DE461F-B1E0-4B18-9D3E-51AF96CEDCD8}"/>
    <cellStyle name="Normal 4 2 2 3 2 2 2 2 3 4" xfId="31340" xr:uid="{1A07D448-9F41-4246-A41C-A100CFCB953A}"/>
    <cellStyle name="Normal 4 2 2 3 2 2 2 2 4" xfId="9554" xr:uid="{BAC669EC-8948-4716-90C3-0688F03300CE}"/>
    <cellStyle name="Normal 4 2 2 3 2 2 2 2 5" xfId="10242" xr:uid="{5B1C2F0B-BE7C-4D35-969F-8C7274F947A7}"/>
    <cellStyle name="Normal 4 2 2 3 2 2 2 2 6" xfId="18683" xr:uid="{E509AACA-EF3D-4DA1-89BF-6862AEE85A31}"/>
    <cellStyle name="Normal 4 2 2 3 2 2 2 2 7" xfId="27123" xr:uid="{FF7E44AF-4A4A-4961-A6E7-FF81D0B19D13}"/>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A026BF9F-E5A9-4AD5-81D7-61F72E56C26D}"/>
    <cellStyle name="Normal 4 2 2 3 2 2 2 3 2 2 3" xfId="25458" xr:uid="{9D3C7ACC-D4BE-47D1-A72D-D462646C004B}"/>
    <cellStyle name="Normal 4 2 2 3 2 2 2 3 2 2 4" xfId="33898" xr:uid="{5195A1B0-FB74-4A0F-AE11-DB8814B1B54B}"/>
    <cellStyle name="Normal 4 2 2 3 2 2 2 3 2 3" xfId="12800" xr:uid="{C39204F7-A2F7-449A-B1FB-91BEE58F362D}"/>
    <cellStyle name="Normal 4 2 2 3 2 2 2 3 2 4" xfId="21241" xr:uid="{26EAD518-07A9-488E-AF1E-9FFEC9397EA7}"/>
    <cellStyle name="Normal 4 2 2 3 2 2 2 3 2 5" xfId="29681" xr:uid="{B4FAAEF9-88FA-4083-B5D2-73F27E121199}"/>
    <cellStyle name="Normal 4 2 2 3 2 2 2 3 3" xfId="5546" xr:uid="{00000000-0005-0000-0000-0000FE110000}"/>
    <cellStyle name="Normal 4 2 2 3 2 2 2 3 3 2" xfId="14872" xr:uid="{A48A0E54-49CE-461D-8BA7-CBC64BA62001}"/>
    <cellStyle name="Normal 4 2 2 3 2 2 2 3 3 3" xfId="23313" xr:uid="{C2DD7347-050A-4217-B714-75EAE375BA64}"/>
    <cellStyle name="Normal 4 2 2 3 2 2 2 3 3 4" xfId="31753" xr:uid="{D87B7CF9-6959-4CB1-A8FE-99EE06104776}"/>
    <cellStyle name="Normal 4 2 2 3 2 2 2 3 4" xfId="10655" xr:uid="{A9D112BF-7D04-49D8-B392-1E00F98236A7}"/>
    <cellStyle name="Normal 4 2 2 3 2 2 2 3 5" xfId="19096" xr:uid="{70B565FB-3A1F-48EF-AF0E-222F6CFF59CA}"/>
    <cellStyle name="Normal 4 2 2 3 2 2 2 3 6" xfId="27536" xr:uid="{3D7757B1-5E7A-43BF-90CE-FA1D2C286829}"/>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D139D896-6AB7-459E-901B-0FF22B459212}"/>
    <cellStyle name="Normal 4 2 2 3 2 2 2 4 2 2 3" xfId="25871" xr:uid="{5762F733-06E2-4D3A-88A1-200E9065D75B}"/>
    <cellStyle name="Normal 4 2 2 3 2 2 2 4 2 2 4" xfId="34311" xr:uid="{2E69864B-EFA7-4039-B907-ECD8540FF1D8}"/>
    <cellStyle name="Normal 4 2 2 3 2 2 2 4 2 3" xfId="13213" xr:uid="{26C74F1B-36E5-449A-9B00-DA381B879958}"/>
    <cellStyle name="Normal 4 2 2 3 2 2 2 4 2 4" xfId="21654" xr:uid="{0BBA6FA5-7850-48D2-A042-EC3CFB5BE039}"/>
    <cellStyle name="Normal 4 2 2 3 2 2 2 4 2 5" xfId="30094" xr:uid="{98E90B00-96A9-427F-B5EB-C9C6A5F31280}"/>
    <cellStyle name="Normal 4 2 2 3 2 2 2 4 3" xfId="5959" xr:uid="{00000000-0005-0000-0000-000002120000}"/>
    <cellStyle name="Normal 4 2 2 3 2 2 2 4 3 2" xfId="15285" xr:uid="{599740C5-4DC2-4C9C-A306-8A8BD51455FE}"/>
    <cellStyle name="Normal 4 2 2 3 2 2 2 4 3 3" xfId="23726" xr:uid="{29AED563-3A4A-4DF8-BB7F-D91641EBE976}"/>
    <cellStyle name="Normal 4 2 2 3 2 2 2 4 3 4" xfId="32166" xr:uid="{820B0CCF-F642-42A4-8143-58B9BF2A5FD5}"/>
    <cellStyle name="Normal 4 2 2 3 2 2 2 4 4" xfId="11068" xr:uid="{B793BD26-C015-40D4-9C3B-4843D2E58AE4}"/>
    <cellStyle name="Normal 4 2 2 3 2 2 2 4 5" xfId="19509" xr:uid="{B44E6983-4C05-4034-9F49-121CCFC7139C}"/>
    <cellStyle name="Normal 4 2 2 3 2 2 2 4 6" xfId="27949" xr:uid="{F5291ACB-238F-498E-8C84-73EAC936F5BC}"/>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B188D0F6-C734-4B7C-B366-B79EDCD037CF}"/>
    <cellStyle name="Normal 4 2 2 3 2 2 2 5 2 2 3" xfId="26284" xr:uid="{97FF0EF8-5E22-45E9-8D81-D559D39750E9}"/>
    <cellStyle name="Normal 4 2 2 3 2 2 2 5 2 2 4" xfId="34724" xr:uid="{E4E38996-EA0E-4CA0-8E69-98FE539FD849}"/>
    <cellStyle name="Normal 4 2 2 3 2 2 2 5 2 3" xfId="13626" xr:uid="{E309AC9B-FB17-453F-A942-D8C0C1E2100B}"/>
    <cellStyle name="Normal 4 2 2 3 2 2 2 5 2 4" xfId="22067" xr:uid="{3A34AE52-D07B-4403-8146-2951248F7CE9}"/>
    <cellStyle name="Normal 4 2 2 3 2 2 2 5 2 5" xfId="30507" xr:uid="{3745C724-34F4-4385-9740-B64CE36507E6}"/>
    <cellStyle name="Normal 4 2 2 3 2 2 2 5 3" xfId="6372" xr:uid="{00000000-0005-0000-0000-000006120000}"/>
    <cellStyle name="Normal 4 2 2 3 2 2 2 5 3 2" xfId="15698" xr:uid="{273EDB4E-0D64-454D-BDD6-0808CB548A98}"/>
    <cellStyle name="Normal 4 2 2 3 2 2 2 5 3 3" xfId="24139" xr:uid="{3F24C48C-94A8-447A-A336-80679E4A92E7}"/>
    <cellStyle name="Normal 4 2 2 3 2 2 2 5 3 4" xfId="32579" xr:uid="{ED3C87BB-47E2-4FE5-ABA5-3B59BD1A9552}"/>
    <cellStyle name="Normal 4 2 2 3 2 2 2 5 4" xfId="11481" xr:uid="{EBA2A637-B7AB-4334-8B0D-9D57C9ABE1F1}"/>
    <cellStyle name="Normal 4 2 2 3 2 2 2 5 5" xfId="19922" xr:uid="{9CB559F4-2839-40D9-8C11-BAA1B8BA9C63}"/>
    <cellStyle name="Normal 4 2 2 3 2 2 2 5 6" xfId="28362" xr:uid="{D04E0AFA-5BFF-4955-A942-99A2E1169D31}"/>
    <cellStyle name="Normal 4 2 2 3 2 2 2 6" xfId="2502" xr:uid="{00000000-0005-0000-0000-000007120000}"/>
    <cellStyle name="Normal 4 2 2 3 2 2 2 6 2" xfId="6785" xr:uid="{00000000-0005-0000-0000-000008120000}"/>
    <cellStyle name="Normal 4 2 2 3 2 2 2 6 2 2" xfId="16111" xr:uid="{B9D3F5A4-86DF-4F54-AD42-EBFC5F131731}"/>
    <cellStyle name="Normal 4 2 2 3 2 2 2 6 2 3" xfId="24552" xr:uid="{C314EA92-5790-46DF-AFCD-278B515C4882}"/>
    <cellStyle name="Normal 4 2 2 3 2 2 2 6 2 4" xfId="32992" xr:uid="{89FB80B7-E2D8-4C74-AAE0-17949D79C8BD}"/>
    <cellStyle name="Normal 4 2 2 3 2 2 2 6 3" xfId="11894" xr:uid="{20BC0999-A2D6-43C6-9EA6-A6EDF9E5B2F6}"/>
    <cellStyle name="Normal 4 2 2 3 2 2 2 6 4" xfId="20335" xr:uid="{755FEAB4-4C64-4C45-903D-8699EF0842DA}"/>
    <cellStyle name="Normal 4 2 2 3 2 2 2 6 5" xfId="28775" xr:uid="{4B6E07C9-9F43-4122-B44C-A0C6EBE95D13}"/>
    <cellStyle name="Normal 4 2 2 3 2 2 2 7" xfId="4720" xr:uid="{00000000-0005-0000-0000-000009120000}"/>
    <cellStyle name="Normal 4 2 2 3 2 2 2 7 2" xfId="14046" xr:uid="{DD0E856F-8A8A-4A62-B9C0-DE525E871197}"/>
    <cellStyle name="Normal 4 2 2 3 2 2 2 7 3" xfId="22487" xr:uid="{B50FE178-EB88-4993-8F31-307A62F171A9}"/>
    <cellStyle name="Normal 4 2 2 3 2 2 2 7 4" xfId="30927" xr:uid="{B97548C0-5307-47BB-B50C-DB264C0E27B4}"/>
    <cellStyle name="Normal 4 2 2 3 2 2 2 8" xfId="9129" xr:uid="{970F8072-C8D6-4D17-95D6-EBF431EAD262}"/>
    <cellStyle name="Normal 4 2 2 3 2 2 2 9" xfId="9829" xr:uid="{D4701646-DA07-4714-A589-B434D623D646}"/>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D3CFFE68-FEA2-4636-A3E2-10AB02FB87B1}"/>
    <cellStyle name="Normal 4 2 2 3 2 2 3 2 2 3" xfId="25044" xr:uid="{8D3634A2-B660-45A5-88EE-45E89546858F}"/>
    <cellStyle name="Normal 4 2 2 3 2 2 3 2 2 4" xfId="33484" xr:uid="{DB28A7E6-5881-4911-9E42-D8C5B4379CED}"/>
    <cellStyle name="Normal 4 2 2 3 2 2 3 2 3" xfId="12386" xr:uid="{6BFD3919-763A-4D3D-BC5A-B55F9DFD1986}"/>
    <cellStyle name="Normal 4 2 2 3 2 2 3 2 4" xfId="20827" xr:uid="{6DB0CD3C-752A-49CE-A051-50236348271D}"/>
    <cellStyle name="Normal 4 2 2 3 2 2 3 2 5" xfId="29267" xr:uid="{13A9F363-1C01-42DC-9E2A-A5C805448C28}"/>
    <cellStyle name="Normal 4 2 2 3 2 2 3 3" xfId="5132" xr:uid="{00000000-0005-0000-0000-00000D120000}"/>
    <cellStyle name="Normal 4 2 2 3 2 2 3 3 2" xfId="14458" xr:uid="{0F9CFB68-BDE5-43DB-8B2B-7A51D2B5973D}"/>
    <cellStyle name="Normal 4 2 2 3 2 2 3 3 3" xfId="22899" xr:uid="{CA9C15BE-BB71-4ED8-A915-3628A41134EF}"/>
    <cellStyle name="Normal 4 2 2 3 2 2 3 3 4" xfId="31339" xr:uid="{38E601AA-DD9E-4C1B-8E98-DFCF9E78370D}"/>
    <cellStyle name="Normal 4 2 2 3 2 2 3 4" xfId="9347" xr:uid="{8C9012CB-19BB-4242-9F43-373358B13B52}"/>
    <cellStyle name="Normal 4 2 2 3 2 2 3 5" xfId="10241" xr:uid="{B9780A44-EE9A-4E6D-96C1-CCEE5CAB030A}"/>
    <cellStyle name="Normal 4 2 2 3 2 2 3 6" xfId="18682" xr:uid="{32D398F1-C1BD-4B04-BC01-15D56268B3ED}"/>
    <cellStyle name="Normal 4 2 2 3 2 2 3 7" xfId="27122" xr:uid="{A33DB267-8D78-4000-87E6-553B2C87A1B3}"/>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9787878B-4201-4ED9-BD37-4D54D418A83F}"/>
    <cellStyle name="Normal 4 2 2 3 2 2 4 2 2 3" xfId="25457" xr:uid="{BF9A5FDB-C673-4158-8D01-1E7F867ACD2E}"/>
    <cellStyle name="Normal 4 2 2 3 2 2 4 2 2 4" xfId="33897" xr:uid="{AB45BC23-627A-4AAE-8EA3-9E031C2685D0}"/>
    <cellStyle name="Normal 4 2 2 3 2 2 4 2 3" xfId="12799" xr:uid="{319AC95B-DA46-4C50-A390-A6DDD7DA7C18}"/>
    <cellStyle name="Normal 4 2 2 3 2 2 4 2 4" xfId="21240" xr:uid="{924FCE56-9F62-4C53-96A6-2C0FF3101959}"/>
    <cellStyle name="Normal 4 2 2 3 2 2 4 2 5" xfId="29680" xr:uid="{0159F633-047D-402C-9216-E6F4BDE4304F}"/>
    <cellStyle name="Normal 4 2 2 3 2 2 4 3" xfId="5545" xr:uid="{00000000-0005-0000-0000-000011120000}"/>
    <cellStyle name="Normal 4 2 2 3 2 2 4 3 2" xfId="14871" xr:uid="{50B536C8-F7E3-4676-8F1D-9282D26A0E91}"/>
    <cellStyle name="Normal 4 2 2 3 2 2 4 3 3" xfId="23312" xr:uid="{8A7100F9-2A8E-48D2-A454-FA5B92985451}"/>
    <cellStyle name="Normal 4 2 2 3 2 2 4 3 4" xfId="31752" xr:uid="{EA2C59AD-FF1F-4296-B296-7E82D2CE10F3}"/>
    <cellStyle name="Normal 4 2 2 3 2 2 4 4" xfId="10654" xr:uid="{C435D543-4AAA-40D1-980B-83C78576B96A}"/>
    <cellStyle name="Normal 4 2 2 3 2 2 4 5" xfId="19095" xr:uid="{C21DBCA2-1094-4DE4-AE72-6BF6E2976426}"/>
    <cellStyle name="Normal 4 2 2 3 2 2 4 6" xfId="27535" xr:uid="{5E4369A7-1AB9-4B0F-9310-C726B48E93ED}"/>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A95A32BB-5F56-41AE-9D11-B573C9232E9A}"/>
    <cellStyle name="Normal 4 2 2 3 2 2 5 2 2 3" xfId="25870" xr:uid="{818B9E08-9C5E-4302-83BF-0399925F3A3B}"/>
    <cellStyle name="Normal 4 2 2 3 2 2 5 2 2 4" xfId="34310" xr:uid="{C099DB87-E508-4168-A686-481A6332E042}"/>
    <cellStyle name="Normal 4 2 2 3 2 2 5 2 3" xfId="13212" xr:uid="{9A082FD6-C223-4A9A-B21D-22CE7DFDCCFD}"/>
    <cellStyle name="Normal 4 2 2 3 2 2 5 2 4" xfId="21653" xr:uid="{C4F84DEC-40D2-4E7D-B7A1-5ED098E94EAA}"/>
    <cellStyle name="Normal 4 2 2 3 2 2 5 2 5" xfId="30093" xr:uid="{AAEEA051-74E7-4CE8-AE3C-ECB8ED6B71E4}"/>
    <cellStyle name="Normal 4 2 2 3 2 2 5 3" xfId="5958" xr:uid="{00000000-0005-0000-0000-000015120000}"/>
    <cellStyle name="Normal 4 2 2 3 2 2 5 3 2" xfId="15284" xr:uid="{42DA9AA0-059C-41D9-9D4E-3E0871C24667}"/>
    <cellStyle name="Normal 4 2 2 3 2 2 5 3 3" xfId="23725" xr:uid="{AD3ADFB3-A9A7-4714-BAB5-0ABF91D47620}"/>
    <cellStyle name="Normal 4 2 2 3 2 2 5 3 4" xfId="32165" xr:uid="{1689EB54-87F7-4AE3-BECA-8B78775026B4}"/>
    <cellStyle name="Normal 4 2 2 3 2 2 5 4" xfId="11067" xr:uid="{5753585D-4616-46BB-A68B-A6E55028A539}"/>
    <cellStyle name="Normal 4 2 2 3 2 2 5 5" xfId="19508" xr:uid="{CA13A613-74B8-49BC-9DE2-314587810CC3}"/>
    <cellStyle name="Normal 4 2 2 3 2 2 5 6" xfId="27948" xr:uid="{0677AE7D-1264-447A-9846-7E07B73FF194}"/>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72AA8B7D-C802-4A3C-9B9A-0564DC6A93CD}"/>
    <cellStyle name="Normal 4 2 2 3 2 2 6 2 2 3" xfId="26283" xr:uid="{E222C39E-8B5F-4E5E-BB78-98D4C25B281B}"/>
    <cellStyle name="Normal 4 2 2 3 2 2 6 2 2 4" xfId="34723" xr:uid="{9CBDD909-39EC-427F-A50B-C4E452AD2770}"/>
    <cellStyle name="Normal 4 2 2 3 2 2 6 2 3" xfId="13625" xr:uid="{380B552A-A447-4AB6-998B-265CA0450DF4}"/>
    <cellStyle name="Normal 4 2 2 3 2 2 6 2 4" xfId="22066" xr:uid="{06B79905-148E-4B7E-B077-E6E7AA6ED663}"/>
    <cellStyle name="Normal 4 2 2 3 2 2 6 2 5" xfId="30506" xr:uid="{A041D8AE-CB07-47E8-91A2-DBCD0D95F4CB}"/>
    <cellStyle name="Normal 4 2 2 3 2 2 6 3" xfId="6371" xr:uid="{00000000-0005-0000-0000-000019120000}"/>
    <cellStyle name="Normal 4 2 2 3 2 2 6 3 2" xfId="15697" xr:uid="{C7840502-8BBB-4532-9AA0-3DA640592C7F}"/>
    <cellStyle name="Normal 4 2 2 3 2 2 6 3 3" xfId="24138" xr:uid="{DBD0E5D0-2F50-4D07-A4A3-E29148577FA8}"/>
    <cellStyle name="Normal 4 2 2 3 2 2 6 3 4" xfId="32578" xr:uid="{E4EE3AB1-6836-4D5E-A734-84B08C464F2E}"/>
    <cellStyle name="Normal 4 2 2 3 2 2 6 4" xfId="11480" xr:uid="{399DA889-9630-47D8-9235-3C060BB2701E}"/>
    <cellStyle name="Normal 4 2 2 3 2 2 6 5" xfId="19921" xr:uid="{5DA2FFAD-6E7A-4CF8-AAC9-F0CF88485FB0}"/>
    <cellStyle name="Normal 4 2 2 3 2 2 6 6" xfId="28361" xr:uid="{BE036205-0291-406B-9B4F-C7C02A809723}"/>
    <cellStyle name="Normal 4 2 2 3 2 2 7" xfId="2501" xr:uid="{00000000-0005-0000-0000-00001A120000}"/>
    <cellStyle name="Normal 4 2 2 3 2 2 7 2" xfId="6784" xr:uid="{00000000-0005-0000-0000-00001B120000}"/>
    <cellStyle name="Normal 4 2 2 3 2 2 7 2 2" xfId="16110" xr:uid="{4195798C-DDBD-4665-81D1-73632AC6CD10}"/>
    <cellStyle name="Normal 4 2 2 3 2 2 7 2 3" xfId="24551" xr:uid="{D0569882-B27D-4748-B307-E2B6EF33D2DB}"/>
    <cellStyle name="Normal 4 2 2 3 2 2 7 2 4" xfId="32991" xr:uid="{C325B176-74DA-4AA4-9DCA-70F35E7A4B51}"/>
    <cellStyle name="Normal 4 2 2 3 2 2 7 3" xfId="11893" xr:uid="{0B1CBE59-A34E-46D2-AF98-08C0A5E5FA0C}"/>
    <cellStyle name="Normal 4 2 2 3 2 2 7 4" xfId="20334" xr:uid="{1CB940DE-4D65-4DA1-8582-A703CA043D27}"/>
    <cellStyle name="Normal 4 2 2 3 2 2 7 5" xfId="28774" xr:uid="{83C94804-5BFE-4189-A4B8-E9124DC9785D}"/>
    <cellStyle name="Normal 4 2 2 3 2 2 8" xfId="4719" xr:uid="{00000000-0005-0000-0000-00001C120000}"/>
    <cellStyle name="Normal 4 2 2 3 2 2 8 2" xfId="14045" xr:uid="{D7192DBA-6A29-4EBB-B3BC-A4D6DEB9E577}"/>
    <cellStyle name="Normal 4 2 2 3 2 2 8 3" xfId="22486" xr:uid="{D82C3A86-F3F5-404A-A352-D519ECA8106C}"/>
    <cellStyle name="Normal 4 2 2 3 2 2 8 4" xfId="30926" xr:uid="{2EA3A778-1950-416F-9DFD-F23911EA5B06}"/>
    <cellStyle name="Normal 4 2 2 3 2 2 9" xfId="8922" xr:uid="{32C9E21B-8C85-4874-B28C-82BF39BA84E2}"/>
    <cellStyle name="Normal 4 2 2 3 2 3" xfId="343" xr:uid="{00000000-0005-0000-0000-00001D120000}"/>
    <cellStyle name="Normal 4 2 2 3 2 3 10" xfId="18271" xr:uid="{71A5420A-CF43-43C5-8240-1E93B39CFD38}"/>
    <cellStyle name="Normal 4 2 2 3 2 3 11" xfId="26711" xr:uid="{048950CA-1CE3-4780-9CD4-3154D01953B4}"/>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CFC2FD5E-0B22-4ABB-A160-A9B68307FDAD}"/>
    <cellStyle name="Normal 4 2 2 3 2 3 2 2 2 3" xfId="25046" xr:uid="{1F600A45-BE37-48DA-96DD-060F2CDC91BC}"/>
    <cellStyle name="Normal 4 2 2 3 2 3 2 2 2 4" xfId="33486" xr:uid="{84E0F7CF-4F20-4772-9E1B-F91E0115CA18}"/>
    <cellStyle name="Normal 4 2 2 3 2 3 2 2 3" xfId="12388" xr:uid="{4EA94DF2-4780-47D5-A430-E8CFDB1A08EF}"/>
    <cellStyle name="Normal 4 2 2 3 2 3 2 2 4" xfId="20829" xr:uid="{10DD05F0-6095-4AB8-BF31-8001FA067FC0}"/>
    <cellStyle name="Normal 4 2 2 3 2 3 2 2 5" xfId="29269" xr:uid="{AC611AD7-5261-4A1E-8825-C7A596D5EF5F}"/>
    <cellStyle name="Normal 4 2 2 3 2 3 2 3" xfId="5134" xr:uid="{00000000-0005-0000-0000-000021120000}"/>
    <cellStyle name="Normal 4 2 2 3 2 3 2 3 2" xfId="14460" xr:uid="{DE57ED67-C935-42C3-82BE-613188DD4018}"/>
    <cellStyle name="Normal 4 2 2 3 2 3 2 3 3" xfId="22901" xr:uid="{1EE01BC3-D356-4C54-8146-4553F3EFF529}"/>
    <cellStyle name="Normal 4 2 2 3 2 3 2 3 4" xfId="31341" xr:uid="{AD49609A-C01B-4A56-B88A-9B4E44556E28}"/>
    <cellStyle name="Normal 4 2 2 3 2 3 2 4" xfId="9451" xr:uid="{85AA9164-95F1-48F2-907A-54AD445D074F}"/>
    <cellStyle name="Normal 4 2 2 3 2 3 2 5" xfId="10243" xr:uid="{CB74AA48-07B1-4A2A-B9B6-A31C3C7F84B6}"/>
    <cellStyle name="Normal 4 2 2 3 2 3 2 6" xfId="18684" xr:uid="{03CDF7C9-3E76-47D7-85D9-D857F2A67C5A}"/>
    <cellStyle name="Normal 4 2 2 3 2 3 2 7" xfId="27124" xr:uid="{BF9AE360-5DBA-403F-8399-BB61ADC24EA7}"/>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B64BF3BE-A46C-414C-8592-0108E0064AA5}"/>
    <cellStyle name="Normal 4 2 2 3 2 3 3 2 2 3" xfId="25459" xr:uid="{3699CEFC-C97E-4333-B64A-A09DED41E4A9}"/>
    <cellStyle name="Normal 4 2 2 3 2 3 3 2 2 4" xfId="33899" xr:uid="{390B6A5E-B2BF-475D-93E1-34D245B16959}"/>
    <cellStyle name="Normal 4 2 2 3 2 3 3 2 3" xfId="12801" xr:uid="{16E13909-9AD9-4152-9165-6C5EBA23A019}"/>
    <cellStyle name="Normal 4 2 2 3 2 3 3 2 4" xfId="21242" xr:uid="{5EBB5F93-9240-4655-BAA4-DA62D9394C3C}"/>
    <cellStyle name="Normal 4 2 2 3 2 3 3 2 5" xfId="29682" xr:uid="{52EFCBB8-B0B6-4AC2-B0A2-3DA116530C88}"/>
    <cellStyle name="Normal 4 2 2 3 2 3 3 3" xfId="5547" xr:uid="{00000000-0005-0000-0000-000025120000}"/>
    <cellStyle name="Normal 4 2 2 3 2 3 3 3 2" xfId="14873" xr:uid="{FB774043-DF8D-4A4A-B495-3972B9B5D8CD}"/>
    <cellStyle name="Normal 4 2 2 3 2 3 3 3 3" xfId="23314" xr:uid="{D3E3F077-FCFA-4DDF-A1E8-B2932DFDEC0D}"/>
    <cellStyle name="Normal 4 2 2 3 2 3 3 3 4" xfId="31754" xr:uid="{6285BB5C-5E54-4922-AD10-E106638237A6}"/>
    <cellStyle name="Normal 4 2 2 3 2 3 3 4" xfId="10656" xr:uid="{256E84A8-8405-464F-B925-CD52B65B52EA}"/>
    <cellStyle name="Normal 4 2 2 3 2 3 3 5" xfId="19097" xr:uid="{059F2269-230E-42A9-8B1C-A1B48505796F}"/>
    <cellStyle name="Normal 4 2 2 3 2 3 3 6" xfId="27537" xr:uid="{CA17DFEA-959E-4516-A418-B85722C15AA6}"/>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C9CA5EAE-0CE4-41A2-B8ED-2A7D67471664}"/>
    <cellStyle name="Normal 4 2 2 3 2 3 4 2 2 3" xfId="25872" xr:uid="{50D54DCC-7819-49BA-99EF-C12D538CF2E7}"/>
    <cellStyle name="Normal 4 2 2 3 2 3 4 2 2 4" xfId="34312" xr:uid="{AD64179C-1FAA-4B07-B4E9-428728B0A778}"/>
    <cellStyle name="Normal 4 2 2 3 2 3 4 2 3" xfId="13214" xr:uid="{08451AEE-8E0A-44A6-9A00-1AF445C2D94C}"/>
    <cellStyle name="Normal 4 2 2 3 2 3 4 2 4" xfId="21655" xr:uid="{59515E93-C510-4232-A248-2B00F836291A}"/>
    <cellStyle name="Normal 4 2 2 3 2 3 4 2 5" xfId="30095" xr:uid="{C47EFF50-B732-4CE6-AAF4-82AE913005B9}"/>
    <cellStyle name="Normal 4 2 2 3 2 3 4 3" xfId="5960" xr:uid="{00000000-0005-0000-0000-000029120000}"/>
    <cellStyle name="Normal 4 2 2 3 2 3 4 3 2" xfId="15286" xr:uid="{0F759146-E68F-43C4-9883-FB600FC4594B}"/>
    <cellStyle name="Normal 4 2 2 3 2 3 4 3 3" xfId="23727" xr:uid="{7D6B30DC-5490-4237-816B-675917F28E50}"/>
    <cellStyle name="Normal 4 2 2 3 2 3 4 3 4" xfId="32167" xr:uid="{B2F8EA03-BAEC-43B9-950E-236DE4B32847}"/>
    <cellStyle name="Normal 4 2 2 3 2 3 4 4" xfId="11069" xr:uid="{9A4DD843-6D92-49F5-8728-B2BBA19E9BF6}"/>
    <cellStyle name="Normal 4 2 2 3 2 3 4 5" xfId="19510" xr:uid="{F91F1B35-62B6-4ED5-B007-D7AC666C5C37}"/>
    <cellStyle name="Normal 4 2 2 3 2 3 4 6" xfId="27950" xr:uid="{4D2AB6AE-61F2-493D-AC82-4D2390680A21}"/>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F0CE2B3E-5C1D-408B-A210-FA752ED57F4E}"/>
    <cellStyle name="Normal 4 2 2 3 2 3 5 2 2 3" xfId="26285" xr:uid="{D1057DEC-43B5-47A2-B2EB-1181866193EC}"/>
    <cellStyle name="Normal 4 2 2 3 2 3 5 2 2 4" xfId="34725" xr:uid="{6DF3E213-C14C-498F-BB54-22830CE7AF3A}"/>
    <cellStyle name="Normal 4 2 2 3 2 3 5 2 3" xfId="13627" xr:uid="{C0DC962D-467F-4229-A71C-C8A23415199E}"/>
    <cellStyle name="Normal 4 2 2 3 2 3 5 2 4" xfId="22068" xr:uid="{F44189A7-CD35-443F-9334-448430FCB66F}"/>
    <cellStyle name="Normal 4 2 2 3 2 3 5 2 5" xfId="30508" xr:uid="{F68D4A74-3024-430A-B9D9-B7313EDF5A21}"/>
    <cellStyle name="Normal 4 2 2 3 2 3 5 3" xfId="6373" xr:uid="{00000000-0005-0000-0000-00002D120000}"/>
    <cellStyle name="Normal 4 2 2 3 2 3 5 3 2" xfId="15699" xr:uid="{D3895D9C-9EED-4C2A-BA35-76F86C7F2A3E}"/>
    <cellStyle name="Normal 4 2 2 3 2 3 5 3 3" xfId="24140" xr:uid="{DB4EFB50-CB1C-4A33-A8DE-8A3DB8902A72}"/>
    <cellStyle name="Normal 4 2 2 3 2 3 5 3 4" xfId="32580" xr:uid="{7CC101FE-9888-42EB-BDCE-999AB01F0688}"/>
    <cellStyle name="Normal 4 2 2 3 2 3 5 4" xfId="11482" xr:uid="{F1A134C1-74B0-4AAC-AC7C-2674AFC5E2C9}"/>
    <cellStyle name="Normal 4 2 2 3 2 3 5 5" xfId="19923" xr:uid="{09DD6EDF-801A-41DC-84E5-B2D3366B73C7}"/>
    <cellStyle name="Normal 4 2 2 3 2 3 5 6" xfId="28363" xr:uid="{D38FFC1A-3A44-473C-8CD0-2450B6C2C173}"/>
    <cellStyle name="Normal 4 2 2 3 2 3 6" xfId="2503" xr:uid="{00000000-0005-0000-0000-00002E120000}"/>
    <cellStyle name="Normal 4 2 2 3 2 3 6 2" xfId="6786" xr:uid="{00000000-0005-0000-0000-00002F120000}"/>
    <cellStyle name="Normal 4 2 2 3 2 3 6 2 2" xfId="16112" xr:uid="{C3E98BA2-FA85-4DA2-96CF-B1173E4A1E23}"/>
    <cellStyle name="Normal 4 2 2 3 2 3 6 2 3" xfId="24553" xr:uid="{D47FF7D5-266F-45C0-8A55-D9896B712FAF}"/>
    <cellStyle name="Normal 4 2 2 3 2 3 6 2 4" xfId="32993" xr:uid="{28B38E32-BC96-4B41-A836-621D2108D77A}"/>
    <cellStyle name="Normal 4 2 2 3 2 3 6 3" xfId="11895" xr:uid="{AF60C2FF-D1DD-40F4-8E95-75D8C240079B}"/>
    <cellStyle name="Normal 4 2 2 3 2 3 6 4" xfId="20336" xr:uid="{FE30B7FC-4396-44BE-B674-4E0F96046F5D}"/>
    <cellStyle name="Normal 4 2 2 3 2 3 6 5" xfId="28776" xr:uid="{05F453DE-B60B-41F8-8B90-FEC96B433F67}"/>
    <cellStyle name="Normal 4 2 2 3 2 3 7" xfId="4721" xr:uid="{00000000-0005-0000-0000-000030120000}"/>
    <cellStyle name="Normal 4 2 2 3 2 3 7 2" xfId="14047" xr:uid="{9EAFDFA1-E168-449E-9B2E-683BEA840098}"/>
    <cellStyle name="Normal 4 2 2 3 2 3 7 3" xfId="22488" xr:uid="{49CE908E-29F0-4D72-9846-3FA61A8DAB97}"/>
    <cellStyle name="Normal 4 2 2 3 2 3 7 4" xfId="30928" xr:uid="{457265CE-032F-497C-9E94-3C3AADB7D426}"/>
    <cellStyle name="Normal 4 2 2 3 2 3 8" xfId="9026" xr:uid="{319D63D3-F71C-4F99-9FD1-E3D0665567E8}"/>
    <cellStyle name="Normal 4 2 2 3 2 3 9" xfId="9830" xr:uid="{4AFCA6A0-9924-443C-A4A5-DC6F636DEE99}"/>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A79F3E42-824C-48D1-8496-79066FAE18BD}"/>
    <cellStyle name="Normal 4 2 2 3 2 4 2 2 3" xfId="25043" xr:uid="{728F0293-5E8F-4CF7-B91B-ECA2984B680A}"/>
    <cellStyle name="Normal 4 2 2 3 2 4 2 2 4" xfId="33483" xr:uid="{85A8F8F7-7AC1-4969-A46F-BAE48C6ECD94}"/>
    <cellStyle name="Normal 4 2 2 3 2 4 2 3" xfId="12385" xr:uid="{001611C9-A96C-448F-913F-A5FFE2339622}"/>
    <cellStyle name="Normal 4 2 2 3 2 4 2 4" xfId="20826" xr:uid="{131D1EDA-6C8A-4A1A-A23B-3A64BB7E3C40}"/>
    <cellStyle name="Normal 4 2 2 3 2 4 2 5" xfId="29266" xr:uid="{D568775A-D00B-46B3-A288-6D3661B70C7B}"/>
    <cellStyle name="Normal 4 2 2 3 2 4 3" xfId="5131" xr:uid="{00000000-0005-0000-0000-000034120000}"/>
    <cellStyle name="Normal 4 2 2 3 2 4 3 2" xfId="14457" xr:uid="{E823CC92-46B4-4027-A4EB-FBE46A2B113F}"/>
    <cellStyle name="Normal 4 2 2 3 2 4 3 3" xfId="22898" xr:uid="{64D6C9BB-125E-41D3-BD84-8CF048093019}"/>
    <cellStyle name="Normal 4 2 2 3 2 4 3 4" xfId="31338" xr:uid="{B6F10FA8-44E9-4D78-91E7-FF528E52BD72}"/>
    <cellStyle name="Normal 4 2 2 3 2 4 4" xfId="9244" xr:uid="{98623F27-324A-40DE-AA2B-56E1FCE087EE}"/>
    <cellStyle name="Normal 4 2 2 3 2 4 5" xfId="10240" xr:uid="{1F516823-E186-42A0-B721-D1BD4E771E3D}"/>
    <cellStyle name="Normal 4 2 2 3 2 4 6" xfId="18681" xr:uid="{B3B67FD1-8E7E-4346-A0FC-74A50FF3FCE5}"/>
    <cellStyle name="Normal 4 2 2 3 2 4 7" xfId="27121" xr:uid="{DD9EFA6D-34F1-4E9D-8DFD-A85000379883}"/>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DAD2A0C1-2C17-4C47-9D6F-11B5F2118A20}"/>
    <cellStyle name="Normal 4 2 2 3 2 5 2 2 3" xfId="25456" xr:uid="{C851D92A-D1D3-49C7-96B0-E6B91BDEF520}"/>
    <cellStyle name="Normal 4 2 2 3 2 5 2 2 4" xfId="33896" xr:uid="{B2D30581-4106-4569-95E7-89BB1035E7F9}"/>
    <cellStyle name="Normal 4 2 2 3 2 5 2 3" xfId="12798" xr:uid="{72BFE3EE-2E88-4782-B31B-BADC86D901B1}"/>
    <cellStyle name="Normal 4 2 2 3 2 5 2 4" xfId="21239" xr:uid="{71D5F948-47EF-485E-80B6-3BFA554440CF}"/>
    <cellStyle name="Normal 4 2 2 3 2 5 2 5" xfId="29679" xr:uid="{82CB48A8-F00F-408C-A803-69D0670F5BB5}"/>
    <cellStyle name="Normal 4 2 2 3 2 5 3" xfId="5544" xr:uid="{00000000-0005-0000-0000-000038120000}"/>
    <cellStyle name="Normal 4 2 2 3 2 5 3 2" xfId="14870" xr:uid="{B8191438-3301-4CC2-984C-7184B0BF6E71}"/>
    <cellStyle name="Normal 4 2 2 3 2 5 3 3" xfId="23311" xr:uid="{FD00E8B5-34ED-4C5B-837A-5038B714ED56}"/>
    <cellStyle name="Normal 4 2 2 3 2 5 3 4" xfId="31751" xr:uid="{DC20C729-8643-4947-82CA-124D0B83EC8C}"/>
    <cellStyle name="Normal 4 2 2 3 2 5 4" xfId="10653" xr:uid="{66E31FEF-6C74-4A8E-9F3A-60DC42372233}"/>
    <cellStyle name="Normal 4 2 2 3 2 5 5" xfId="19094" xr:uid="{4714D83A-05A6-41F9-8ED4-B838BE5B3302}"/>
    <cellStyle name="Normal 4 2 2 3 2 5 6" xfId="27534" xr:uid="{1B7687D2-75D4-4415-8111-D77ECD7E5739}"/>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265AB20A-1D20-41A0-AB55-663D56CC276A}"/>
    <cellStyle name="Normal 4 2 2 3 2 6 2 2 3" xfId="25869" xr:uid="{B0E1E0EE-A4EC-419C-801E-2749A991A64A}"/>
    <cellStyle name="Normal 4 2 2 3 2 6 2 2 4" xfId="34309" xr:uid="{BA0BFDBE-D2BF-4EE2-98E9-5DCA87126988}"/>
    <cellStyle name="Normal 4 2 2 3 2 6 2 3" xfId="13211" xr:uid="{782BFBDE-A045-4920-B547-774091ED6B5F}"/>
    <cellStyle name="Normal 4 2 2 3 2 6 2 4" xfId="21652" xr:uid="{37A87581-95FD-47DF-B9E6-A2063FA36808}"/>
    <cellStyle name="Normal 4 2 2 3 2 6 2 5" xfId="30092" xr:uid="{7F4D61AA-1529-4303-8F34-85F00CC40975}"/>
    <cellStyle name="Normal 4 2 2 3 2 6 3" xfId="5957" xr:uid="{00000000-0005-0000-0000-00003C120000}"/>
    <cellStyle name="Normal 4 2 2 3 2 6 3 2" xfId="15283" xr:uid="{96E86631-AEBC-4949-83E2-0DAB3E289CB0}"/>
    <cellStyle name="Normal 4 2 2 3 2 6 3 3" xfId="23724" xr:uid="{D4E2DDF6-F7AF-4027-9587-41F8C91F9C06}"/>
    <cellStyle name="Normal 4 2 2 3 2 6 3 4" xfId="32164" xr:uid="{88C38E87-08A2-4FC7-BBA2-C7A60DED4B49}"/>
    <cellStyle name="Normal 4 2 2 3 2 6 4" xfId="11066" xr:uid="{28BEAD67-CF9D-4523-AEE2-7562B86C7824}"/>
    <cellStyle name="Normal 4 2 2 3 2 6 5" xfId="19507" xr:uid="{B1369B55-5515-4645-AD5C-EF6B742691D4}"/>
    <cellStyle name="Normal 4 2 2 3 2 6 6" xfId="27947" xr:uid="{CFF551D4-95E7-404E-9800-0DDF33010D91}"/>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99868C82-1C90-441E-A5CD-DF4556ECD63D}"/>
    <cellStyle name="Normal 4 2 2 3 2 7 2 2 3" xfId="26282" xr:uid="{5D813092-54A9-4E4F-A8BF-3CE333F05AD0}"/>
    <cellStyle name="Normal 4 2 2 3 2 7 2 2 4" xfId="34722" xr:uid="{159CD29C-9639-441F-B18F-31E3F6594F44}"/>
    <cellStyle name="Normal 4 2 2 3 2 7 2 3" xfId="13624" xr:uid="{E4A78F43-D9B3-4865-AE75-7034775E07A9}"/>
    <cellStyle name="Normal 4 2 2 3 2 7 2 4" xfId="22065" xr:uid="{0CE08CEC-DC83-452B-8576-A1DA38A03DB9}"/>
    <cellStyle name="Normal 4 2 2 3 2 7 2 5" xfId="30505" xr:uid="{C36033FA-4CC9-47A4-80F8-F59BEE1857DA}"/>
    <cellStyle name="Normal 4 2 2 3 2 7 3" xfId="6370" xr:uid="{00000000-0005-0000-0000-000040120000}"/>
    <cellStyle name="Normal 4 2 2 3 2 7 3 2" xfId="15696" xr:uid="{DA0EC7E1-351F-4B64-A3E4-B0F62EB1BD83}"/>
    <cellStyle name="Normal 4 2 2 3 2 7 3 3" xfId="24137" xr:uid="{DCF9F1DE-7E24-4BDA-8FC4-AF5A0E2CE5D8}"/>
    <cellStyle name="Normal 4 2 2 3 2 7 3 4" xfId="32577" xr:uid="{531B0C6A-F5D1-4F3A-BBCA-92CE5B72CD86}"/>
    <cellStyle name="Normal 4 2 2 3 2 7 4" xfId="11479" xr:uid="{D3738CF8-FD11-4193-9DE1-9D03524A37C9}"/>
    <cellStyle name="Normal 4 2 2 3 2 7 5" xfId="19920" xr:uid="{17CC367A-6CB3-41EF-868B-99E1B645E97D}"/>
    <cellStyle name="Normal 4 2 2 3 2 7 6" xfId="28360" xr:uid="{922A14FB-CDEE-4EE7-816C-B03F35FB9F5D}"/>
    <cellStyle name="Normal 4 2 2 3 2 8" xfId="2500" xr:uid="{00000000-0005-0000-0000-000041120000}"/>
    <cellStyle name="Normal 4 2 2 3 2 8 2" xfId="6783" xr:uid="{00000000-0005-0000-0000-000042120000}"/>
    <cellStyle name="Normal 4 2 2 3 2 8 2 2" xfId="16109" xr:uid="{351C4290-8D0A-4A2E-B44D-A8A0DBBFE21C}"/>
    <cellStyle name="Normal 4 2 2 3 2 8 2 3" xfId="24550" xr:uid="{0F202D31-8951-440E-9790-E6E31A47CF26}"/>
    <cellStyle name="Normal 4 2 2 3 2 8 2 4" xfId="32990" xr:uid="{ADC6B818-BA13-4519-B34C-0C96922F737A}"/>
    <cellStyle name="Normal 4 2 2 3 2 8 3" xfId="11892" xr:uid="{6601AEB9-C25F-489E-A86B-BB3E04A89396}"/>
    <cellStyle name="Normal 4 2 2 3 2 8 4" xfId="20333" xr:uid="{D5D9FE3A-B375-47D9-82D4-CC9D6C528388}"/>
    <cellStyle name="Normal 4 2 2 3 2 8 5" xfId="28773" xr:uid="{B0F46646-58DF-4E48-B500-959E293DF150}"/>
    <cellStyle name="Normal 4 2 2 3 2 9" xfId="4718" xr:uid="{00000000-0005-0000-0000-000043120000}"/>
    <cellStyle name="Normal 4 2 2 3 2 9 2" xfId="14044" xr:uid="{7EF50E5C-02FD-4B74-B6BC-AB603F736B99}"/>
    <cellStyle name="Normal 4 2 2 3 2 9 3" xfId="22485" xr:uid="{EA195681-EEF5-4AC2-8038-55C55C91FE70}"/>
    <cellStyle name="Normal 4 2 2 3 2 9 4" xfId="30925" xr:uid="{FB903AD8-96AF-4F34-9F0F-39C7438C48F6}"/>
    <cellStyle name="Normal 4 2 2 3 3" xfId="344" xr:uid="{00000000-0005-0000-0000-000044120000}"/>
    <cellStyle name="Normal 4 2 2 3 3 10" xfId="9831" xr:uid="{9326B2E6-D5F0-468A-934F-D8642DE308C1}"/>
    <cellStyle name="Normal 4 2 2 3 3 11" xfId="18272" xr:uid="{605A12DC-110C-48AD-BE06-BBF9801CF4E3}"/>
    <cellStyle name="Normal 4 2 2 3 3 12" xfId="26712" xr:uid="{A50E164F-F52B-4849-A6A6-B8A542B2CC36}"/>
    <cellStyle name="Normal 4 2 2 3 3 2" xfId="345" xr:uid="{00000000-0005-0000-0000-000045120000}"/>
    <cellStyle name="Normal 4 2 2 3 3 2 10" xfId="18273" xr:uid="{8AA01A25-D361-4019-A982-34B280C79A48}"/>
    <cellStyle name="Normal 4 2 2 3 3 2 11" xfId="26713" xr:uid="{B8D108AE-976F-4206-8382-D6D878F73EA7}"/>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ECF25A1B-862B-46B6-B937-EFA01A9A2C4B}"/>
    <cellStyle name="Normal 4 2 2 3 3 2 2 2 2 3" xfId="25048" xr:uid="{85CD1A07-2537-42EE-8D0B-BD2BF1A5DD46}"/>
    <cellStyle name="Normal 4 2 2 3 3 2 2 2 2 4" xfId="33488" xr:uid="{9005C15C-2AEC-480A-9868-510D9CF038B3}"/>
    <cellStyle name="Normal 4 2 2 3 3 2 2 2 3" xfId="12390" xr:uid="{0BB21A1C-CEB6-4653-B600-975F09708CFA}"/>
    <cellStyle name="Normal 4 2 2 3 3 2 2 2 4" xfId="20831" xr:uid="{C328DD39-BD11-45E4-AA6B-CF27AD943573}"/>
    <cellStyle name="Normal 4 2 2 3 3 2 2 2 5" xfId="29271" xr:uid="{AE4DDED2-AACD-4056-90B6-0A8DC94AC04D}"/>
    <cellStyle name="Normal 4 2 2 3 3 2 2 3" xfId="5136" xr:uid="{00000000-0005-0000-0000-000049120000}"/>
    <cellStyle name="Normal 4 2 2 3 3 2 2 3 2" xfId="14462" xr:uid="{4898CA9B-B9F8-41EE-944B-8ACB0475255E}"/>
    <cellStyle name="Normal 4 2 2 3 3 2 2 3 3" xfId="22903" xr:uid="{08EFA846-D584-4EF9-832B-6EEC229D3DDD}"/>
    <cellStyle name="Normal 4 2 2 3 3 2 2 3 4" xfId="31343" xr:uid="{30E98852-0A9B-48FD-9E87-08087BEBA2AA}"/>
    <cellStyle name="Normal 4 2 2 3 3 2 2 4" xfId="9519" xr:uid="{FB4BBD6E-D73B-4ABD-8656-6C15D7932E02}"/>
    <cellStyle name="Normal 4 2 2 3 3 2 2 5" xfId="10245" xr:uid="{1C7225AB-00B4-4E26-BD54-5EB9C96B9FDA}"/>
    <cellStyle name="Normal 4 2 2 3 3 2 2 6" xfId="18686" xr:uid="{82BD4610-8E7C-4314-B23E-9211A7CDC1F8}"/>
    <cellStyle name="Normal 4 2 2 3 3 2 2 7" xfId="27126" xr:uid="{4B3C22E5-4F0F-4D6E-954E-DD8CC134C1FB}"/>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1D9A01C3-6722-4E51-9ADF-B1A2B6057C03}"/>
    <cellStyle name="Normal 4 2 2 3 3 2 3 2 2 3" xfId="25461" xr:uid="{9D4C8135-BF2F-4806-A2B3-A3D702C9BBDF}"/>
    <cellStyle name="Normal 4 2 2 3 3 2 3 2 2 4" xfId="33901" xr:uid="{D040AE30-9DBB-4DD9-B3F8-B931CB6078BA}"/>
    <cellStyle name="Normal 4 2 2 3 3 2 3 2 3" xfId="12803" xr:uid="{870B7131-11D5-4D9A-B715-4C6F3292C24A}"/>
    <cellStyle name="Normal 4 2 2 3 3 2 3 2 4" xfId="21244" xr:uid="{B78868C8-C5D7-4350-A2D0-4DD7544E3186}"/>
    <cellStyle name="Normal 4 2 2 3 3 2 3 2 5" xfId="29684" xr:uid="{3A1F7541-CA82-4ED0-9922-04EE019C7010}"/>
    <cellStyle name="Normal 4 2 2 3 3 2 3 3" xfId="5549" xr:uid="{00000000-0005-0000-0000-00004D120000}"/>
    <cellStyle name="Normal 4 2 2 3 3 2 3 3 2" xfId="14875" xr:uid="{BEDCA84F-2CDA-4161-9C9F-98B4A68031AD}"/>
    <cellStyle name="Normal 4 2 2 3 3 2 3 3 3" xfId="23316" xr:uid="{F7EE0ABB-98B8-4074-BA24-EC7A595617E9}"/>
    <cellStyle name="Normal 4 2 2 3 3 2 3 3 4" xfId="31756" xr:uid="{D6C06696-131D-4B37-97B3-038E38418A38}"/>
    <cellStyle name="Normal 4 2 2 3 3 2 3 4" xfId="10658" xr:uid="{7514B2E6-91B7-4CB9-B6E9-69DDFEA8BD04}"/>
    <cellStyle name="Normal 4 2 2 3 3 2 3 5" xfId="19099" xr:uid="{D6A7AAF8-376B-4FE9-B513-109214FAE32D}"/>
    <cellStyle name="Normal 4 2 2 3 3 2 3 6" xfId="27539" xr:uid="{E91984F1-DB1D-4E52-91B1-3A236DF6EA18}"/>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82436EBD-EBCB-483F-B6A0-0649A54ECA4E}"/>
    <cellStyle name="Normal 4 2 2 3 3 2 4 2 2 3" xfId="25874" xr:uid="{3A965D18-F39D-4BE2-9A50-9781B04AE84F}"/>
    <cellStyle name="Normal 4 2 2 3 3 2 4 2 2 4" xfId="34314" xr:uid="{6A970A8E-30F4-4BC6-B78D-615716D9B66C}"/>
    <cellStyle name="Normal 4 2 2 3 3 2 4 2 3" xfId="13216" xr:uid="{31F808C5-E181-478F-A2A8-AEA35B21F745}"/>
    <cellStyle name="Normal 4 2 2 3 3 2 4 2 4" xfId="21657" xr:uid="{B4DBE089-AD9E-4082-B489-36D25010FD5E}"/>
    <cellStyle name="Normal 4 2 2 3 3 2 4 2 5" xfId="30097" xr:uid="{747A51AB-49B0-4E38-8D70-6E4673B82FBF}"/>
    <cellStyle name="Normal 4 2 2 3 3 2 4 3" xfId="5962" xr:uid="{00000000-0005-0000-0000-000051120000}"/>
    <cellStyle name="Normal 4 2 2 3 3 2 4 3 2" xfId="15288" xr:uid="{98AC17A5-9C24-411D-9A50-FBD735EAC971}"/>
    <cellStyle name="Normal 4 2 2 3 3 2 4 3 3" xfId="23729" xr:uid="{BCB089C6-93C8-43F6-A969-1C6A6475F420}"/>
    <cellStyle name="Normal 4 2 2 3 3 2 4 3 4" xfId="32169" xr:uid="{319ECE01-B489-4178-90EC-323871CB1DA8}"/>
    <cellStyle name="Normal 4 2 2 3 3 2 4 4" xfId="11071" xr:uid="{989105D7-167E-4A36-9FD4-ABB53ABDFC5D}"/>
    <cellStyle name="Normal 4 2 2 3 3 2 4 5" xfId="19512" xr:uid="{2CAC2B12-FEF1-4208-8E89-695974D8AEC4}"/>
    <cellStyle name="Normal 4 2 2 3 3 2 4 6" xfId="27952" xr:uid="{7A6EDC6A-E8DA-42DF-9DA0-96A82E0F3057}"/>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35004F16-020C-4CB2-A8D4-0B2C2049A299}"/>
    <cellStyle name="Normal 4 2 2 3 3 2 5 2 2 3" xfId="26287" xr:uid="{6AB34729-08BB-4D8D-B299-6BF8706565D4}"/>
    <cellStyle name="Normal 4 2 2 3 3 2 5 2 2 4" xfId="34727" xr:uid="{25C6F1B1-FEF7-4ED2-8AC2-182A0B1104AD}"/>
    <cellStyle name="Normal 4 2 2 3 3 2 5 2 3" xfId="13629" xr:uid="{F8BF35E7-3503-4D01-972A-9F7BA3A81CE2}"/>
    <cellStyle name="Normal 4 2 2 3 3 2 5 2 4" xfId="22070" xr:uid="{F6533ECE-A817-4C2C-BD1D-EA3954AA5320}"/>
    <cellStyle name="Normal 4 2 2 3 3 2 5 2 5" xfId="30510" xr:uid="{530B02C0-29C1-4A1B-8DB0-6E962FB12B12}"/>
    <cellStyle name="Normal 4 2 2 3 3 2 5 3" xfId="6375" xr:uid="{00000000-0005-0000-0000-000055120000}"/>
    <cellStyle name="Normal 4 2 2 3 3 2 5 3 2" xfId="15701" xr:uid="{133901AB-9E8F-4BBC-85F7-F078FB71EA07}"/>
    <cellStyle name="Normal 4 2 2 3 3 2 5 3 3" xfId="24142" xr:uid="{79DC9CCB-D142-4AC6-9EC1-607CE1BC7BB9}"/>
    <cellStyle name="Normal 4 2 2 3 3 2 5 3 4" xfId="32582" xr:uid="{714EABD9-B2E4-40F0-88BE-89907D560D03}"/>
    <cellStyle name="Normal 4 2 2 3 3 2 5 4" xfId="11484" xr:uid="{3EDB49C8-6CCF-4929-BA95-F73C26BAAFDC}"/>
    <cellStyle name="Normal 4 2 2 3 3 2 5 5" xfId="19925" xr:uid="{BAC2FBC7-904A-4B44-AC33-B9B5FD0C1D92}"/>
    <cellStyle name="Normal 4 2 2 3 3 2 5 6" xfId="28365" xr:uid="{89CDFAE3-0ADC-4F29-A921-01613D69772A}"/>
    <cellStyle name="Normal 4 2 2 3 3 2 6" xfId="2505" xr:uid="{00000000-0005-0000-0000-000056120000}"/>
    <cellStyle name="Normal 4 2 2 3 3 2 6 2" xfId="6788" xr:uid="{00000000-0005-0000-0000-000057120000}"/>
    <cellStyle name="Normal 4 2 2 3 3 2 6 2 2" xfId="16114" xr:uid="{E437C516-CB07-4CB7-99C8-6F3123679B74}"/>
    <cellStyle name="Normal 4 2 2 3 3 2 6 2 3" xfId="24555" xr:uid="{B8421478-1616-4CF2-A465-44803E4395B1}"/>
    <cellStyle name="Normal 4 2 2 3 3 2 6 2 4" xfId="32995" xr:uid="{22C1E4D8-432A-4CFA-8548-BD3586A51BA0}"/>
    <cellStyle name="Normal 4 2 2 3 3 2 6 3" xfId="11897" xr:uid="{D698FD62-D41B-4CEE-A734-68709EDD5FCF}"/>
    <cellStyle name="Normal 4 2 2 3 3 2 6 4" xfId="20338" xr:uid="{00749751-B153-42AB-A50F-E95C2136F2C4}"/>
    <cellStyle name="Normal 4 2 2 3 3 2 6 5" xfId="28778" xr:uid="{EAAB6BFE-3BCB-4B47-B19F-D70418005722}"/>
    <cellStyle name="Normal 4 2 2 3 3 2 7" xfId="4723" xr:uid="{00000000-0005-0000-0000-000058120000}"/>
    <cellStyle name="Normal 4 2 2 3 3 2 7 2" xfId="14049" xr:uid="{91E40A3E-5C4D-49FE-AF96-502A7C53EA8E}"/>
    <cellStyle name="Normal 4 2 2 3 3 2 7 3" xfId="22490" xr:uid="{CB480E13-0E7C-484A-8264-AB595E498F16}"/>
    <cellStyle name="Normal 4 2 2 3 3 2 7 4" xfId="30930" xr:uid="{F8B6D992-2D8E-498C-8FC4-2995C65246FE}"/>
    <cellStyle name="Normal 4 2 2 3 3 2 8" xfId="9094" xr:uid="{1333D468-E252-4686-88C1-38A56B910A8E}"/>
    <cellStyle name="Normal 4 2 2 3 3 2 9" xfId="9832" xr:uid="{E6178AC5-3ADF-41D0-B0BF-E413CDB80C66}"/>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FAA1C61E-F48B-4234-A174-D21F5F89A8EE}"/>
    <cellStyle name="Normal 4 2 2 3 3 3 2 2 3" xfId="25047" xr:uid="{0D7915D1-EDDA-4109-A237-F00656748F2A}"/>
    <cellStyle name="Normal 4 2 2 3 3 3 2 2 4" xfId="33487" xr:uid="{D41D5AEB-8490-4F2A-97D3-AC1CE1372C97}"/>
    <cellStyle name="Normal 4 2 2 3 3 3 2 3" xfId="12389" xr:uid="{3AF16CDF-1FD5-44AB-B301-70F99F6214B1}"/>
    <cellStyle name="Normal 4 2 2 3 3 3 2 4" xfId="20830" xr:uid="{3C14CE04-3E94-47E8-ABC3-DFEBF816061B}"/>
    <cellStyle name="Normal 4 2 2 3 3 3 2 5" xfId="29270" xr:uid="{0D0BD714-9887-4F9C-8EB6-C0A341322574}"/>
    <cellStyle name="Normal 4 2 2 3 3 3 3" xfId="5135" xr:uid="{00000000-0005-0000-0000-00005C120000}"/>
    <cellStyle name="Normal 4 2 2 3 3 3 3 2" xfId="14461" xr:uid="{CF1686AD-154F-47D3-837C-9E87C6206865}"/>
    <cellStyle name="Normal 4 2 2 3 3 3 3 3" xfId="22902" xr:uid="{04A55798-3D27-45C7-A2EE-92BECD8870C2}"/>
    <cellStyle name="Normal 4 2 2 3 3 3 3 4" xfId="31342" xr:uid="{6E684D17-DD33-425E-AC92-585AA5BA96BA}"/>
    <cellStyle name="Normal 4 2 2 3 3 3 4" xfId="9312" xr:uid="{0065946C-778C-4913-8F8B-68BBB1A30769}"/>
    <cellStyle name="Normal 4 2 2 3 3 3 5" xfId="10244" xr:uid="{C8AD11C8-4EF9-4F53-87D3-5F3FD1E490A9}"/>
    <cellStyle name="Normal 4 2 2 3 3 3 6" xfId="18685" xr:uid="{4D2B8179-36EE-4E16-98D3-DE1DD30A403F}"/>
    <cellStyle name="Normal 4 2 2 3 3 3 7" xfId="27125" xr:uid="{5D2E781F-ADAA-470F-B78B-B03B5063515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C8406362-4A24-441A-AB65-AA546AE75776}"/>
    <cellStyle name="Normal 4 2 2 3 3 4 2 2 3" xfId="25460" xr:uid="{774433DD-09DE-49C6-85DC-A554FD4D1094}"/>
    <cellStyle name="Normal 4 2 2 3 3 4 2 2 4" xfId="33900" xr:uid="{17431D65-DD6F-4CEB-9BBC-EA60CB949A0F}"/>
    <cellStyle name="Normal 4 2 2 3 3 4 2 3" xfId="12802" xr:uid="{EC5AB066-3B04-4ED4-8401-1516CDB64BDD}"/>
    <cellStyle name="Normal 4 2 2 3 3 4 2 4" xfId="21243" xr:uid="{E1F501BE-EFBE-4EFF-9033-A32583A0DA74}"/>
    <cellStyle name="Normal 4 2 2 3 3 4 2 5" xfId="29683" xr:uid="{4F5E43A8-7692-4A02-89C8-D97A7AA819BB}"/>
    <cellStyle name="Normal 4 2 2 3 3 4 3" xfId="5548" xr:uid="{00000000-0005-0000-0000-000060120000}"/>
    <cellStyle name="Normal 4 2 2 3 3 4 3 2" xfId="14874" xr:uid="{83143BEE-4F1F-4451-B928-B4B5E8919247}"/>
    <cellStyle name="Normal 4 2 2 3 3 4 3 3" xfId="23315" xr:uid="{B2CBFCDE-2004-4CED-A798-261A0967B971}"/>
    <cellStyle name="Normal 4 2 2 3 3 4 3 4" xfId="31755" xr:uid="{3EFEC859-9EF6-4B0A-AE7E-DF68ADDF5505}"/>
    <cellStyle name="Normal 4 2 2 3 3 4 4" xfId="10657" xr:uid="{E996169E-CE5B-4FA0-92AF-F6E9FC4E6F62}"/>
    <cellStyle name="Normal 4 2 2 3 3 4 5" xfId="19098" xr:uid="{CDAEB907-2E1C-4465-9CBE-00DABF5D2E08}"/>
    <cellStyle name="Normal 4 2 2 3 3 4 6" xfId="27538" xr:uid="{8F4A6840-C35A-443F-BF43-E64AA42E1162}"/>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715552B1-6A19-4B71-9CFC-62FA50D98A7E}"/>
    <cellStyle name="Normal 4 2 2 3 3 5 2 2 3" xfId="25873" xr:uid="{17CCC633-5085-4347-8737-088C696645FA}"/>
    <cellStyle name="Normal 4 2 2 3 3 5 2 2 4" xfId="34313" xr:uid="{C4793C7D-4C36-4A88-989E-F64DE8C1DEA0}"/>
    <cellStyle name="Normal 4 2 2 3 3 5 2 3" xfId="13215" xr:uid="{5E882BC1-1566-4B8C-B405-7DE2FFBDD41D}"/>
    <cellStyle name="Normal 4 2 2 3 3 5 2 4" xfId="21656" xr:uid="{0031BBE2-37E6-4C65-901D-C412837F058A}"/>
    <cellStyle name="Normal 4 2 2 3 3 5 2 5" xfId="30096" xr:uid="{C1FB52E9-5C96-4A7C-B152-25D63C0290DD}"/>
    <cellStyle name="Normal 4 2 2 3 3 5 3" xfId="5961" xr:uid="{00000000-0005-0000-0000-000064120000}"/>
    <cellStyle name="Normal 4 2 2 3 3 5 3 2" xfId="15287" xr:uid="{59D5E2E5-34CD-4E48-890D-F8FE1680B6F6}"/>
    <cellStyle name="Normal 4 2 2 3 3 5 3 3" xfId="23728" xr:uid="{2262FDB6-0957-4D50-ABED-CD34250E199A}"/>
    <cellStyle name="Normal 4 2 2 3 3 5 3 4" xfId="32168" xr:uid="{F052CBC7-4B5E-4505-B3EC-1B39C66C3005}"/>
    <cellStyle name="Normal 4 2 2 3 3 5 4" xfId="11070" xr:uid="{66C1DA63-55EE-402E-8497-A75EC15CDC21}"/>
    <cellStyle name="Normal 4 2 2 3 3 5 5" xfId="19511" xr:uid="{19227C5C-6094-47CF-B080-6CE2B085FC08}"/>
    <cellStyle name="Normal 4 2 2 3 3 5 6" xfId="27951" xr:uid="{37A8D10E-FF10-4A48-B1AE-ED0E6443380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26008049-FF82-4D79-831A-6C4D8FD5AB3D}"/>
    <cellStyle name="Normal 4 2 2 3 3 6 2 2 3" xfId="26286" xr:uid="{354C5E5C-473B-4AC2-8BD0-22AD2514CFAB}"/>
    <cellStyle name="Normal 4 2 2 3 3 6 2 2 4" xfId="34726" xr:uid="{9961B995-F782-499E-A431-B3ED8A16D418}"/>
    <cellStyle name="Normal 4 2 2 3 3 6 2 3" xfId="13628" xr:uid="{3771A856-7682-4E8E-9A0A-3A8613946F42}"/>
    <cellStyle name="Normal 4 2 2 3 3 6 2 4" xfId="22069" xr:uid="{DFF60CB2-B4BC-4897-8E17-E75A69ACAECE}"/>
    <cellStyle name="Normal 4 2 2 3 3 6 2 5" xfId="30509" xr:uid="{2DF1C84A-29DC-47F1-A53D-1990AFF41E48}"/>
    <cellStyle name="Normal 4 2 2 3 3 6 3" xfId="6374" xr:uid="{00000000-0005-0000-0000-000068120000}"/>
    <cellStyle name="Normal 4 2 2 3 3 6 3 2" xfId="15700" xr:uid="{787EF7D6-D5FA-4516-A267-81C29EF8DC12}"/>
    <cellStyle name="Normal 4 2 2 3 3 6 3 3" xfId="24141" xr:uid="{FBE4A6D2-E880-4948-BF9A-F371845F7959}"/>
    <cellStyle name="Normal 4 2 2 3 3 6 3 4" xfId="32581" xr:uid="{DB254DAE-AC09-4B24-BF38-FB331423BB9E}"/>
    <cellStyle name="Normal 4 2 2 3 3 6 4" xfId="11483" xr:uid="{BB0C301B-5714-4639-9A74-B915A796D2D2}"/>
    <cellStyle name="Normal 4 2 2 3 3 6 5" xfId="19924" xr:uid="{6F5A8067-82FF-4AD1-9CE5-F75771167E2D}"/>
    <cellStyle name="Normal 4 2 2 3 3 6 6" xfId="28364" xr:uid="{E015BC25-89B5-44AD-8A07-A086A7FCA5B6}"/>
    <cellStyle name="Normal 4 2 2 3 3 7" xfId="2504" xr:uid="{00000000-0005-0000-0000-000069120000}"/>
    <cellStyle name="Normal 4 2 2 3 3 7 2" xfId="6787" xr:uid="{00000000-0005-0000-0000-00006A120000}"/>
    <cellStyle name="Normal 4 2 2 3 3 7 2 2" xfId="16113" xr:uid="{CAEA6C58-FAD8-47E1-8D2C-9136F4690C69}"/>
    <cellStyle name="Normal 4 2 2 3 3 7 2 3" xfId="24554" xr:uid="{6CFFAAEE-A447-4D66-8991-509260E97CE9}"/>
    <cellStyle name="Normal 4 2 2 3 3 7 2 4" xfId="32994" xr:uid="{9DE4AA41-E414-40EC-BB7F-E3C9BB00205E}"/>
    <cellStyle name="Normal 4 2 2 3 3 7 3" xfId="11896" xr:uid="{BAD13F32-B63C-48D4-94B6-CADE8E317F18}"/>
    <cellStyle name="Normal 4 2 2 3 3 7 4" xfId="20337" xr:uid="{B8D52712-1143-4E6A-8A27-E0BB346467BA}"/>
    <cellStyle name="Normal 4 2 2 3 3 7 5" xfId="28777" xr:uid="{1FA0CBEC-9912-498D-B5FA-1005F09EAEA8}"/>
    <cellStyle name="Normal 4 2 2 3 3 8" xfId="4722" xr:uid="{00000000-0005-0000-0000-00006B120000}"/>
    <cellStyle name="Normal 4 2 2 3 3 8 2" xfId="14048" xr:uid="{CF478F3B-2FD2-495D-A50C-EFD4824499B0}"/>
    <cellStyle name="Normal 4 2 2 3 3 8 3" xfId="22489" xr:uid="{D7F5818F-3701-4E4C-B38E-C8AA9EF6F1A5}"/>
    <cellStyle name="Normal 4 2 2 3 3 8 4" xfId="30929" xr:uid="{94A67A8E-CD60-44A8-AF3E-77C5EC92AC3C}"/>
    <cellStyle name="Normal 4 2 2 3 3 9" xfId="8887" xr:uid="{FD79599D-FD4F-44F4-A7A6-B948A2C15DD2}"/>
    <cellStyle name="Normal 4 2 2 3 4" xfId="346" xr:uid="{00000000-0005-0000-0000-00006C120000}"/>
    <cellStyle name="Normal 4 2 2 3 4 10" xfId="18274" xr:uid="{5E4EC79F-5C72-43AA-B5CB-D81FAA59B39B}"/>
    <cellStyle name="Normal 4 2 2 3 4 11" xfId="26714" xr:uid="{ED4A5BBB-F107-445C-9E1B-1704AC0A1EB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F124F824-BE13-4B10-BF2B-79413282F3CF}"/>
    <cellStyle name="Normal 4 2 2 3 4 2 2 2 3" xfId="25049" xr:uid="{83EFCFA3-0C0D-4FAD-B529-E0652BC15C58}"/>
    <cellStyle name="Normal 4 2 2 3 4 2 2 2 4" xfId="33489" xr:uid="{14480DF2-9B83-4B99-830A-11DA9FA82D88}"/>
    <cellStyle name="Normal 4 2 2 3 4 2 2 3" xfId="12391" xr:uid="{E1823DC0-1227-4244-951F-071986E9CB9D}"/>
    <cellStyle name="Normal 4 2 2 3 4 2 2 4" xfId="20832" xr:uid="{4EBAE88D-942B-4318-975C-A1EE27E1FB34}"/>
    <cellStyle name="Normal 4 2 2 3 4 2 2 5" xfId="29272" xr:uid="{232EB3EC-7A59-4BC5-8087-B9FF51F1D198}"/>
    <cellStyle name="Normal 4 2 2 3 4 2 3" xfId="5137" xr:uid="{00000000-0005-0000-0000-000070120000}"/>
    <cellStyle name="Normal 4 2 2 3 4 2 3 2" xfId="14463" xr:uid="{F4CFFB09-80FC-419A-9D01-634C1E2382E6}"/>
    <cellStyle name="Normal 4 2 2 3 4 2 3 3" xfId="22904" xr:uid="{B76FCCE0-B178-4004-945A-54528D8BC0FA}"/>
    <cellStyle name="Normal 4 2 2 3 4 2 3 4" xfId="31344" xr:uid="{35FB7845-137C-41D6-990F-71F37B2CD087}"/>
    <cellStyle name="Normal 4 2 2 3 4 2 4" xfId="9416" xr:uid="{B0F1A5CD-0EDE-48A7-9669-6902681F696C}"/>
    <cellStyle name="Normal 4 2 2 3 4 2 5" xfId="10246" xr:uid="{96B0A277-698F-4841-9427-5AB221FC03C7}"/>
    <cellStyle name="Normal 4 2 2 3 4 2 6" xfId="18687" xr:uid="{9B62F79A-D5E1-447E-A182-FB57A7839593}"/>
    <cellStyle name="Normal 4 2 2 3 4 2 7" xfId="27127" xr:uid="{63B95C95-DE2C-4C91-9C98-71B50EF2B287}"/>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62E8D0EF-CBAB-4EB6-8F62-62DA20671047}"/>
    <cellStyle name="Normal 4 2 2 3 4 3 2 2 3" xfId="25462" xr:uid="{FD074E66-08D9-4F42-A264-9D2B3C8B568B}"/>
    <cellStyle name="Normal 4 2 2 3 4 3 2 2 4" xfId="33902" xr:uid="{84E1C440-CA4E-4443-BC8D-A0819C879FA3}"/>
    <cellStyle name="Normal 4 2 2 3 4 3 2 3" xfId="12804" xr:uid="{7DFE63CC-F8D1-4E8D-8936-0652D14678A4}"/>
    <cellStyle name="Normal 4 2 2 3 4 3 2 4" xfId="21245" xr:uid="{0D7FC71B-4C65-4776-9B96-04812BBDF83A}"/>
    <cellStyle name="Normal 4 2 2 3 4 3 2 5" xfId="29685" xr:uid="{F6144B27-BCD0-4EDE-A7D7-6156FF836701}"/>
    <cellStyle name="Normal 4 2 2 3 4 3 3" xfId="5550" xr:uid="{00000000-0005-0000-0000-000074120000}"/>
    <cellStyle name="Normal 4 2 2 3 4 3 3 2" xfId="14876" xr:uid="{1A86CA0D-7CB8-42D3-A3A9-4FABA0F2615F}"/>
    <cellStyle name="Normal 4 2 2 3 4 3 3 3" xfId="23317" xr:uid="{2AC69EFA-E5FF-4551-B89B-2D0E65A7200F}"/>
    <cellStyle name="Normal 4 2 2 3 4 3 3 4" xfId="31757" xr:uid="{E4DDCFA1-9E0F-497D-B653-6753765D5E30}"/>
    <cellStyle name="Normal 4 2 2 3 4 3 4" xfId="10659" xr:uid="{F9D9DBE9-A2D7-49E4-B39A-0CD9F6B8293D}"/>
    <cellStyle name="Normal 4 2 2 3 4 3 5" xfId="19100" xr:uid="{5B411280-6C0D-4EC5-8F55-210BF25BB6B8}"/>
    <cellStyle name="Normal 4 2 2 3 4 3 6" xfId="27540" xr:uid="{20FF2A11-200D-4280-99D9-ACE8BE403674}"/>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6D625EBC-2F10-4379-B7A2-54FAD2CC67BF}"/>
    <cellStyle name="Normal 4 2 2 3 4 4 2 2 3" xfId="25875" xr:uid="{D41B8F40-8E02-4688-9A63-90FA8474F0BC}"/>
    <cellStyle name="Normal 4 2 2 3 4 4 2 2 4" xfId="34315" xr:uid="{FD535D5C-20E3-4E98-9A17-D5AC82464847}"/>
    <cellStyle name="Normal 4 2 2 3 4 4 2 3" xfId="13217" xr:uid="{C259AF58-BF8A-479C-A34B-24B4D27E77A7}"/>
    <cellStyle name="Normal 4 2 2 3 4 4 2 4" xfId="21658" xr:uid="{D758D0FB-FCB7-4AF3-B27E-FDED51E06514}"/>
    <cellStyle name="Normal 4 2 2 3 4 4 2 5" xfId="30098" xr:uid="{9CFAFC6B-0A99-4ED4-B9E3-37158286496C}"/>
    <cellStyle name="Normal 4 2 2 3 4 4 3" xfId="5963" xr:uid="{00000000-0005-0000-0000-000078120000}"/>
    <cellStyle name="Normal 4 2 2 3 4 4 3 2" xfId="15289" xr:uid="{4CDB9B1F-CE40-4CDF-B40C-AE360DF85AD6}"/>
    <cellStyle name="Normal 4 2 2 3 4 4 3 3" xfId="23730" xr:uid="{5BF0126F-E968-4891-AADC-F0C4AACFA663}"/>
    <cellStyle name="Normal 4 2 2 3 4 4 3 4" xfId="32170" xr:uid="{C91BD275-2FEB-4803-A74C-153993FDE646}"/>
    <cellStyle name="Normal 4 2 2 3 4 4 4" xfId="11072" xr:uid="{FA743821-4360-433C-8A2D-E54195467F4D}"/>
    <cellStyle name="Normal 4 2 2 3 4 4 5" xfId="19513" xr:uid="{46A02FDA-CF5C-4089-9103-0F2FA08ABE6C}"/>
    <cellStyle name="Normal 4 2 2 3 4 4 6" xfId="27953" xr:uid="{7111488B-AC4B-474D-A68B-D5CFBAF4ECA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A86D16B9-A878-4BE9-9286-3AC3DC586283}"/>
    <cellStyle name="Normal 4 2 2 3 4 5 2 2 3" xfId="26288" xr:uid="{5B0A46CA-18CE-46D5-B32F-42169DD870FB}"/>
    <cellStyle name="Normal 4 2 2 3 4 5 2 2 4" xfId="34728" xr:uid="{FA71A4D8-0981-4810-BE8F-F682693045B7}"/>
    <cellStyle name="Normal 4 2 2 3 4 5 2 3" xfId="13630" xr:uid="{5B5455D6-3935-4B22-B3F9-3ECFF2197C33}"/>
    <cellStyle name="Normal 4 2 2 3 4 5 2 4" xfId="22071" xr:uid="{76471CCF-A23A-4671-BC0D-D5D74698F7DD}"/>
    <cellStyle name="Normal 4 2 2 3 4 5 2 5" xfId="30511" xr:uid="{03D4DE0E-AB49-4F74-A52E-D0A450773C1D}"/>
    <cellStyle name="Normal 4 2 2 3 4 5 3" xfId="6376" xr:uid="{00000000-0005-0000-0000-00007C120000}"/>
    <cellStyle name="Normal 4 2 2 3 4 5 3 2" xfId="15702" xr:uid="{21B9075D-11EE-4620-B998-54FB5D84BA09}"/>
    <cellStyle name="Normal 4 2 2 3 4 5 3 3" xfId="24143" xr:uid="{89459BF0-C9DB-4BB8-9FB0-A4C6947B3594}"/>
    <cellStyle name="Normal 4 2 2 3 4 5 3 4" xfId="32583" xr:uid="{E08CCC32-C0E8-45F6-AE30-3EDA5B3D596A}"/>
    <cellStyle name="Normal 4 2 2 3 4 5 4" xfId="11485" xr:uid="{A5BE6FB2-0DC3-4C2A-A98B-FE22FEC1DA1D}"/>
    <cellStyle name="Normal 4 2 2 3 4 5 5" xfId="19926" xr:uid="{B69D1732-0881-4B12-B739-E325FB9A9608}"/>
    <cellStyle name="Normal 4 2 2 3 4 5 6" xfId="28366" xr:uid="{F61A037B-86FF-49B3-A32E-BC8150C18BA5}"/>
    <cellStyle name="Normal 4 2 2 3 4 6" xfId="2506" xr:uid="{00000000-0005-0000-0000-00007D120000}"/>
    <cellStyle name="Normal 4 2 2 3 4 6 2" xfId="6789" xr:uid="{00000000-0005-0000-0000-00007E120000}"/>
    <cellStyle name="Normal 4 2 2 3 4 6 2 2" xfId="16115" xr:uid="{2D508668-7740-46C2-B6D4-808C3D80E505}"/>
    <cellStyle name="Normal 4 2 2 3 4 6 2 3" xfId="24556" xr:uid="{A63A2EB7-0D24-48B2-8A4A-A0966426536E}"/>
    <cellStyle name="Normal 4 2 2 3 4 6 2 4" xfId="32996" xr:uid="{E13DF908-E086-400C-B377-555795756ACB}"/>
    <cellStyle name="Normal 4 2 2 3 4 6 3" xfId="11898" xr:uid="{8AE5C01B-572B-43F0-B511-FDE4683C0767}"/>
    <cellStyle name="Normal 4 2 2 3 4 6 4" xfId="20339" xr:uid="{98E7AA4B-17BC-401B-8E3C-34D7A7E9B4EE}"/>
    <cellStyle name="Normal 4 2 2 3 4 6 5" xfId="28779" xr:uid="{C8DFA330-0B74-46F8-B6FC-31FC36E218C0}"/>
    <cellStyle name="Normal 4 2 2 3 4 7" xfId="4724" xr:uid="{00000000-0005-0000-0000-00007F120000}"/>
    <cellStyle name="Normal 4 2 2 3 4 7 2" xfId="14050" xr:uid="{7147454C-B11B-4E28-ABD7-FDA09F95210A}"/>
    <cellStyle name="Normal 4 2 2 3 4 7 3" xfId="22491" xr:uid="{6B77D5C4-CF40-423C-8CA1-252FB23D5BCE}"/>
    <cellStyle name="Normal 4 2 2 3 4 7 4" xfId="30931" xr:uid="{7A41B062-57C7-46F1-9E6C-06A5F25B5E0C}"/>
    <cellStyle name="Normal 4 2 2 3 4 8" xfId="8991" xr:uid="{84464EC3-90C2-4B18-8399-135C935528F7}"/>
    <cellStyle name="Normal 4 2 2 3 4 9" xfId="9833" xr:uid="{F950F3AC-B579-48DC-92EB-8599878E3123}"/>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A5F43F7B-880A-4CA9-B274-519F4CFDDF7E}"/>
    <cellStyle name="Normal 4 2 2 3 5 2 2 3" xfId="25042" xr:uid="{E3AA4834-9A68-4DD3-B057-A71C013B724A}"/>
    <cellStyle name="Normal 4 2 2 3 5 2 2 4" xfId="33482" xr:uid="{B2456517-891D-42DE-9A3D-8C328D13A850}"/>
    <cellStyle name="Normal 4 2 2 3 5 2 3" xfId="12384" xr:uid="{D078E991-A617-4370-A770-6F83F4C5643C}"/>
    <cellStyle name="Normal 4 2 2 3 5 2 4" xfId="20825" xr:uid="{A68D1DAE-FFB9-4649-8F67-8989501EB42D}"/>
    <cellStyle name="Normal 4 2 2 3 5 2 5" xfId="29265" xr:uid="{BD61D084-B9A0-4FEF-85E9-9C0C61D0DEA3}"/>
    <cellStyle name="Normal 4 2 2 3 5 3" xfId="5130" xr:uid="{00000000-0005-0000-0000-000083120000}"/>
    <cellStyle name="Normal 4 2 2 3 5 3 2" xfId="14456" xr:uid="{B6BB34A8-EB0E-44F9-8F48-6AC14E1B69CB}"/>
    <cellStyle name="Normal 4 2 2 3 5 3 3" xfId="22897" xr:uid="{B404F6DF-4A54-4FEB-9CAD-5CF395D4BC3F}"/>
    <cellStyle name="Normal 4 2 2 3 5 3 4" xfId="31337" xr:uid="{2660B193-D01F-464B-96A7-3CD3A14AEBE5}"/>
    <cellStyle name="Normal 4 2 2 3 5 4" xfId="9208" xr:uid="{7BF9CD11-B90D-42F2-928D-A8BE344C6F46}"/>
    <cellStyle name="Normal 4 2 2 3 5 5" xfId="10239" xr:uid="{1565DFBD-A5CF-4D64-B98B-C14F2282A845}"/>
    <cellStyle name="Normal 4 2 2 3 5 6" xfId="18680" xr:uid="{583E914A-3822-4845-9642-9247230665C8}"/>
    <cellStyle name="Normal 4 2 2 3 5 7" xfId="27120" xr:uid="{0E2C6FCC-CCA3-4A43-8D0D-48D987216F43}"/>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D7F52D25-C880-40D1-B08E-A7B1C21BFB3E}"/>
    <cellStyle name="Normal 4 2 2 3 6 2 2 3" xfId="25455" xr:uid="{325F375B-EF1F-4D75-AE50-B476C52B0DD9}"/>
    <cellStyle name="Normal 4 2 2 3 6 2 2 4" xfId="33895" xr:uid="{B1BC91E0-A93F-4489-BE34-2BD85AF1B346}"/>
    <cellStyle name="Normal 4 2 2 3 6 2 3" xfId="12797" xr:uid="{A4974FD3-8F89-492F-9B4B-E2FDEF5AE149}"/>
    <cellStyle name="Normal 4 2 2 3 6 2 4" xfId="21238" xr:uid="{425CF16B-162E-4951-BC23-1B2B9F9B8FA5}"/>
    <cellStyle name="Normal 4 2 2 3 6 2 5" xfId="29678" xr:uid="{EB008AC9-94AD-418A-952E-066BC8A1C96D}"/>
    <cellStyle name="Normal 4 2 2 3 6 3" xfId="5543" xr:uid="{00000000-0005-0000-0000-000087120000}"/>
    <cellStyle name="Normal 4 2 2 3 6 3 2" xfId="14869" xr:uid="{C64334CC-6A39-4701-B5DD-F88035336A59}"/>
    <cellStyle name="Normal 4 2 2 3 6 3 3" xfId="23310" xr:uid="{ECC8CFAC-6F5B-483B-B35A-F831FB304B07}"/>
    <cellStyle name="Normal 4 2 2 3 6 3 4" xfId="31750" xr:uid="{34AAEF63-B237-4DA6-BD4C-203344796E33}"/>
    <cellStyle name="Normal 4 2 2 3 6 4" xfId="10652" xr:uid="{F8E07A8F-9F61-4ED5-A182-3CBC8BE6A1EF}"/>
    <cellStyle name="Normal 4 2 2 3 6 5" xfId="19093" xr:uid="{6FFF0A80-E619-4E9C-BF37-E987C21393DA}"/>
    <cellStyle name="Normal 4 2 2 3 6 6" xfId="27533" xr:uid="{5AE99568-F296-4768-B1D6-DC20259B422D}"/>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95D57E12-35D8-43AD-AC60-2A135E9BFCA2}"/>
    <cellStyle name="Normal 4 2 2 3 7 2 2 3" xfId="25868" xr:uid="{86301334-0596-453B-839E-227D984118D4}"/>
    <cellStyle name="Normal 4 2 2 3 7 2 2 4" xfId="34308" xr:uid="{B2802A5D-1FE5-485D-9B62-933EA64A9715}"/>
    <cellStyle name="Normal 4 2 2 3 7 2 3" xfId="13210" xr:uid="{783842EA-E0A2-4EF2-ADE5-58093AC6C8E7}"/>
    <cellStyle name="Normal 4 2 2 3 7 2 4" xfId="21651" xr:uid="{18CCD4DE-B571-4AE5-89AA-9B299EE7E522}"/>
    <cellStyle name="Normal 4 2 2 3 7 2 5" xfId="30091" xr:uid="{29BABB08-D3C4-4CF6-BC3E-0A64FBA2DB50}"/>
    <cellStyle name="Normal 4 2 2 3 7 3" xfId="5956" xr:uid="{00000000-0005-0000-0000-00008B120000}"/>
    <cellStyle name="Normal 4 2 2 3 7 3 2" xfId="15282" xr:uid="{6C884395-98E2-45AE-8BE3-B93C392F9C22}"/>
    <cellStyle name="Normal 4 2 2 3 7 3 3" xfId="23723" xr:uid="{906C5557-1F68-46D2-ACE2-BBFDB936F04A}"/>
    <cellStyle name="Normal 4 2 2 3 7 3 4" xfId="32163" xr:uid="{0C951C72-D260-422E-A29C-85267A3EBA36}"/>
    <cellStyle name="Normal 4 2 2 3 7 4" xfId="11065" xr:uid="{BF2E92FB-4450-4451-BF5D-2D1A48FC1DAA}"/>
    <cellStyle name="Normal 4 2 2 3 7 5" xfId="19506" xr:uid="{FB0B373C-0391-4084-9F97-40517E4267CF}"/>
    <cellStyle name="Normal 4 2 2 3 7 6" xfId="27946" xr:uid="{C83B9371-26C1-4DA4-9A9F-26E700C1BDEC}"/>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3205D840-C76C-409D-B7BD-818E9D40A662}"/>
    <cellStyle name="Normal 4 2 2 3 8 2 2 3" xfId="26281" xr:uid="{A455A70B-719A-4496-A41B-F9A936380E6C}"/>
    <cellStyle name="Normal 4 2 2 3 8 2 2 4" xfId="34721" xr:uid="{B04692EA-090E-4A1F-B57F-F76E8CCABC0D}"/>
    <cellStyle name="Normal 4 2 2 3 8 2 3" xfId="13623" xr:uid="{1CFEAF2A-C7FB-4AF1-A509-3A6C252330AE}"/>
    <cellStyle name="Normal 4 2 2 3 8 2 4" xfId="22064" xr:uid="{28760398-5107-4702-8A49-C91636FD466A}"/>
    <cellStyle name="Normal 4 2 2 3 8 2 5" xfId="30504" xr:uid="{1812B3E2-520E-4A55-968A-48CFFAB002F3}"/>
    <cellStyle name="Normal 4 2 2 3 8 3" xfId="6369" xr:uid="{00000000-0005-0000-0000-00008F120000}"/>
    <cellStyle name="Normal 4 2 2 3 8 3 2" xfId="15695" xr:uid="{B23B893D-120D-4EF3-8111-0E20501B9AB8}"/>
    <cellStyle name="Normal 4 2 2 3 8 3 3" xfId="24136" xr:uid="{A7649E22-400D-419A-953B-C633A84B5BE9}"/>
    <cellStyle name="Normal 4 2 2 3 8 3 4" xfId="32576" xr:uid="{6DE68D6C-F1A8-4A70-A310-B1AEAFA8C3F5}"/>
    <cellStyle name="Normal 4 2 2 3 8 4" xfId="11478" xr:uid="{BC0AFC65-C14D-4CB0-9B89-B63592C36352}"/>
    <cellStyle name="Normal 4 2 2 3 8 5" xfId="19919" xr:uid="{5CDF8B12-24F3-4D78-96DB-F79BB6AF28E8}"/>
    <cellStyle name="Normal 4 2 2 3 8 6" xfId="28359" xr:uid="{6B6FD144-28D7-433B-8ACD-40F6A625CB5B}"/>
    <cellStyle name="Normal 4 2 2 3 9" xfId="2499" xr:uid="{00000000-0005-0000-0000-000090120000}"/>
    <cellStyle name="Normal 4 2 2 3 9 2" xfId="6782" xr:uid="{00000000-0005-0000-0000-000091120000}"/>
    <cellStyle name="Normal 4 2 2 3 9 2 2" xfId="16108" xr:uid="{4CDC3D34-F823-4BF1-8CCE-7ADD0F01A483}"/>
    <cellStyle name="Normal 4 2 2 3 9 2 3" xfId="24549" xr:uid="{0746D096-91CD-4A2E-87AA-8B2BF74F1E53}"/>
    <cellStyle name="Normal 4 2 2 3 9 2 4" xfId="32989" xr:uid="{132A0FE3-68EB-448D-9BA5-B96987CA024B}"/>
    <cellStyle name="Normal 4 2 2 3 9 3" xfId="11891" xr:uid="{AC625278-AF95-4A91-AC6E-24F424BD6250}"/>
    <cellStyle name="Normal 4 2 2 3 9 4" xfId="20332" xr:uid="{65167067-4737-40CC-9C46-F62C89456D64}"/>
    <cellStyle name="Normal 4 2 2 3 9 5" xfId="28772" xr:uid="{6523E356-5BBE-4785-92AB-8657A623ACF6}"/>
    <cellStyle name="Normal 4 2 2 4" xfId="347" xr:uid="{00000000-0005-0000-0000-000092120000}"/>
    <cellStyle name="Normal 4 2 2 4 10" xfId="8818" xr:uid="{A73977A7-52C6-4368-9F59-166E1B99BBDE}"/>
    <cellStyle name="Normal 4 2 2 4 11" xfId="9834" xr:uid="{4E5C8024-EB92-4705-902A-626F45952DEA}"/>
    <cellStyle name="Normal 4 2 2 4 12" xfId="18275" xr:uid="{51F994D7-E9AE-4C40-AB69-222A2D1B8CBA}"/>
    <cellStyle name="Normal 4 2 2 4 13" xfId="26715" xr:uid="{FA782B48-9870-4AA7-97C6-CF63A9268AE1}"/>
    <cellStyle name="Normal 4 2 2 4 2" xfId="348" xr:uid="{00000000-0005-0000-0000-000093120000}"/>
    <cellStyle name="Normal 4 2 2 4 2 10" xfId="9835" xr:uid="{D1F065DC-0FB0-4660-B144-2CBD62D654E4}"/>
    <cellStyle name="Normal 4 2 2 4 2 11" xfId="18276" xr:uid="{E2427EE9-702B-4E08-B6E3-52EF7A29A60E}"/>
    <cellStyle name="Normal 4 2 2 4 2 12" xfId="26716" xr:uid="{41A094CF-FFF3-4075-AD29-95D76B0DB6DD}"/>
    <cellStyle name="Normal 4 2 2 4 2 2" xfId="349" xr:uid="{00000000-0005-0000-0000-000094120000}"/>
    <cellStyle name="Normal 4 2 2 4 2 2 10" xfId="18277" xr:uid="{7AA9903B-A782-48A6-8428-32F5524C5463}"/>
    <cellStyle name="Normal 4 2 2 4 2 2 11" xfId="26717" xr:uid="{3B9AC61C-84F9-41AD-822F-DC16E89EDA3D}"/>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2BC3DA6E-9AA5-4CF3-B8DC-81EA6CF88547}"/>
    <cellStyle name="Normal 4 2 2 4 2 2 2 2 2 3" xfId="25052" xr:uid="{6F741DC2-B657-4082-B941-DF42BB84F98D}"/>
    <cellStyle name="Normal 4 2 2 4 2 2 2 2 2 4" xfId="33492" xr:uid="{313EC105-29F8-40BB-9327-5BC7E2A30FE1}"/>
    <cellStyle name="Normal 4 2 2 4 2 2 2 2 3" xfId="12394" xr:uid="{AECF5EC0-9FA2-4FC6-B718-B428B9DF984C}"/>
    <cellStyle name="Normal 4 2 2 4 2 2 2 2 4" xfId="20835" xr:uid="{8D748005-8448-46D9-A0F0-074E81ABCC75}"/>
    <cellStyle name="Normal 4 2 2 4 2 2 2 2 5" xfId="29275" xr:uid="{10BDF5F8-827D-4849-A7EB-9B9AD241473C}"/>
    <cellStyle name="Normal 4 2 2 4 2 2 2 3" xfId="5140" xr:uid="{00000000-0005-0000-0000-000098120000}"/>
    <cellStyle name="Normal 4 2 2 4 2 2 2 3 2" xfId="14466" xr:uid="{0BE68E53-73FB-4CA5-B26C-CFA80D085F65}"/>
    <cellStyle name="Normal 4 2 2 4 2 2 2 3 3" xfId="22907" xr:uid="{EC36B0E4-46D4-43E1-9A6F-424B18425864}"/>
    <cellStyle name="Normal 4 2 2 4 2 2 2 3 4" xfId="31347" xr:uid="{E97558EC-6044-49FA-9483-2EDE74728B85}"/>
    <cellStyle name="Normal 4 2 2 4 2 2 2 4" xfId="9553" xr:uid="{7FCAF883-2374-4470-BA95-AD8EB054639C}"/>
    <cellStyle name="Normal 4 2 2 4 2 2 2 5" xfId="10249" xr:uid="{B9900D94-3883-46DB-B3BE-61E023F46C3E}"/>
    <cellStyle name="Normal 4 2 2 4 2 2 2 6" xfId="18690" xr:uid="{5AA9645C-3B58-4411-9D88-DEBBC0260DF3}"/>
    <cellStyle name="Normal 4 2 2 4 2 2 2 7" xfId="27130" xr:uid="{07ACAF54-90CC-41E3-B645-50ED6194825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9C9115ED-056B-487C-AB2F-C120F45CB7CE}"/>
    <cellStyle name="Normal 4 2 2 4 2 2 3 2 2 3" xfId="25465" xr:uid="{1A4EBE24-3534-449F-B553-4809C8B03E11}"/>
    <cellStyle name="Normal 4 2 2 4 2 2 3 2 2 4" xfId="33905" xr:uid="{04F5626A-37CA-492F-8C94-64A07BBA6029}"/>
    <cellStyle name="Normal 4 2 2 4 2 2 3 2 3" xfId="12807" xr:uid="{1BC0120E-5459-4CC4-A643-5E70D6479557}"/>
    <cellStyle name="Normal 4 2 2 4 2 2 3 2 4" xfId="21248" xr:uid="{3CC848B4-BE16-4D97-B847-877CB71506BF}"/>
    <cellStyle name="Normal 4 2 2 4 2 2 3 2 5" xfId="29688" xr:uid="{6FEFE5BA-157C-4DD2-B042-E65D0A3E0A81}"/>
    <cellStyle name="Normal 4 2 2 4 2 2 3 3" xfId="5553" xr:uid="{00000000-0005-0000-0000-00009C120000}"/>
    <cellStyle name="Normal 4 2 2 4 2 2 3 3 2" xfId="14879" xr:uid="{D75194FA-7651-4D85-BF5C-709959043EC3}"/>
    <cellStyle name="Normal 4 2 2 4 2 2 3 3 3" xfId="23320" xr:uid="{C1BB6E5A-D816-4601-9344-522CD71509F8}"/>
    <cellStyle name="Normal 4 2 2 4 2 2 3 3 4" xfId="31760" xr:uid="{0F9AEC3F-E612-4F01-970E-CB9717072BC4}"/>
    <cellStyle name="Normal 4 2 2 4 2 2 3 4" xfId="10662" xr:uid="{A727696F-CBE1-4852-A7F2-8CAAEB7FFE7D}"/>
    <cellStyle name="Normal 4 2 2 4 2 2 3 5" xfId="19103" xr:uid="{5B4CDA26-C3CF-48AF-88B3-4B5DDA8256C7}"/>
    <cellStyle name="Normal 4 2 2 4 2 2 3 6" xfId="27543" xr:uid="{B3A35F88-53BA-41D4-B10F-AAEC36D75778}"/>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14BBAE02-2F86-4AD2-A001-7172AB2883DE}"/>
    <cellStyle name="Normal 4 2 2 4 2 2 4 2 2 3" xfId="25878" xr:uid="{4187D60B-305F-43E9-823B-CD59B07D6464}"/>
    <cellStyle name="Normal 4 2 2 4 2 2 4 2 2 4" xfId="34318" xr:uid="{DA30CADC-3675-42AF-9250-0F3800413ABE}"/>
    <cellStyle name="Normal 4 2 2 4 2 2 4 2 3" xfId="13220" xr:uid="{92799D33-E76B-4938-B7E7-C3B5B75773A6}"/>
    <cellStyle name="Normal 4 2 2 4 2 2 4 2 4" xfId="21661" xr:uid="{5E1F2240-500B-4E59-8267-CD82F0CD9FFF}"/>
    <cellStyle name="Normal 4 2 2 4 2 2 4 2 5" xfId="30101" xr:uid="{E136A45E-A03C-42E3-8B13-F9F7C3F86481}"/>
    <cellStyle name="Normal 4 2 2 4 2 2 4 3" xfId="5966" xr:uid="{00000000-0005-0000-0000-0000A0120000}"/>
    <cellStyle name="Normal 4 2 2 4 2 2 4 3 2" xfId="15292" xr:uid="{F2BCAACB-1593-4A40-86D6-4CCAE7DDBFB0}"/>
    <cellStyle name="Normal 4 2 2 4 2 2 4 3 3" xfId="23733" xr:uid="{98975C29-97C2-4CCD-9FC7-AEDC27F6EF4B}"/>
    <cellStyle name="Normal 4 2 2 4 2 2 4 3 4" xfId="32173" xr:uid="{26D6B9EC-9573-4E50-BE13-0D43B248DD27}"/>
    <cellStyle name="Normal 4 2 2 4 2 2 4 4" xfId="11075" xr:uid="{F54CE968-2ECD-4527-B312-C9624F50A688}"/>
    <cellStyle name="Normal 4 2 2 4 2 2 4 5" xfId="19516" xr:uid="{9D5D9206-3AA7-4D85-82D7-393C1D3EE762}"/>
    <cellStyle name="Normal 4 2 2 4 2 2 4 6" xfId="27956" xr:uid="{E76AD0AF-B834-4E11-B466-DE41D961546D}"/>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B55CDC7F-2926-4DB2-9346-14A01E8BD5F0}"/>
    <cellStyle name="Normal 4 2 2 4 2 2 5 2 2 3" xfId="26291" xr:uid="{5D4650DA-00F1-4D1B-8CC5-794BC19D13C0}"/>
    <cellStyle name="Normal 4 2 2 4 2 2 5 2 2 4" xfId="34731" xr:uid="{586478FE-5715-4B7B-9744-5C2EEB583824}"/>
    <cellStyle name="Normal 4 2 2 4 2 2 5 2 3" xfId="13633" xr:uid="{33B76C11-AE05-4605-A706-964A3F4089EB}"/>
    <cellStyle name="Normal 4 2 2 4 2 2 5 2 4" xfId="22074" xr:uid="{F2E2E860-8E7E-4C8F-AE29-CC9B03B75C89}"/>
    <cellStyle name="Normal 4 2 2 4 2 2 5 2 5" xfId="30514" xr:uid="{A3077252-D47E-42C6-BF6B-E138942A394F}"/>
    <cellStyle name="Normal 4 2 2 4 2 2 5 3" xfId="6379" xr:uid="{00000000-0005-0000-0000-0000A4120000}"/>
    <cellStyle name="Normal 4 2 2 4 2 2 5 3 2" xfId="15705" xr:uid="{6E651C6C-95CC-4D55-AF14-235DB5054F1C}"/>
    <cellStyle name="Normal 4 2 2 4 2 2 5 3 3" xfId="24146" xr:uid="{D7ABA620-7859-45FB-944D-DCB772653C40}"/>
    <cellStyle name="Normal 4 2 2 4 2 2 5 3 4" xfId="32586" xr:uid="{A1BC5271-5BDA-4DC1-9A3F-090152D60D12}"/>
    <cellStyle name="Normal 4 2 2 4 2 2 5 4" xfId="11488" xr:uid="{F501D6DE-885E-4126-AF63-C89DA7321290}"/>
    <cellStyle name="Normal 4 2 2 4 2 2 5 5" xfId="19929" xr:uid="{9B5C8357-0178-4E31-9AA2-C0F890A4335A}"/>
    <cellStyle name="Normal 4 2 2 4 2 2 5 6" xfId="28369" xr:uid="{2BE15DAB-5DC0-4172-8298-BF08779C4C3A}"/>
    <cellStyle name="Normal 4 2 2 4 2 2 6" xfId="2509" xr:uid="{00000000-0005-0000-0000-0000A5120000}"/>
    <cellStyle name="Normal 4 2 2 4 2 2 6 2" xfId="6792" xr:uid="{00000000-0005-0000-0000-0000A6120000}"/>
    <cellStyle name="Normal 4 2 2 4 2 2 6 2 2" xfId="16118" xr:uid="{4E4B00DB-DC2C-4C62-B756-EC17C04EFB2E}"/>
    <cellStyle name="Normal 4 2 2 4 2 2 6 2 3" xfId="24559" xr:uid="{3D5024E6-3F9B-4768-A7DA-A804EAB756B5}"/>
    <cellStyle name="Normal 4 2 2 4 2 2 6 2 4" xfId="32999" xr:uid="{36EE5DDE-E65F-40BD-972E-BC8A9486C3F8}"/>
    <cellStyle name="Normal 4 2 2 4 2 2 6 3" xfId="11901" xr:uid="{8A4D5973-5D6F-4438-A783-744DBDAC4DF8}"/>
    <cellStyle name="Normal 4 2 2 4 2 2 6 4" xfId="20342" xr:uid="{B90A04B9-9654-4DBF-89DA-44FFC97A1676}"/>
    <cellStyle name="Normal 4 2 2 4 2 2 6 5" xfId="28782" xr:uid="{1646804F-B998-417E-96C2-BA8C0B61D94C}"/>
    <cellStyle name="Normal 4 2 2 4 2 2 7" xfId="4727" xr:uid="{00000000-0005-0000-0000-0000A7120000}"/>
    <cellStyle name="Normal 4 2 2 4 2 2 7 2" xfId="14053" xr:uid="{93996B6F-664B-46A7-82A6-935520A66B84}"/>
    <cellStyle name="Normal 4 2 2 4 2 2 7 3" xfId="22494" xr:uid="{1FD9316B-85D8-4284-842D-389D7149E17D}"/>
    <cellStyle name="Normal 4 2 2 4 2 2 7 4" xfId="30934" xr:uid="{DA38828A-E5C8-40CB-B4EF-86911BC0016E}"/>
    <cellStyle name="Normal 4 2 2 4 2 2 8" xfId="9128" xr:uid="{3D9AD2A4-E3D1-4BAF-8F43-BFB1FE8E222D}"/>
    <cellStyle name="Normal 4 2 2 4 2 2 9" xfId="9836" xr:uid="{D3EA1CA0-7AC6-4514-A67C-E166F9DEF1FF}"/>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6ED148D8-A293-448C-A008-332F24FC35B4}"/>
    <cellStyle name="Normal 4 2 2 4 2 3 2 2 3" xfId="25051" xr:uid="{FAD64615-27AE-4837-AD45-6362AC4E20FA}"/>
    <cellStyle name="Normal 4 2 2 4 2 3 2 2 4" xfId="33491" xr:uid="{CD587AAC-6F4C-49E9-BD3C-31131693A190}"/>
    <cellStyle name="Normal 4 2 2 4 2 3 2 3" xfId="12393" xr:uid="{BD6E539F-9394-434F-A316-A2529B268694}"/>
    <cellStyle name="Normal 4 2 2 4 2 3 2 4" xfId="20834" xr:uid="{50F2AF9D-F136-48C6-BF98-133EBA63CDCA}"/>
    <cellStyle name="Normal 4 2 2 4 2 3 2 5" xfId="29274" xr:uid="{FC027E54-2651-4FBA-9E40-2335515D6950}"/>
    <cellStyle name="Normal 4 2 2 4 2 3 3" xfId="5139" xr:uid="{00000000-0005-0000-0000-0000AB120000}"/>
    <cellStyle name="Normal 4 2 2 4 2 3 3 2" xfId="14465" xr:uid="{392B66CE-A61E-40D2-A6D6-B495BED5461F}"/>
    <cellStyle name="Normal 4 2 2 4 2 3 3 3" xfId="22906" xr:uid="{34B1F366-10D9-46A8-90CD-796BB2E80701}"/>
    <cellStyle name="Normal 4 2 2 4 2 3 3 4" xfId="31346" xr:uid="{44F25680-F263-4B67-8636-23F127D3B26F}"/>
    <cellStyle name="Normal 4 2 2 4 2 3 4" xfId="9346" xr:uid="{11110DEC-01F5-467C-B0F9-3286FF7E57CB}"/>
    <cellStyle name="Normal 4 2 2 4 2 3 5" xfId="10248" xr:uid="{DABB7947-1E6C-4032-9367-ED4085FAC400}"/>
    <cellStyle name="Normal 4 2 2 4 2 3 6" xfId="18689" xr:uid="{04C8EAF6-105D-45AB-9F75-63CD6D07FCC3}"/>
    <cellStyle name="Normal 4 2 2 4 2 3 7" xfId="27129" xr:uid="{C4324461-3564-4D01-B183-69EAC656A992}"/>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946BC838-FE61-4C0E-8ED0-FDDA062C9368}"/>
    <cellStyle name="Normal 4 2 2 4 2 4 2 2 3" xfId="25464" xr:uid="{98C6835B-5B17-48DC-BC78-F3841BDA282D}"/>
    <cellStyle name="Normal 4 2 2 4 2 4 2 2 4" xfId="33904" xr:uid="{2FFD7C5F-5534-4166-8E39-452E81E09DF4}"/>
    <cellStyle name="Normal 4 2 2 4 2 4 2 3" xfId="12806" xr:uid="{D193F336-7666-4264-BBAE-0A9A29F811EE}"/>
    <cellStyle name="Normal 4 2 2 4 2 4 2 4" xfId="21247" xr:uid="{7BF9F3CF-A668-4B5A-8923-98B36B87C88C}"/>
    <cellStyle name="Normal 4 2 2 4 2 4 2 5" xfId="29687" xr:uid="{905E79D5-458E-4958-A4AE-6AF2A90B4D7D}"/>
    <cellStyle name="Normal 4 2 2 4 2 4 3" xfId="5552" xr:uid="{00000000-0005-0000-0000-0000AF120000}"/>
    <cellStyle name="Normal 4 2 2 4 2 4 3 2" xfId="14878" xr:uid="{3B84A655-2DE0-426B-AC06-201038DB00AD}"/>
    <cellStyle name="Normal 4 2 2 4 2 4 3 3" xfId="23319" xr:uid="{D338E2B6-A76F-4DB5-98CE-DDAC65F25C53}"/>
    <cellStyle name="Normal 4 2 2 4 2 4 3 4" xfId="31759" xr:uid="{5BE90B45-186A-4854-9D04-FD2F5E8A7E22}"/>
    <cellStyle name="Normal 4 2 2 4 2 4 4" xfId="10661" xr:uid="{87412FD0-57AD-48A6-9E53-E491DCA826A9}"/>
    <cellStyle name="Normal 4 2 2 4 2 4 5" xfId="19102" xr:uid="{938379EC-B171-4A18-A4B2-60D4CE3AAC33}"/>
    <cellStyle name="Normal 4 2 2 4 2 4 6" xfId="27542" xr:uid="{EAE582E9-5DD3-4AF1-8F71-F6DA517B646D}"/>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04A42C62-09E0-48DE-8D68-A23DE899E3EB}"/>
    <cellStyle name="Normal 4 2 2 4 2 5 2 2 3" xfId="25877" xr:uid="{C4D20845-9197-441C-9F72-48A3F1F164F5}"/>
    <cellStyle name="Normal 4 2 2 4 2 5 2 2 4" xfId="34317" xr:uid="{9B0E4974-0784-4779-AED2-19B819216023}"/>
    <cellStyle name="Normal 4 2 2 4 2 5 2 3" xfId="13219" xr:uid="{120E3915-23DB-4FED-9745-FA09D90CB6BA}"/>
    <cellStyle name="Normal 4 2 2 4 2 5 2 4" xfId="21660" xr:uid="{4313D515-A44C-4018-96FC-938192589A8E}"/>
    <cellStyle name="Normal 4 2 2 4 2 5 2 5" xfId="30100" xr:uid="{19E7D0C6-070D-436D-BF4B-D85EC8F76139}"/>
    <cellStyle name="Normal 4 2 2 4 2 5 3" xfId="5965" xr:uid="{00000000-0005-0000-0000-0000B3120000}"/>
    <cellStyle name="Normal 4 2 2 4 2 5 3 2" xfId="15291" xr:uid="{9DEE0A89-D560-4589-B42C-60AA6D7EB20A}"/>
    <cellStyle name="Normal 4 2 2 4 2 5 3 3" xfId="23732" xr:uid="{CE351513-A2CF-49C8-887E-6413278A53D5}"/>
    <cellStyle name="Normal 4 2 2 4 2 5 3 4" xfId="32172" xr:uid="{A489A49D-FF43-4651-A4B7-F73CAE47333A}"/>
    <cellStyle name="Normal 4 2 2 4 2 5 4" xfId="11074" xr:uid="{918DB607-EF46-49C0-88BC-D4BE725AD6B0}"/>
    <cellStyle name="Normal 4 2 2 4 2 5 5" xfId="19515" xr:uid="{D4A1272E-5DC0-4299-84E3-D047AB21A267}"/>
    <cellStyle name="Normal 4 2 2 4 2 5 6" xfId="27955" xr:uid="{00F2F168-DAD9-4A8A-8F92-41A5418B33D1}"/>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CD9BF711-BF35-489A-8E68-B53265D399BE}"/>
    <cellStyle name="Normal 4 2 2 4 2 6 2 2 3" xfId="26290" xr:uid="{DBF0A22B-23BF-4A9B-9E19-4C2FE2439E9D}"/>
    <cellStyle name="Normal 4 2 2 4 2 6 2 2 4" xfId="34730" xr:uid="{7EB371D3-FBC9-4250-A379-F10CC403E66C}"/>
    <cellStyle name="Normal 4 2 2 4 2 6 2 3" xfId="13632" xr:uid="{75C935BD-F06F-4888-9D24-E5F5F8928AB4}"/>
    <cellStyle name="Normal 4 2 2 4 2 6 2 4" xfId="22073" xr:uid="{E46AD91B-45E7-4AA1-8A69-2AB6301CEDEC}"/>
    <cellStyle name="Normal 4 2 2 4 2 6 2 5" xfId="30513" xr:uid="{461D2AED-FBB2-4DEA-8D47-5B4D699A8235}"/>
    <cellStyle name="Normal 4 2 2 4 2 6 3" xfId="6378" xr:uid="{00000000-0005-0000-0000-0000B7120000}"/>
    <cellStyle name="Normal 4 2 2 4 2 6 3 2" xfId="15704" xr:uid="{B467DAC7-9D34-4823-8003-3CC25AA81F29}"/>
    <cellStyle name="Normal 4 2 2 4 2 6 3 3" xfId="24145" xr:uid="{F11A6B68-003C-4CDD-B3E3-BE7220B21897}"/>
    <cellStyle name="Normal 4 2 2 4 2 6 3 4" xfId="32585" xr:uid="{A2580757-4025-4842-A1EF-26E251AEF8F7}"/>
    <cellStyle name="Normal 4 2 2 4 2 6 4" xfId="11487" xr:uid="{91E3FF70-6726-4A4E-8405-8EEEB90C0BEC}"/>
    <cellStyle name="Normal 4 2 2 4 2 6 5" xfId="19928" xr:uid="{42882EF9-23ED-43B8-A235-F247CE5BC43D}"/>
    <cellStyle name="Normal 4 2 2 4 2 6 6" xfId="28368" xr:uid="{E5FEEF81-3A9F-487B-B771-A298617A63EA}"/>
    <cellStyle name="Normal 4 2 2 4 2 7" xfId="2508" xr:uid="{00000000-0005-0000-0000-0000B8120000}"/>
    <cellStyle name="Normal 4 2 2 4 2 7 2" xfId="6791" xr:uid="{00000000-0005-0000-0000-0000B9120000}"/>
    <cellStyle name="Normal 4 2 2 4 2 7 2 2" xfId="16117" xr:uid="{C417289C-6B80-4F41-B4A6-A55DA2119F7A}"/>
    <cellStyle name="Normal 4 2 2 4 2 7 2 3" xfId="24558" xr:uid="{00FC624B-6B4B-40B3-A983-564F7A340551}"/>
    <cellStyle name="Normal 4 2 2 4 2 7 2 4" xfId="32998" xr:uid="{55A084C9-9E62-4CE0-998C-3D04922DAE61}"/>
    <cellStyle name="Normal 4 2 2 4 2 7 3" xfId="11900" xr:uid="{35DB370A-21F8-4CFC-8931-755E4856419B}"/>
    <cellStyle name="Normal 4 2 2 4 2 7 4" xfId="20341" xr:uid="{9DA12B71-C02E-4F7D-91A8-4A9F05EA7504}"/>
    <cellStyle name="Normal 4 2 2 4 2 7 5" xfId="28781" xr:uid="{3FE438FC-9AC3-41AD-8B83-759E00B1D469}"/>
    <cellStyle name="Normal 4 2 2 4 2 8" xfId="4726" xr:uid="{00000000-0005-0000-0000-0000BA120000}"/>
    <cellStyle name="Normal 4 2 2 4 2 8 2" xfId="14052" xr:uid="{17DCF83F-30EA-459F-AF88-E4D0C2119162}"/>
    <cellStyle name="Normal 4 2 2 4 2 8 3" xfId="22493" xr:uid="{D8E6CDF3-1C40-43A5-8EBC-15D811B54D73}"/>
    <cellStyle name="Normal 4 2 2 4 2 8 4" xfId="30933" xr:uid="{99A89AA8-99B8-40B0-93EB-CD9F49F67049}"/>
    <cellStyle name="Normal 4 2 2 4 2 9" xfId="8921" xr:uid="{43AA3CA1-A6D2-47CC-8276-CBFAB7238AA6}"/>
    <cellStyle name="Normal 4 2 2 4 3" xfId="350" xr:uid="{00000000-0005-0000-0000-0000BB120000}"/>
    <cellStyle name="Normal 4 2 2 4 3 10" xfId="18278" xr:uid="{D04046BC-873A-4609-8C94-F7CB33520CB0}"/>
    <cellStyle name="Normal 4 2 2 4 3 11" xfId="26718" xr:uid="{5D66D2BA-9658-4EFF-BC9D-F36C9D97F9F9}"/>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38BCD81F-05FD-40A2-A26E-C1BFF2792114}"/>
    <cellStyle name="Normal 4 2 2 4 3 2 2 2 3" xfId="25053" xr:uid="{D0558026-B5B7-48DD-AC5B-9BF0D2EEE316}"/>
    <cellStyle name="Normal 4 2 2 4 3 2 2 2 4" xfId="33493" xr:uid="{F5DE83F6-0EF9-49BB-929F-CC2322951D3C}"/>
    <cellStyle name="Normal 4 2 2 4 3 2 2 3" xfId="12395" xr:uid="{E848FADE-7809-4E8E-BA1A-D851B7A3A5CB}"/>
    <cellStyle name="Normal 4 2 2 4 3 2 2 4" xfId="20836" xr:uid="{D432D942-8371-48B9-B1ED-329A97005BBD}"/>
    <cellStyle name="Normal 4 2 2 4 3 2 2 5" xfId="29276" xr:uid="{46E27BF9-725B-407E-94A7-683DB15C642B}"/>
    <cellStyle name="Normal 4 2 2 4 3 2 3" xfId="5141" xr:uid="{00000000-0005-0000-0000-0000BF120000}"/>
    <cellStyle name="Normal 4 2 2 4 3 2 3 2" xfId="14467" xr:uid="{4100A12F-0BFD-4E8F-9BDB-902ECCFAD584}"/>
    <cellStyle name="Normal 4 2 2 4 3 2 3 3" xfId="22908" xr:uid="{CCA65B98-592E-456B-82B5-61B114AE0DE5}"/>
    <cellStyle name="Normal 4 2 2 4 3 2 3 4" xfId="31348" xr:uid="{587129E0-5DE2-42A9-9487-EAB10C323436}"/>
    <cellStyle name="Normal 4 2 2 4 3 2 4" xfId="9450" xr:uid="{0F54578A-5DA3-4B6E-9E36-71CC7CD6BFE8}"/>
    <cellStyle name="Normal 4 2 2 4 3 2 5" xfId="10250" xr:uid="{0994A2E3-D557-4F98-A85A-ED609A915A92}"/>
    <cellStyle name="Normal 4 2 2 4 3 2 6" xfId="18691" xr:uid="{FD3073B5-4A1F-4F06-BAE9-20FB33E647E8}"/>
    <cellStyle name="Normal 4 2 2 4 3 2 7" xfId="27131" xr:uid="{903DEBB3-6412-4FFE-AB04-A16458845A37}"/>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3E906469-35D6-4A7D-B213-C2E2D917DED6}"/>
    <cellStyle name="Normal 4 2 2 4 3 3 2 2 3" xfId="25466" xr:uid="{812B6E83-E4AE-4D51-B7E6-04D99221CBDD}"/>
    <cellStyle name="Normal 4 2 2 4 3 3 2 2 4" xfId="33906" xr:uid="{8572B2C4-53AE-4834-811F-976D12ABB235}"/>
    <cellStyle name="Normal 4 2 2 4 3 3 2 3" xfId="12808" xr:uid="{31F95972-B710-424F-A62B-E9DB269CED80}"/>
    <cellStyle name="Normal 4 2 2 4 3 3 2 4" xfId="21249" xr:uid="{43EDF5BD-C0DE-4D10-AFE5-93540C79D261}"/>
    <cellStyle name="Normal 4 2 2 4 3 3 2 5" xfId="29689" xr:uid="{4F4D4F90-AEA1-4650-AA58-621511F10FCB}"/>
    <cellStyle name="Normal 4 2 2 4 3 3 3" xfId="5554" xr:uid="{00000000-0005-0000-0000-0000C3120000}"/>
    <cellStyle name="Normal 4 2 2 4 3 3 3 2" xfId="14880" xr:uid="{CCFBA2DD-03D9-4809-9E62-2EB501CD5710}"/>
    <cellStyle name="Normal 4 2 2 4 3 3 3 3" xfId="23321" xr:uid="{434BE1A0-5666-498D-B972-E24278CBAED2}"/>
    <cellStyle name="Normal 4 2 2 4 3 3 3 4" xfId="31761" xr:uid="{4083A6A7-A200-48A3-8E3F-3A715AE8DF86}"/>
    <cellStyle name="Normal 4 2 2 4 3 3 4" xfId="10663" xr:uid="{BBE4A01A-BCDC-4027-ACC5-C5E0F949A808}"/>
    <cellStyle name="Normal 4 2 2 4 3 3 5" xfId="19104" xr:uid="{ABE6D682-C5A5-49C8-9A5B-EC62178A853A}"/>
    <cellStyle name="Normal 4 2 2 4 3 3 6" xfId="27544" xr:uid="{3AF892DD-710E-4125-BCDF-F0DB40BBF3FE}"/>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A1F0CEB4-1556-4081-B6BC-C10778F150DE}"/>
    <cellStyle name="Normal 4 2 2 4 3 4 2 2 3" xfId="25879" xr:uid="{73192BED-2AE5-428A-A93B-F31BA9615AA6}"/>
    <cellStyle name="Normal 4 2 2 4 3 4 2 2 4" xfId="34319" xr:uid="{96C69915-C0BC-4B48-ACC5-986665D941E7}"/>
    <cellStyle name="Normal 4 2 2 4 3 4 2 3" xfId="13221" xr:uid="{67A2D634-5456-4151-B00C-7294237F1337}"/>
    <cellStyle name="Normal 4 2 2 4 3 4 2 4" xfId="21662" xr:uid="{90E0DBA1-D0FA-4C51-8272-603F96A98B5F}"/>
    <cellStyle name="Normal 4 2 2 4 3 4 2 5" xfId="30102" xr:uid="{B56A9199-7431-44B2-A9D5-E09BC6206845}"/>
    <cellStyle name="Normal 4 2 2 4 3 4 3" xfId="5967" xr:uid="{00000000-0005-0000-0000-0000C7120000}"/>
    <cellStyle name="Normal 4 2 2 4 3 4 3 2" xfId="15293" xr:uid="{2091A2C2-EDF5-4400-91AA-63F431E1EE55}"/>
    <cellStyle name="Normal 4 2 2 4 3 4 3 3" xfId="23734" xr:uid="{47AB87A6-6B8E-45E9-B54A-16B945349BC8}"/>
    <cellStyle name="Normal 4 2 2 4 3 4 3 4" xfId="32174" xr:uid="{10097910-A6A1-490C-885A-8E9AECC91703}"/>
    <cellStyle name="Normal 4 2 2 4 3 4 4" xfId="11076" xr:uid="{E1885864-C095-4229-813C-27BA5DCA64D3}"/>
    <cellStyle name="Normal 4 2 2 4 3 4 5" xfId="19517" xr:uid="{886B3A06-EB0C-4FCE-BF3B-2C8AF7BCE3A4}"/>
    <cellStyle name="Normal 4 2 2 4 3 4 6" xfId="27957" xr:uid="{DF76C1A7-08C1-4CBD-B684-AB5B3C437C7C}"/>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881FF600-9DDB-4E76-8B49-0858DB3ED9D9}"/>
    <cellStyle name="Normal 4 2 2 4 3 5 2 2 3" xfId="26292" xr:uid="{DFC6AC78-D929-4BF1-9585-6F3B8EF41535}"/>
    <cellStyle name="Normal 4 2 2 4 3 5 2 2 4" xfId="34732" xr:uid="{7E49FBF8-4E20-4F40-9E79-1A82C472C72C}"/>
    <cellStyle name="Normal 4 2 2 4 3 5 2 3" xfId="13634" xr:uid="{D143B5C4-F5FB-406A-A940-30C5973C84DD}"/>
    <cellStyle name="Normal 4 2 2 4 3 5 2 4" xfId="22075" xr:uid="{6FACF736-3936-4657-BED2-9BDFB1B8C170}"/>
    <cellStyle name="Normal 4 2 2 4 3 5 2 5" xfId="30515" xr:uid="{04BE025B-25A9-4E57-89E1-015B3FE2DBE9}"/>
    <cellStyle name="Normal 4 2 2 4 3 5 3" xfId="6380" xr:uid="{00000000-0005-0000-0000-0000CB120000}"/>
    <cellStyle name="Normal 4 2 2 4 3 5 3 2" xfId="15706" xr:uid="{AA6A76FC-5A60-4FE4-B115-5D9221B3C577}"/>
    <cellStyle name="Normal 4 2 2 4 3 5 3 3" xfId="24147" xr:uid="{9344C901-EFB3-4A1A-880D-8A36DAB4EC3C}"/>
    <cellStyle name="Normal 4 2 2 4 3 5 3 4" xfId="32587" xr:uid="{EC20EB6D-BC6A-4ECC-8C2B-40DA6289BF01}"/>
    <cellStyle name="Normal 4 2 2 4 3 5 4" xfId="11489" xr:uid="{118F8561-02B3-4A32-BEA5-1F43CCC9A262}"/>
    <cellStyle name="Normal 4 2 2 4 3 5 5" xfId="19930" xr:uid="{B145D997-FFDB-4D82-8163-F8D9A6850CF7}"/>
    <cellStyle name="Normal 4 2 2 4 3 5 6" xfId="28370" xr:uid="{9F0AAD63-4347-4F48-9F42-357D3F63BB3D}"/>
    <cellStyle name="Normal 4 2 2 4 3 6" xfId="2510" xr:uid="{00000000-0005-0000-0000-0000CC120000}"/>
    <cellStyle name="Normal 4 2 2 4 3 6 2" xfId="6793" xr:uid="{00000000-0005-0000-0000-0000CD120000}"/>
    <cellStyle name="Normal 4 2 2 4 3 6 2 2" xfId="16119" xr:uid="{B0E9407B-C2BF-4C9D-9538-1E5C0F77734E}"/>
    <cellStyle name="Normal 4 2 2 4 3 6 2 3" xfId="24560" xr:uid="{B8FD0351-674E-4471-AB03-80C9EB2FAE70}"/>
    <cellStyle name="Normal 4 2 2 4 3 6 2 4" xfId="33000" xr:uid="{A5DF9A0E-7CF1-44B6-9C55-6AE2EA7AC354}"/>
    <cellStyle name="Normal 4 2 2 4 3 6 3" xfId="11902" xr:uid="{7B672AFC-3F62-49C1-B3F0-0EF857FE534A}"/>
    <cellStyle name="Normal 4 2 2 4 3 6 4" xfId="20343" xr:uid="{F0CF3444-2D80-4B40-B69D-6F4D23419EFB}"/>
    <cellStyle name="Normal 4 2 2 4 3 6 5" xfId="28783" xr:uid="{211388D6-02BA-4ADE-A235-CA42B09079DD}"/>
    <cellStyle name="Normal 4 2 2 4 3 7" xfId="4728" xr:uid="{00000000-0005-0000-0000-0000CE120000}"/>
    <cellStyle name="Normal 4 2 2 4 3 7 2" xfId="14054" xr:uid="{2D38B96B-B9BD-41B0-A338-493097F26F65}"/>
    <cellStyle name="Normal 4 2 2 4 3 7 3" xfId="22495" xr:uid="{B7131C04-2C18-4918-BF2B-460BB7C39786}"/>
    <cellStyle name="Normal 4 2 2 4 3 7 4" xfId="30935" xr:uid="{92965805-14AF-4F7F-809D-F33AF9FA5E78}"/>
    <cellStyle name="Normal 4 2 2 4 3 8" xfId="9025" xr:uid="{436CB353-A916-4AB2-B5E2-8C1BDAEA1182}"/>
    <cellStyle name="Normal 4 2 2 4 3 9" xfId="9837" xr:uid="{A748065D-06DF-405C-97C5-2BAC0688B613}"/>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12B14A5A-D511-4BED-AAF6-E243D3757FA4}"/>
    <cellStyle name="Normal 4 2 2 4 4 2 2 3" xfId="25050" xr:uid="{28D92D09-57F2-4010-93DD-7FC2AACA0B95}"/>
    <cellStyle name="Normal 4 2 2 4 4 2 2 4" xfId="33490" xr:uid="{972613C2-CD78-4915-AF0C-7E166BCF13E0}"/>
    <cellStyle name="Normal 4 2 2 4 4 2 3" xfId="12392" xr:uid="{39BA5525-6BF6-4BFB-8ADB-96D7CDBB72DD}"/>
    <cellStyle name="Normal 4 2 2 4 4 2 4" xfId="20833" xr:uid="{135140A2-2E6C-4AA7-822F-E22E59BA26B6}"/>
    <cellStyle name="Normal 4 2 2 4 4 2 5" xfId="29273" xr:uid="{FE778249-50BC-49A9-BA4E-8BBD45A98A4A}"/>
    <cellStyle name="Normal 4 2 2 4 4 3" xfId="5138" xr:uid="{00000000-0005-0000-0000-0000D2120000}"/>
    <cellStyle name="Normal 4 2 2 4 4 3 2" xfId="14464" xr:uid="{353EEAB8-F8E1-4E38-86ED-1B00D89FC18D}"/>
    <cellStyle name="Normal 4 2 2 4 4 3 3" xfId="22905" xr:uid="{8101C91E-10A3-4237-A605-9C9ACE8258C2}"/>
    <cellStyle name="Normal 4 2 2 4 4 3 4" xfId="31345" xr:uid="{4CF29048-65C2-4F86-9219-9ECD4736A2F6}"/>
    <cellStyle name="Normal 4 2 2 4 4 4" xfId="9243" xr:uid="{FD46A281-F5BE-478B-950E-209D1D56FC0E}"/>
    <cellStyle name="Normal 4 2 2 4 4 5" xfId="10247" xr:uid="{9493C6FA-49B4-4B77-A623-38C75F9A6014}"/>
    <cellStyle name="Normal 4 2 2 4 4 6" xfId="18688" xr:uid="{8869C043-6FCE-4031-9503-DBB673647F11}"/>
    <cellStyle name="Normal 4 2 2 4 4 7" xfId="27128" xr:uid="{E40F1AFF-7AEA-4AFC-B554-A4156345E338}"/>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C9C99C60-88B8-46ED-9DBE-B0542F116700}"/>
    <cellStyle name="Normal 4 2 2 4 5 2 2 3" xfId="25463" xr:uid="{E37FC35C-16B9-4EEB-A510-D48F34BDDB10}"/>
    <cellStyle name="Normal 4 2 2 4 5 2 2 4" xfId="33903" xr:uid="{AD23EF5C-A591-438B-8762-EB8F20D1C8DB}"/>
    <cellStyle name="Normal 4 2 2 4 5 2 3" xfId="12805" xr:uid="{63D60AA1-D830-492B-81B8-596162084EF2}"/>
    <cellStyle name="Normal 4 2 2 4 5 2 4" xfId="21246" xr:uid="{CCCC504A-AF07-4C97-AE38-80E0D5CA4633}"/>
    <cellStyle name="Normal 4 2 2 4 5 2 5" xfId="29686" xr:uid="{18EBF684-16A0-4213-8815-68063913CBCA}"/>
    <cellStyle name="Normal 4 2 2 4 5 3" xfId="5551" xr:uid="{00000000-0005-0000-0000-0000D6120000}"/>
    <cellStyle name="Normal 4 2 2 4 5 3 2" xfId="14877" xr:uid="{52EE7CF7-0392-4C4F-911D-C249FE0B02D1}"/>
    <cellStyle name="Normal 4 2 2 4 5 3 3" xfId="23318" xr:uid="{48657B8E-1473-436B-9142-17BDF5A57185}"/>
    <cellStyle name="Normal 4 2 2 4 5 3 4" xfId="31758" xr:uid="{56804B16-A5FC-4ECC-A941-0A6C016F7CCC}"/>
    <cellStyle name="Normal 4 2 2 4 5 4" xfId="10660" xr:uid="{645A2779-0465-417A-A4BA-CC0FDEC0A699}"/>
    <cellStyle name="Normal 4 2 2 4 5 5" xfId="19101" xr:uid="{9FB56E83-8C86-4E3D-AEEA-60FACFC9FFA5}"/>
    <cellStyle name="Normal 4 2 2 4 5 6" xfId="27541" xr:uid="{25184B84-29C8-4DD6-8E53-D60EF0DB4991}"/>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390E59CC-550E-49DD-B846-EDD521C5AC1B}"/>
    <cellStyle name="Normal 4 2 2 4 6 2 2 3" xfId="25876" xr:uid="{F7E47575-60D2-4975-82AE-14754ED0D74B}"/>
    <cellStyle name="Normal 4 2 2 4 6 2 2 4" xfId="34316" xr:uid="{4CE58443-DF02-4150-A759-92839F307FC8}"/>
    <cellStyle name="Normal 4 2 2 4 6 2 3" xfId="13218" xr:uid="{C4069771-D878-49BA-91BC-3FC5C90B413E}"/>
    <cellStyle name="Normal 4 2 2 4 6 2 4" xfId="21659" xr:uid="{5A75E200-FCA7-472F-98AA-0D23E6567210}"/>
    <cellStyle name="Normal 4 2 2 4 6 2 5" xfId="30099" xr:uid="{26D9620A-B445-48B6-9A34-8F81F76A4AD7}"/>
    <cellStyle name="Normal 4 2 2 4 6 3" xfId="5964" xr:uid="{00000000-0005-0000-0000-0000DA120000}"/>
    <cellStyle name="Normal 4 2 2 4 6 3 2" xfId="15290" xr:uid="{EE3617FA-A8A6-482F-B206-E853167E1ECB}"/>
    <cellStyle name="Normal 4 2 2 4 6 3 3" xfId="23731" xr:uid="{7F067C32-2A81-4153-9ABB-C0B931F13804}"/>
    <cellStyle name="Normal 4 2 2 4 6 3 4" xfId="32171" xr:uid="{98BB2A34-7689-458B-84E7-3A4C8B46403D}"/>
    <cellStyle name="Normal 4 2 2 4 6 4" xfId="11073" xr:uid="{56B73BDF-DB5D-4488-A1E4-C8A301D47954}"/>
    <cellStyle name="Normal 4 2 2 4 6 5" xfId="19514" xr:uid="{CF4712FE-9C9E-4925-B357-B379058AB48D}"/>
    <cellStyle name="Normal 4 2 2 4 6 6" xfId="27954" xr:uid="{0DA34C36-0943-43A8-B9E9-CD4F97C7EF69}"/>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4581A1E6-45EA-4817-9A3C-40D8F7999B69}"/>
    <cellStyle name="Normal 4 2 2 4 7 2 2 3" xfId="26289" xr:uid="{A65A6914-A4D8-48E5-83E1-32E69E937671}"/>
    <cellStyle name="Normal 4 2 2 4 7 2 2 4" xfId="34729" xr:uid="{3971BA96-477A-4AF2-BBB9-4BF57270E0E3}"/>
    <cellStyle name="Normal 4 2 2 4 7 2 3" xfId="13631" xr:uid="{6F3B3D95-9033-460B-9BBF-40BA8CE396F3}"/>
    <cellStyle name="Normal 4 2 2 4 7 2 4" xfId="22072" xr:uid="{10A7F36F-FA03-4FD2-AFA9-C0A6377490A5}"/>
    <cellStyle name="Normal 4 2 2 4 7 2 5" xfId="30512" xr:uid="{628772AE-C2B5-490C-9917-FF6DF8461CE0}"/>
    <cellStyle name="Normal 4 2 2 4 7 3" xfId="6377" xr:uid="{00000000-0005-0000-0000-0000DE120000}"/>
    <cellStyle name="Normal 4 2 2 4 7 3 2" xfId="15703" xr:uid="{AFEBA17A-9DF0-4A91-8431-1A938F77DDBF}"/>
    <cellStyle name="Normal 4 2 2 4 7 3 3" xfId="24144" xr:uid="{27F4086C-0D14-47A5-AF01-6156963030D2}"/>
    <cellStyle name="Normal 4 2 2 4 7 3 4" xfId="32584" xr:uid="{D1323021-EE9E-4EA9-A4D7-2C4992C50E64}"/>
    <cellStyle name="Normal 4 2 2 4 7 4" xfId="11486" xr:uid="{54FBA8AD-6164-4CE7-AC18-201850301E5D}"/>
    <cellStyle name="Normal 4 2 2 4 7 5" xfId="19927" xr:uid="{C00268B7-2151-40BC-9EE3-B4B3EB3A911F}"/>
    <cellStyle name="Normal 4 2 2 4 7 6" xfId="28367" xr:uid="{F50CF249-3897-4152-9A5A-6C4B4D5BB114}"/>
    <cellStyle name="Normal 4 2 2 4 8" xfId="2507" xr:uid="{00000000-0005-0000-0000-0000DF120000}"/>
    <cellStyle name="Normal 4 2 2 4 8 2" xfId="6790" xr:uid="{00000000-0005-0000-0000-0000E0120000}"/>
    <cellStyle name="Normal 4 2 2 4 8 2 2" xfId="16116" xr:uid="{A16464EA-4BD6-4449-880A-FC28F1D181B0}"/>
    <cellStyle name="Normal 4 2 2 4 8 2 3" xfId="24557" xr:uid="{93149A8B-A486-4900-965A-0BD5CA1816C6}"/>
    <cellStyle name="Normal 4 2 2 4 8 2 4" xfId="32997" xr:uid="{2442F6A1-CD1D-4F8D-99A0-EE4D6EF1F557}"/>
    <cellStyle name="Normal 4 2 2 4 8 3" xfId="11899" xr:uid="{82F8AA1C-78AF-4F95-AAFA-9B2699D125BB}"/>
    <cellStyle name="Normal 4 2 2 4 8 4" xfId="20340" xr:uid="{04FBDA40-F3DC-48AD-B717-4B1740C022D2}"/>
    <cellStyle name="Normal 4 2 2 4 8 5" xfId="28780" xr:uid="{D9F61260-074A-48A6-ADAA-8EB0069131B5}"/>
    <cellStyle name="Normal 4 2 2 4 9" xfId="4725" xr:uid="{00000000-0005-0000-0000-0000E1120000}"/>
    <cellStyle name="Normal 4 2 2 4 9 2" xfId="14051" xr:uid="{94C30F16-4C14-49BC-BAE0-C96A695EF619}"/>
    <cellStyle name="Normal 4 2 2 4 9 3" xfId="22492" xr:uid="{291D48E4-D6E3-4DEC-B96C-8A3FD64CBB8C}"/>
    <cellStyle name="Normal 4 2 2 4 9 4" xfId="30932" xr:uid="{2C6249BD-0D10-4F1D-863D-3CA9959BA343}"/>
    <cellStyle name="Normal 4 2 2 5" xfId="351" xr:uid="{00000000-0005-0000-0000-0000E2120000}"/>
    <cellStyle name="Normal 4 2 2 5 10" xfId="9838" xr:uid="{AB07917F-0D39-44C7-9BB9-836849C0A708}"/>
    <cellStyle name="Normal 4 2 2 5 11" xfId="18279" xr:uid="{87D26D90-BEC6-48FC-BD3F-29116AC68048}"/>
    <cellStyle name="Normal 4 2 2 5 12" xfId="26719" xr:uid="{97F7B34F-114F-4037-AF3C-A24CB6965E8E}"/>
    <cellStyle name="Normal 4 2 2 5 2" xfId="352" xr:uid="{00000000-0005-0000-0000-0000E3120000}"/>
    <cellStyle name="Normal 4 2 2 5 2 10" xfId="18280" xr:uid="{C749586E-59D1-4F30-8F70-052D1AEA8BD5}"/>
    <cellStyle name="Normal 4 2 2 5 2 11" xfId="26720" xr:uid="{BCFE239C-9AEA-45B5-9791-5DC459F188EC}"/>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067C9D95-9D39-454C-A676-6EE09F3DFE2B}"/>
    <cellStyle name="Normal 4 2 2 5 2 2 2 2 3" xfId="25055" xr:uid="{8A260F8E-2974-4C64-8C7B-9FBCDA1587B4}"/>
    <cellStyle name="Normal 4 2 2 5 2 2 2 2 4" xfId="33495" xr:uid="{95193433-0CC7-45E9-8F7D-E134A3CAA91A}"/>
    <cellStyle name="Normal 4 2 2 5 2 2 2 3" xfId="12397" xr:uid="{B67ED759-228B-439C-8F3D-B1643DE91456}"/>
    <cellStyle name="Normal 4 2 2 5 2 2 2 4" xfId="20838" xr:uid="{28021647-E44B-4FC0-9C9B-8EC34D45FD9C}"/>
    <cellStyle name="Normal 4 2 2 5 2 2 2 5" xfId="29278" xr:uid="{AE1A0896-AB4D-4745-927D-9E305ACBC012}"/>
    <cellStyle name="Normal 4 2 2 5 2 2 3" xfId="5143" xr:uid="{00000000-0005-0000-0000-0000E7120000}"/>
    <cellStyle name="Normal 4 2 2 5 2 2 3 2" xfId="14469" xr:uid="{F54584FB-F251-4C4E-B047-DB5C4E996741}"/>
    <cellStyle name="Normal 4 2 2 5 2 2 3 3" xfId="22910" xr:uid="{25960B2D-6701-4429-A89E-E576C372F7B3}"/>
    <cellStyle name="Normal 4 2 2 5 2 2 3 4" xfId="31350" xr:uid="{F90198D7-10FC-4F41-A08B-5A60C6C0802C}"/>
    <cellStyle name="Normal 4 2 2 5 2 2 4" xfId="9487" xr:uid="{83D2756E-B983-4EA9-AB48-FF4D3E821CE4}"/>
    <cellStyle name="Normal 4 2 2 5 2 2 5" xfId="10252" xr:uid="{8298DFE6-9429-4739-8870-C8C9B1C51673}"/>
    <cellStyle name="Normal 4 2 2 5 2 2 6" xfId="18693" xr:uid="{945EF396-1721-466F-8787-73A3092BD929}"/>
    <cellStyle name="Normal 4 2 2 5 2 2 7" xfId="27133" xr:uid="{10724804-E957-471B-874A-967B61ACCB81}"/>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E859B2DC-EB50-4794-81D1-A0B615ED7E5E}"/>
    <cellStyle name="Normal 4 2 2 5 2 3 2 2 3" xfId="25468" xr:uid="{F8BBEBDC-C513-418D-9C4B-BACEB763D900}"/>
    <cellStyle name="Normal 4 2 2 5 2 3 2 2 4" xfId="33908" xr:uid="{CFF566DE-9309-4E00-AFF0-B307BFF89519}"/>
    <cellStyle name="Normal 4 2 2 5 2 3 2 3" xfId="12810" xr:uid="{C180545F-0BD7-41ED-BADF-57DB0C733AC7}"/>
    <cellStyle name="Normal 4 2 2 5 2 3 2 4" xfId="21251" xr:uid="{861703D0-D23B-4DE2-965F-0F97DA375737}"/>
    <cellStyle name="Normal 4 2 2 5 2 3 2 5" xfId="29691" xr:uid="{81C66C17-CA79-4AED-BCF9-BF0D3B65DB7D}"/>
    <cellStyle name="Normal 4 2 2 5 2 3 3" xfId="5556" xr:uid="{00000000-0005-0000-0000-0000EB120000}"/>
    <cellStyle name="Normal 4 2 2 5 2 3 3 2" xfId="14882" xr:uid="{6193BCBF-7B4A-454E-AA62-F3C0B012F645}"/>
    <cellStyle name="Normal 4 2 2 5 2 3 3 3" xfId="23323" xr:uid="{A3A8C1FD-4F2A-4098-9E51-3ACD976010EB}"/>
    <cellStyle name="Normal 4 2 2 5 2 3 3 4" xfId="31763" xr:uid="{AFF5521F-4203-4F23-BBA1-89723C35AD85}"/>
    <cellStyle name="Normal 4 2 2 5 2 3 4" xfId="10665" xr:uid="{E13144CA-90FB-4705-BFFF-40262C47D7A8}"/>
    <cellStyle name="Normal 4 2 2 5 2 3 5" xfId="19106" xr:uid="{90A86F72-49FC-4876-9886-A581E8D5CE54}"/>
    <cellStyle name="Normal 4 2 2 5 2 3 6" xfId="27546" xr:uid="{BCA6666C-2E1B-4E06-AEB8-12F23D425203}"/>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69B8591B-26A4-4C8D-842C-31259CF17C09}"/>
    <cellStyle name="Normal 4 2 2 5 2 4 2 2 3" xfId="25881" xr:uid="{1505FD2D-5BD8-456E-82A3-6FF28CD4B665}"/>
    <cellStyle name="Normal 4 2 2 5 2 4 2 2 4" xfId="34321" xr:uid="{9A0D0C36-0955-4241-9834-FF38D40AAFCD}"/>
    <cellStyle name="Normal 4 2 2 5 2 4 2 3" xfId="13223" xr:uid="{1F6CF9C5-D921-4CA4-AF1C-0E90D6230D78}"/>
    <cellStyle name="Normal 4 2 2 5 2 4 2 4" xfId="21664" xr:uid="{70A8F7D0-A6D0-4FCC-BB37-B3E29D82241F}"/>
    <cellStyle name="Normal 4 2 2 5 2 4 2 5" xfId="30104" xr:uid="{705DFC28-B260-4B64-A0CA-F9AF7EFFDEF6}"/>
    <cellStyle name="Normal 4 2 2 5 2 4 3" xfId="5969" xr:uid="{00000000-0005-0000-0000-0000EF120000}"/>
    <cellStyle name="Normal 4 2 2 5 2 4 3 2" xfId="15295" xr:uid="{4B33D362-9D61-4BC7-BC8A-4E1278B80A93}"/>
    <cellStyle name="Normal 4 2 2 5 2 4 3 3" xfId="23736" xr:uid="{A8C08B14-337E-4258-99E1-7DE43D9A424F}"/>
    <cellStyle name="Normal 4 2 2 5 2 4 3 4" xfId="32176" xr:uid="{CF934341-0EA3-47D2-8211-C6832D8010EF}"/>
    <cellStyle name="Normal 4 2 2 5 2 4 4" xfId="11078" xr:uid="{D5C6C61F-BE22-4419-A397-C5EF0318AC39}"/>
    <cellStyle name="Normal 4 2 2 5 2 4 5" xfId="19519" xr:uid="{2BFD3746-1BEF-4CB8-A592-6303753F776E}"/>
    <cellStyle name="Normal 4 2 2 5 2 4 6" xfId="27959" xr:uid="{CB7BB369-7114-47C7-88D0-5DA38ECDA12F}"/>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AF668A4C-89FC-4E03-A8AC-A2EF79F980BF}"/>
    <cellStyle name="Normal 4 2 2 5 2 5 2 2 3" xfId="26294" xr:uid="{8BA45F21-5033-4863-936E-B7818EE22CD5}"/>
    <cellStyle name="Normal 4 2 2 5 2 5 2 2 4" xfId="34734" xr:uid="{4826AE2E-BC56-4ACB-9831-A80D4349BE3D}"/>
    <cellStyle name="Normal 4 2 2 5 2 5 2 3" xfId="13636" xr:uid="{C7848BCA-7264-4188-980E-E359E4782E62}"/>
    <cellStyle name="Normal 4 2 2 5 2 5 2 4" xfId="22077" xr:uid="{73343923-BABC-45EB-8E0B-832D9E71EA46}"/>
    <cellStyle name="Normal 4 2 2 5 2 5 2 5" xfId="30517" xr:uid="{4402A7FE-C9CD-4F22-938F-B0F3A0F6E7BE}"/>
    <cellStyle name="Normal 4 2 2 5 2 5 3" xfId="6382" xr:uid="{00000000-0005-0000-0000-0000F3120000}"/>
    <cellStyle name="Normal 4 2 2 5 2 5 3 2" xfId="15708" xr:uid="{688368DC-195C-4898-8A04-4CEC3D4D7797}"/>
    <cellStyle name="Normal 4 2 2 5 2 5 3 3" xfId="24149" xr:uid="{4B2BDE6B-36C2-4A5D-8C4F-33B2375BC8CE}"/>
    <cellStyle name="Normal 4 2 2 5 2 5 3 4" xfId="32589" xr:uid="{A2397A58-60B1-4127-9B30-8559E4061382}"/>
    <cellStyle name="Normal 4 2 2 5 2 5 4" xfId="11491" xr:uid="{29684601-B8D3-4952-BBAA-2627CCD453A5}"/>
    <cellStyle name="Normal 4 2 2 5 2 5 5" xfId="19932" xr:uid="{8189260F-DA49-4BD2-A716-F551E704AF31}"/>
    <cellStyle name="Normal 4 2 2 5 2 5 6" xfId="28372" xr:uid="{9D76F311-B0DD-4941-B881-F11225663250}"/>
    <cellStyle name="Normal 4 2 2 5 2 6" xfId="2512" xr:uid="{00000000-0005-0000-0000-0000F4120000}"/>
    <cellStyle name="Normal 4 2 2 5 2 6 2" xfId="6795" xr:uid="{00000000-0005-0000-0000-0000F5120000}"/>
    <cellStyle name="Normal 4 2 2 5 2 6 2 2" xfId="16121" xr:uid="{3B5B7510-7ABA-4A28-B7C6-0D869023CCA4}"/>
    <cellStyle name="Normal 4 2 2 5 2 6 2 3" xfId="24562" xr:uid="{141EBE24-31A6-4FD5-88FE-305F27663005}"/>
    <cellStyle name="Normal 4 2 2 5 2 6 2 4" xfId="33002" xr:uid="{B9D045D8-33F4-4AD4-AC90-E97A82D55308}"/>
    <cellStyle name="Normal 4 2 2 5 2 6 3" xfId="11904" xr:uid="{E3F442C9-F00B-42AD-B60B-948D35242BD4}"/>
    <cellStyle name="Normal 4 2 2 5 2 6 4" xfId="20345" xr:uid="{31B8F47B-5CD5-428D-BE59-AEC96674A47A}"/>
    <cellStyle name="Normal 4 2 2 5 2 6 5" xfId="28785" xr:uid="{7E0C197F-0890-4C5B-BCDD-838F33ED28F4}"/>
    <cellStyle name="Normal 4 2 2 5 2 7" xfId="4730" xr:uid="{00000000-0005-0000-0000-0000F6120000}"/>
    <cellStyle name="Normal 4 2 2 5 2 7 2" xfId="14056" xr:uid="{52E48C4D-5939-4609-9F67-6086F8A89392}"/>
    <cellStyle name="Normal 4 2 2 5 2 7 3" xfId="22497" xr:uid="{141FDAFC-D3D4-4FCD-B691-8A0187087235}"/>
    <cellStyle name="Normal 4 2 2 5 2 7 4" xfId="30937" xr:uid="{C62224F5-4753-4E83-B490-7FEB2A6ACCBB}"/>
    <cellStyle name="Normal 4 2 2 5 2 8" xfId="9062" xr:uid="{FED54422-C2E5-44B3-AA7C-C6088F47A385}"/>
    <cellStyle name="Normal 4 2 2 5 2 9" xfId="9839" xr:uid="{270CCF9F-4D48-47B0-AF7F-E079CC93CEC8}"/>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7CF9EC05-2536-40E1-9C5C-58DFD42F285F}"/>
    <cellStyle name="Normal 4 2 2 5 3 2 2 3" xfId="25054" xr:uid="{BED74A7D-4E42-458F-9DE5-E5CDCACE893B}"/>
    <cellStyle name="Normal 4 2 2 5 3 2 2 4" xfId="33494" xr:uid="{6B79C9BC-2DC2-4449-8117-76B16CB38491}"/>
    <cellStyle name="Normal 4 2 2 5 3 2 3" xfId="12396" xr:uid="{9B507A41-ECDC-4821-A5D1-D456ED1A8FE5}"/>
    <cellStyle name="Normal 4 2 2 5 3 2 4" xfId="20837" xr:uid="{492DA82A-A09E-4C3F-AEF6-DE37289994A3}"/>
    <cellStyle name="Normal 4 2 2 5 3 2 5" xfId="29277" xr:uid="{061FBD56-6246-4707-A1C5-716DD191BDE1}"/>
    <cellStyle name="Normal 4 2 2 5 3 3" xfId="5142" xr:uid="{00000000-0005-0000-0000-0000FA120000}"/>
    <cellStyle name="Normal 4 2 2 5 3 3 2" xfId="14468" xr:uid="{20B4F681-564B-4931-B68E-197881E342CA}"/>
    <cellStyle name="Normal 4 2 2 5 3 3 3" xfId="22909" xr:uid="{5837DC27-16F8-47D3-8873-30B2027DC1DE}"/>
    <cellStyle name="Normal 4 2 2 5 3 3 4" xfId="31349" xr:uid="{F0F2CFDE-8106-4202-8A13-B5854C1D9AA4}"/>
    <cellStyle name="Normal 4 2 2 5 3 4" xfId="9280" xr:uid="{C70B18D8-E279-4D37-82EF-3177E9FA554F}"/>
    <cellStyle name="Normal 4 2 2 5 3 5" xfId="10251" xr:uid="{6BE7AC08-6FBE-4664-BFD4-8C837EDD02B7}"/>
    <cellStyle name="Normal 4 2 2 5 3 6" xfId="18692" xr:uid="{CC2F4C43-8CCB-4FBE-BE43-5ACAF2B8049E}"/>
    <cellStyle name="Normal 4 2 2 5 3 7" xfId="27132" xr:uid="{629BFABC-6482-46D7-8ACA-520911E21D37}"/>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98559759-B4CB-4FC1-B38E-9A1E13C18AE6}"/>
    <cellStyle name="Normal 4 2 2 5 4 2 2 3" xfId="25467" xr:uid="{117635DC-8D0E-4340-A5B6-C60A6FD5E5CB}"/>
    <cellStyle name="Normal 4 2 2 5 4 2 2 4" xfId="33907" xr:uid="{9543EAB0-FFD1-4E83-BD32-026A2020A132}"/>
    <cellStyle name="Normal 4 2 2 5 4 2 3" xfId="12809" xr:uid="{4F304DC4-7BB2-4684-B4C5-E8066E6F0359}"/>
    <cellStyle name="Normal 4 2 2 5 4 2 4" xfId="21250" xr:uid="{BBA74265-4F74-416A-843F-348EB449B198}"/>
    <cellStyle name="Normal 4 2 2 5 4 2 5" xfId="29690" xr:uid="{259D545F-3364-4B23-B764-E5D3A79C8A89}"/>
    <cellStyle name="Normal 4 2 2 5 4 3" xfId="5555" xr:uid="{00000000-0005-0000-0000-0000FE120000}"/>
    <cellStyle name="Normal 4 2 2 5 4 3 2" xfId="14881" xr:uid="{889711A6-CED1-4D54-81C1-CAD50B15C8A8}"/>
    <cellStyle name="Normal 4 2 2 5 4 3 3" xfId="23322" xr:uid="{1F4D23FE-3504-4112-9051-832BC4431E7E}"/>
    <cellStyle name="Normal 4 2 2 5 4 3 4" xfId="31762" xr:uid="{A4425DED-7750-4BAA-8AD9-AEAD1EED5831}"/>
    <cellStyle name="Normal 4 2 2 5 4 4" xfId="10664" xr:uid="{06A1420F-12A6-4578-B6E9-63129A9A5FA4}"/>
    <cellStyle name="Normal 4 2 2 5 4 5" xfId="19105" xr:uid="{F7C19D5F-EDF8-4F83-B9FE-25E099AE9FC1}"/>
    <cellStyle name="Normal 4 2 2 5 4 6" xfId="27545" xr:uid="{B54D79C0-FE09-4915-A6CC-00EE01C1A1BD}"/>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B7453EE3-901E-4040-817F-91E4DA1D554E}"/>
    <cellStyle name="Normal 4 2 2 5 5 2 2 3" xfId="25880" xr:uid="{D703F296-AAA0-4944-95CA-679CB9CA4642}"/>
    <cellStyle name="Normal 4 2 2 5 5 2 2 4" xfId="34320" xr:uid="{1940D89E-0937-4CC1-9C31-420984771A74}"/>
    <cellStyle name="Normal 4 2 2 5 5 2 3" xfId="13222" xr:uid="{063C0084-65BA-42F5-8B42-D1EBE862859B}"/>
    <cellStyle name="Normal 4 2 2 5 5 2 4" xfId="21663" xr:uid="{3C4D1AE2-ACCF-4627-8009-FF5457EC7C44}"/>
    <cellStyle name="Normal 4 2 2 5 5 2 5" xfId="30103" xr:uid="{183E8619-0B45-4972-9293-39B950E4F122}"/>
    <cellStyle name="Normal 4 2 2 5 5 3" xfId="5968" xr:uid="{00000000-0005-0000-0000-000002130000}"/>
    <cellStyle name="Normal 4 2 2 5 5 3 2" xfId="15294" xr:uid="{E4F6FE7F-F31D-44AB-959A-B93D97F5F191}"/>
    <cellStyle name="Normal 4 2 2 5 5 3 3" xfId="23735" xr:uid="{64FF1FC1-A8A8-416E-99A5-80A8C91CCA7E}"/>
    <cellStyle name="Normal 4 2 2 5 5 3 4" xfId="32175" xr:uid="{86744417-2098-4364-8C00-577A1819D541}"/>
    <cellStyle name="Normal 4 2 2 5 5 4" xfId="11077" xr:uid="{76AD15E7-2D08-4496-BE78-FCB2DA956BE5}"/>
    <cellStyle name="Normal 4 2 2 5 5 5" xfId="19518" xr:uid="{15A492A5-EF69-43B5-AD27-32EA2E86E3D9}"/>
    <cellStyle name="Normal 4 2 2 5 5 6" xfId="27958" xr:uid="{4C9C3D6B-7C70-4F14-AF34-9DBE69461525}"/>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A3F810FC-4D43-45C9-ACD6-805E5FBF9793}"/>
    <cellStyle name="Normal 4 2 2 5 6 2 2 3" xfId="26293" xr:uid="{1E71C31E-A332-4140-BF0F-DFB7F6B2EBDC}"/>
    <cellStyle name="Normal 4 2 2 5 6 2 2 4" xfId="34733" xr:uid="{E6146B61-DEF8-4985-854D-1AA5A9AA3A26}"/>
    <cellStyle name="Normal 4 2 2 5 6 2 3" xfId="13635" xr:uid="{B3E20D10-D672-40F7-8252-CE0924BA8ED2}"/>
    <cellStyle name="Normal 4 2 2 5 6 2 4" xfId="22076" xr:uid="{964EEDC0-79F6-445F-9F67-D3E3CA582C73}"/>
    <cellStyle name="Normal 4 2 2 5 6 2 5" xfId="30516" xr:uid="{CCCAB93E-170F-4730-8AAD-D7BBDB0F27D8}"/>
    <cellStyle name="Normal 4 2 2 5 6 3" xfId="6381" xr:uid="{00000000-0005-0000-0000-000006130000}"/>
    <cellStyle name="Normal 4 2 2 5 6 3 2" xfId="15707" xr:uid="{69E7B895-D5CF-4F7F-B96C-C64CAD084BEF}"/>
    <cellStyle name="Normal 4 2 2 5 6 3 3" xfId="24148" xr:uid="{85189A83-A06D-49DE-90C6-647594224531}"/>
    <cellStyle name="Normal 4 2 2 5 6 3 4" xfId="32588" xr:uid="{83B914D3-AE6A-4B65-AECD-C2737B02D401}"/>
    <cellStyle name="Normal 4 2 2 5 6 4" xfId="11490" xr:uid="{EBD6ED19-71ED-483A-A102-27F30A0EAC33}"/>
    <cellStyle name="Normal 4 2 2 5 6 5" xfId="19931" xr:uid="{0CD931E8-8430-4009-A0AB-DA7172EF7BC9}"/>
    <cellStyle name="Normal 4 2 2 5 6 6" xfId="28371" xr:uid="{61ACDED4-D804-4365-8F75-594253E5B6D4}"/>
    <cellStyle name="Normal 4 2 2 5 7" xfId="2511" xr:uid="{00000000-0005-0000-0000-000007130000}"/>
    <cellStyle name="Normal 4 2 2 5 7 2" xfId="6794" xr:uid="{00000000-0005-0000-0000-000008130000}"/>
    <cellStyle name="Normal 4 2 2 5 7 2 2" xfId="16120" xr:uid="{A31DA4A3-52AB-49C7-8201-49CE27194F20}"/>
    <cellStyle name="Normal 4 2 2 5 7 2 3" xfId="24561" xr:uid="{715C0126-BA3A-4438-BDC6-04BBDBE1158F}"/>
    <cellStyle name="Normal 4 2 2 5 7 2 4" xfId="33001" xr:uid="{F5DB4AB5-43B9-4662-BAB5-BB18AFE832F9}"/>
    <cellStyle name="Normal 4 2 2 5 7 3" xfId="11903" xr:uid="{4BFE0C0E-DD69-474E-BAF1-EB07F8267473}"/>
    <cellStyle name="Normal 4 2 2 5 7 4" xfId="20344" xr:uid="{22BF0468-6E7C-419D-9338-D3BCE32A3AFD}"/>
    <cellStyle name="Normal 4 2 2 5 7 5" xfId="28784" xr:uid="{2C09DFE6-2524-4670-976D-71310FE46F91}"/>
    <cellStyle name="Normal 4 2 2 5 8" xfId="4729" xr:uid="{00000000-0005-0000-0000-000009130000}"/>
    <cellStyle name="Normal 4 2 2 5 8 2" xfId="14055" xr:uid="{8FC3378C-4001-44BA-9DF2-10CA7794E413}"/>
    <cellStyle name="Normal 4 2 2 5 8 3" xfId="22496" xr:uid="{55D173A8-79BD-46E0-B46F-233C86F18226}"/>
    <cellStyle name="Normal 4 2 2 5 8 4" xfId="30936" xr:uid="{575E622A-7269-49D7-A575-8C3A13D7930E}"/>
    <cellStyle name="Normal 4 2 2 5 9" xfId="8855" xr:uid="{894DEE8B-A5CD-4C4E-B41D-DCEB92717109}"/>
    <cellStyle name="Normal 4 2 2 6" xfId="353" xr:uid="{00000000-0005-0000-0000-00000A130000}"/>
    <cellStyle name="Normal 4 2 2 6 10" xfId="18281" xr:uid="{F5E62A1B-A962-4F64-89A2-0D986AB93026}"/>
    <cellStyle name="Normal 4 2 2 6 11" xfId="26721" xr:uid="{0607AB24-2603-442F-8D9D-3066477603CB}"/>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383F431E-51E6-4420-BE1C-C3A08B4BB856}"/>
    <cellStyle name="Normal 4 2 2 6 2 2 2 3" xfId="25056" xr:uid="{1B7A4E8D-A3A7-4577-8DEC-56D13B97D827}"/>
    <cellStyle name="Normal 4 2 2 6 2 2 2 4" xfId="33496" xr:uid="{8698794F-B76B-4F1C-ACDC-FC8941FFE0C1}"/>
    <cellStyle name="Normal 4 2 2 6 2 2 3" xfId="12398" xr:uid="{2037508E-9A72-4247-B6A6-919E425EC96F}"/>
    <cellStyle name="Normal 4 2 2 6 2 2 4" xfId="20839" xr:uid="{45F28587-5F13-470B-B382-7CBA7B53FDEE}"/>
    <cellStyle name="Normal 4 2 2 6 2 2 5" xfId="29279" xr:uid="{27130AD5-1073-446F-A7CF-64C32033167B}"/>
    <cellStyle name="Normal 4 2 2 6 2 3" xfId="5144" xr:uid="{00000000-0005-0000-0000-00000E130000}"/>
    <cellStyle name="Normal 4 2 2 6 2 3 2" xfId="14470" xr:uid="{5131E761-18FB-46A4-B61B-7CB2165742CF}"/>
    <cellStyle name="Normal 4 2 2 6 2 3 3" xfId="22911" xr:uid="{FBCD5418-A90E-4226-A20D-797A3C9ED472}"/>
    <cellStyle name="Normal 4 2 2 6 2 3 4" xfId="31351" xr:uid="{3200F738-F25F-46BE-BC6B-A364CEFB19A0}"/>
    <cellStyle name="Normal 4 2 2 6 2 4" xfId="9396" xr:uid="{5B10E6C6-987A-4149-BB81-321A07C7666F}"/>
    <cellStyle name="Normal 4 2 2 6 2 5" xfId="10253" xr:uid="{16AA63EE-806F-43DD-B37F-DCACB6985260}"/>
    <cellStyle name="Normal 4 2 2 6 2 6" xfId="18694" xr:uid="{44177121-9D2B-47ED-B00A-94A8F2CB88AC}"/>
    <cellStyle name="Normal 4 2 2 6 2 7" xfId="27134" xr:uid="{71417A34-84B4-4251-AA5D-70ACF1805C69}"/>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2E7BAF2E-B718-4147-8502-188B8C0DB73B}"/>
    <cellStyle name="Normal 4 2 2 6 3 2 2 3" xfId="25469" xr:uid="{4AAAC74C-CFEF-46B2-B4E4-64F39814F053}"/>
    <cellStyle name="Normal 4 2 2 6 3 2 2 4" xfId="33909" xr:uid="{DC9E620B-42A9-4D58-807F-B88CD1C6D9E5}"/>
    <cellStyle name="Normal 4 2 2 6 3 2 3" xfId="12811" xr:uid="{CB45A7FB-4EDC-495F-B3C8-82C0A7E9DA72}"/>
    <cellStyle name="Normal 4 2 2 6 3 2 4" xfId="21252" xr:uid="{1E7B16BF-1DF9-43E0-A48C-41C7717286BE}"/>
    <cellStyle name="Normal 4 2 2 6 3 2 5" xfId="29692" xr:uid="{D66D88EF-76F7-411F-8F6A-0F52EF51974B}"/>
    <cellStyle name="Normal 4 2 2 6 3 3" xfId="5557" xr:uid="{00000000-0005-0000-0000-000012130000}"/>
    <cellStyle name="Normal 4 2 2 6 3 3 2" xfId="14883" xr:uid="{8D888CF9-6C67-4F75-8943-4C32415B732E}"/>
    <cellStyle name="Normal 4 2 2 6 3 3 3" xfId="23324" xr:uid="{F8874534-3C93-40DD-A5D8-20277ED304CB}"/>
    <cellStyle name="Normal 4 2 2 6 3 3 4" xfId="31764" xr:uid="{2A828734-53AB-440B-8959-95F7A61E2D43}"/>
    <cellStyle name="Normal 4 2 2 6 3 4" xfId="10666" xr:uid="{0C94518C-E40B-404D-8771-08129B92E6EC}"/>
    <cellStyle name="Normal 4 2 2 6 3 5" xfId="19107" xr:uid="{C48E3F34-1C75-4272-8298-90FAF5521BCF}"/>
    <cellStyle name="Normal 4 2 2 6 3 6" xfId="27547" xr:uid="{8A202271-FF6B-4495-BF12-4873E05C8AAA}"/>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5AA10DAB-DF7A-4037-B125-D66700B101DC}"/>
    <cellStyle name="Normal 4 2 2 6 4 2 2 3" xfId="25882" xr:uid="{DFFB4144-7CD0-46D4-91AE-555011E69C26}"/>
    <cellStyle name="Normal 4 2 2 6 4 2 2 4" xfId="34322" xr:uid="{463C195C-B6E7-418C-B059-3BCEE950135D}"/>
    <cellStyle name="Normal 4 2 2 6 4 2 3" xfId="13224" xr:uid="{722C9622-34C4-4BB1-B07D-5C1E2AB31661}"/>
    <cellStyle name="Normal 4 2 2 6 4 2 4" xfId="21665" xr:uid="{640525E6-3988-4631-B713-5CD2BB30D196}"/>
    <cellStyle name="Normal 4 2 2 6 4 2 5" xfId="30105" xr:uid="{011A2CA8-57A4-4B60-8F21-ACFD0E1698C6}"/>
    <cellStyle name="Normal 4 2 2 6 4 3" xfId="5970" xr:uid="{00000000-0005-0000-0000-000016130000}"/>
    <cellStyle name="Normal 4 2 2 6 4 3 2" xfId="15296" xr:uid="{3EB9DC47-76E2-4FA0-85CA-52A0290B6281}"/>
    <cellStyle name="Normal 4 2 2 6 4 3 3" xfId="23737" xr:uid="{BF4A5C66-EA10-4B08-B806-86641404B2E9}"/>
    <cellStyle name="Normal 4 2 2 6 4 3 4" xfId="32177" xr:uid="{C3531E7E-FDBF-43BE-AD4F-71DB466F06AF}"/>
    <cellStyle name="Normal 4 2 2 6 4 4" xfId="11079" xr:uid="{AEB30F16-580C-40C3-84ED-415990332676}"/>
    <cellStyle name="Normal 4 2 2 6 4 5" xfId="19520" xr:uid="{5B248ADF-71D2-440F-9EA1-325BD340DAA7}"/>
    <cellStyle name="Normal 4 2 2 6 4 6" xfId="27960" xr:uid="{AEB46B5D-81B1-4F83-8B14-76E0D16674D6}"/>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DD3FCAC8-DFF6-4341-BA75-6A3035F9A8FB}"/>
    <cellStyle name="Normal 4 2 2 6 5 2 2 3" xfId="26295" xr:uid="{7A685508-50A7-42FC-8BFC-295854DAD5C6}"/>
    <cellStyle name="Normal 4 2 2 6 5 2 2 4" xfId="34735" xr:uid="{300BAE7B-CFE5-4E9B-9CD9-E978559D2EBC}"/>
    <cellStyle name="Normal 4 2 2 6 5 2 3" xfId="13637" xr:uid="{F4CF7F22-6BED-4673-AD1E-C90FB64048D1}"/>
    <cellStyle name="Normal 4 2 2 6 5 2 4" xfId="22078" xr:uid="{EBBE5F0D-463F-4582-8681-C1ACE3DE70FE}"/>
    <cellStyle name="Normal 4 2 2 6 5 2 5" xfId="30518" xr:uid="{3BC0C270-0177-4BD5-BE32-67E433F10DD4}"/>
    <cellStyle name="Normal 4 2 2 6 5 3" xfId="6383" xr:uid="{00000000-0005-0000-0000-00001A130000}"/>
    <cellStyle name="Normal 4 2 2 6 5 3 2" xfId="15709" xr:uid="{5B6EB6FB-465D-413E-9D15-12962B3DBFD2}"/>
    <cellStyle name="Normal 4 2 2 6 5 3 3" xfId="24150" xr:uid="{2BD67729-1942-4644-88FE-55A8C10C469A}"/>
    <cellStyle name="Normal 4 2 2 6 5 3 4" xfId="32590" xr:uid="{47D99170-5E0E-4C81-B3B2-352F3B813895}"/>
    <cellStyle name="Normal 4 2 2 6 5 4" xfId="11492" xr:uid="{5B939B2D-E5B5-47A7-9418-AD6329C8BBCE}"/>
    <cellStyle name="Normal 4 2 2 6 5 5" xfId="19933" xr:uid="{A7CCF88F-1FB1-49FF-9C62-61BD55E65125}"/>
    <cellStyle name="Normal 4 2 2 6 5 6" xfId="28373" xr:uid="{75ECEE5C-408E-46C2-A042-6D76DF506241}"/>
    <cellStyle name="Normal 4 2 2 6 6" xfId="2513" xr:uid="{00000000-0005-0000-0000-00001B130000}"/>
    <cellStyle name="Normal 4 2 2 6 6 2" xfId="6796" xr:uid="{00000000-0005-0000-0000-00001C130000}"/>
    <cellStyle name="Normal 4 2 2 6 6 2 2" xfId="16122" xr:uid="{1D7C25C6-DCFA-4567-9875-A20392280B21}"/>
    <cellStyle name="Normal 4 2 2 6 6 2 3" xfId="24563" xr:uid="{E3DD01C1-FAB3-448F-A6DE-1E50A5DA4805}"/>
    <cellStyle name="Normal 4 2 2 6 6 2 4" xfId="33003" xr:uid="{1297DCFF-5B5C-4756-8466-EFA2874F4D6E}"/>
    <cellStyle name="Normal 4 2 2 6 6 3" xfId="11905" xr:uid="{FECC0020-918C-40B3-B1C9-25A8C378EFA8}"/>
    <cellStyle name="Normal 4 2 2 6 6 4" xfId="20346" xr:uid="{F96BB881-7117-4C03-B3C3-A337915EBE13}"/>
    <cellStyle name="Normal 4 2 2 6 6 5" xfId="28786" xr:uid="{BFE90BF8-0100-443B-8C61-A4D002D74454}"/>
    <cellStyle name="Normal 4 2 2 6 7" xfId="4731" xr:uid="{00000000-0005-0000-0000-00001D130000}"/>
    <cellStyle name="Normal 4 2 2 6 7 2" xfId="14057" xr:uid="{0CE93980-0652-4FE6-8A54-3DECEA69A413}"/>
    <cellStyle name="Normal 4 2 2 6 7 3" xfId="22498" xr:uid="{C6EEA192-AAFC-40D7-AC63-02219268800D}"/>
    <cellStyle name="Normal 4 2 2 6 7 4" xfId="30938" xr:uid="{DFACAE6D-711D-499F-A77F-4DBBF51E6DF4}"/>
    <cellStyle name="Normal 4 2 2 6 8" xfId="8971" xr:uid="{7BBA3CD4-2D32-439A-A2D5-9F7EB5E5A47E}"/>
    <cellStyle name="Normal 4 2 2 6 9" xfId="9840" xr:uid="{EF15C4DC-EE79-4D2F-A90F-A6CFACE2B525}"/>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BABC7C29-257B-4C85-9D80-80BF1403347F}"/>
    <cellStyle name="Normal 4 2 2 7 2 2 3" xfId="25041" xr:uid="{68C33BA3-24DA-49DD-853D-9059EA692F71}"/>
    <cellStyle name="Normal 4 2 2 7 2 2 4" xfId="33481" xr:uid="{F2605A02-F67C-4C93-9A6E-2B3C99387504}"/>
    <cellStyle name="Normal 4 2 2 7 2 3" xfId="12383" xr:uid="{1F82C02E-71CB-4A16-A65F-01A418836675}"/>
    <cellStyle name="Normal 4 2 2 7 2 4" xfId="20824" xr:uid="{79DCC249-33D2-47A3-A9BB-2720E7B5DEB8}"/>
    <cellStyle name="Normal 4 2 2 7 2 5" xfId="29264" xr:uid="{E4CBE722-E628-4128-BF95-F425CD801C5F}"/>
    <cellStyle name="Normal 4 2 2 7 3" xfId="5129" xr:uid="{00000000-0005-0000-0000-000021130000}"/>
    <cellStyle name="Normal 4 2 2 7 3 2" xfId="14455" xr:uid="{1784155B-BAD7-429E-B849-449D576364F1}"/>
    <cellStyle name="Normal 4 2 2 7 3 3" xfId="22896" xr:uid="{15A8077B-80D8-4954-9CE4-D67DD2F5C7E8}"/>
    <cellStyle name="Normal 4 2 2 7 3 4" xfId="31336" xr:uid="{D3F13F26-1E4E-4441-B446-1E2D0628D78C}"/>
    <cellStyle name="Normal 4 2 2 7 4" xfId="9174" xr:uid="{5FB177AF-8B2E-4B7E-A1B7-4F6E323AF880}"/>
    <cellStyle name="Normal 4 2 2 7 5" xfId="10238" xr:uid="{2069B40F-D4C6-460A-9A7F-942F454D56F9}"/>
    <cellStyle name="Normal 4 2 2 7 6" xfId="18679" xr:uid="{FF823B7C-30B0-4C4F-9A0E-D687DDC1C134}"/>
    <cellStyle name="Normal 4 2 2 7 7" xfId="27119" xr:uid="{B5AA9C1E-AD10-4327-BAAF-A217B71011C3}"/>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6E0DDBB2-6C6D-4732-965D-E9E213BAB87E}"/>
    <cellStyle name="Normal 4 2 2 8 2 2 3" xfId="25454" xr:uid="{9757B968-7981-495D-A79C-CE42721472F4}"/>
    <cellStyle name="Normal 4 2 2 8 2 2 4" xfId="33894" xr:uid="{73483C95-CF80-4989-863C-46A6A2462C3B}"/>
    <cellStyle name="Normal 4 2 2 8 2 3" xfId="12796" xr:uid="{E9DDA7B8-74A9-4493-801A-71AB54069708}"/>
    <cellStyle name="Normal 4 2 2 8 2 4" xfId="21237" xr:uid="{49FBD445-E3A9-43CC-8BFD-D4BD377FB7DD}"/>
    <cellStyle name="Normal 4 2 2 8 2 5" xfId="29677" xr:uid="{04790A87-AB7D-46B0-92BF-6950520B5212}"/>
    <cellStyle name="Normal 4 2 2 8 3" xfId="5542" xr:uid="{00000000-0005-0000-0000-000025130000}"/>
    <cellStyle name="Normal 4 2 2 8 3 2" xfId="14868" xr:uid="{ACD64495-BEE2-41B0-A010-0389A8B60F3D}"/>
    <cellStyle name="Normal 4 2 2 8 3 3" xfId="23309" xr:uid="{77F1A7E4-3A05-439D-A437-4F87B6C940A8}"/>
    <cellStyle name="Normal 4 2 2 8 3 4" xfId="31749" xr:uid="{8D359D32-BE6B-4562-9786-52DF9C7CE804}"/>
    <cellStyle name="Normal 4 2 2 8 4" xfId="10651" xr:uid="{3BD194F0-0D2D-4574-9BC8-992B1F4A9155}"/>
    <cellStyle name="Normal 4 2 2 8 5" xfId="19092" xr:uid="{0A50E8D4-BE70-458C-8522-0AB9B307C582}"/>
    <cellStyle name="Normal 4 2 2 8 6" xfId="27532" xr:uid="{A1C5E8E4-6C36-48AB-A0BE-B87CF6828864}"/>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F85911D2-5265-453A-B3DD-2BCD7AE47C73}"/>
    <cellStyle name="Normal 4 2 2 9 2 2 3" xfId="25867" xr:uid="{5A5D47B5-B359-4A65-BEF2-40DC247AEA1D}"/>
    <cellStyle name="Normal 4 2 2 9 2 2 4" xfId="34307" xr:uid="{877D6E80-CA87-43C9-8AB3-D27362ECC228}"/>
    <cellStyle name="Normal 4 2 2 9 2 3" xfId="13209" xr:uid="{342020E2-95C0-4D6D-ADEB-192A95C4DF0A}"/>
    <cellStyle name="Normal 4 2 2 9 2 4" xfId="21650" xr:uid="{80860FB3-5B84-4C62-896D-BC822E4A9CB4}"/>
    <cellStyle name="Normal 4 2 2 9 2 5" xfId="30090" xr:uid="{81FCE4A8-A4F2-4077-88AF-B76B6598C365}"/>
    <cellStyle name="Normal 4 2 2 9 3" xfId="5955" xr:uid="{00000000-0005-0000-0000-000029130000}"/>
    <cellStyle name="Normal 4 2 2 9 3 2" xfId="15281" xr:uid="{C4FB11B9-96B1-47CC-A7E0-A3F4580064CF}"/>
    <cellStyle name="Normal 4 2 2 9 3 3" xfId="23722" xr:uid="{5ED33A53-3D47-43D2-A820-4858E6CD2B7F}"/>
    <cellStyle name="Normal 4 2 2 9 3 4" xfId="32162" xr:uid="{6C4E5082-D840-4B01-A1A5-01F68725612A}"/>
    <cellStyle name="Normal 4 2 2 9 4" xfId="11064" xr:uid="{8916444C-2A06-4B06-83D8-88A67781973C}"/>
    <cellStyle name="Normal 4 2 2 9 5" xfId="19505" xr:uid="{79DEAB8E-859B-48C9-9F06-0C85483024AD}"/>
    <cellStyle name="Normal 4 2 2 9 6" xfId="27945" xr:uid="{BAB6003B-A50B-4580-88DE-06B6724384DC}"/>
    <cellStyle name="Normal 4 2 3" xfId="354" xr:uid="{00000000-0005-0000-0000-00002A130000}"/>
    <cellStyle name="Normal 4 2 4" xfId="355" xr:uid="{00000000-0005-0000-0000-00002B130000}"/>
    <cellStyle name="Normal 4 2 4 10" xfId="4732" xr:uid="{00000000-0005-0000-0000-00002C130000}"/>
    <cellStyle name="Normal 4 2 4 10 2" xfId="14058" xr:uid="{2464F587-7403-4ABD-8CC9-E70557596405}"/>
    <cellStyle name="Normal 4 2 4 10 3" xfId="22499" xr:uid="{35C861A8-6A62-4369-B999-452FDD86281D}"/>
    <cellStyle name="Normal 4 2 4 10 4" xfId="30939" xr:uid="{D0149EBE-E5A8-4333-B1E6-F3A273138CD9}"/>
    <cellStyle name="Normal 4 2 4 11" xfId="8775" xr:uid="{7AC259AB-9C32-4DC1-A787-2E2187A7C2D6}"/>
    <cellStyle name="Normal 4 2 4 12" xfId="9841" xr:uid="{69599982-588D-4252-B9F0-8A10EEB8E918}"/>
    <cellStyle name="Normal 4 2 4 13" xfId="18282" xr:uid="{2DCEB830-37A8-44D4-BB26-C3AE74F5CCC0}"/>
    <cellStyle name="Normal 4 2 4 14" xfId="26722" xr:uid="{99F5BFF4-BD20-47D1-9807-7291B42EDF22}"/>
    <cellStyle name="Normal 4 2 4 2" xfId="356" xr:uid="{00000000-0005-0000-0000-00002D130000}"/>
    <cellStyle name="Normal 4 2 4 2 10" xfId="8820" xr:uid="{8B50D4F4-4786-467C-8322-69D665B73C2B}"/>
    <cellStyle name="Normal 4 2 4 2 11" xfId="9842" xr:uid="{E6494EDF-A170-4BA9-973C-2CBAF8960999}"/>
    <cellStyle name="Normal 4 2 4 2 12" xfId="18283" xr:uid="{B6BA3C07-92A1-4DEA-9EAD-F8E7F0BCF524}"/>
    <cellStyle name="Normal 4 2 4 2 13" xfId="26723" xr:uid="{431B244E-D584-49E2-A8E3-5B8F818651EF}"/>
    <cellStyle name="Normal 4 2 4 2 2" xfId="357" xr:uid="{00000000-0005-0000-0000-00002E130000}"/>
    <cellStyle name="Normal 4 2 4 2 2 10" xfId="9843" xr:uid="{5D9735AD-2B49-4E2B-9204-94FCD55AB5F9}"/>
    <cellStyle name="Normal 4 2 4 2 2 11" xfId="18284" xr:uid="{542E6534-D013-4C4D-9264-B11215C8653E}"/>
    <cellStyle name="Normal 4 2 4 2 2 12" xfId="26724" xr:uid="{A10F1BBA-6E9B-4B24-B7DF-C4D56660AD38}"/>
    <cellStyle name="Normal 4 2 4 2 2 2" xfId="358" xr:uid="{00000000-0005-0000-0000-00002F130000}"/>
    <cellStyle name="Normal 4 2 4 2 2 2 10" xfId="18285" xr:uid="{561730B9-57AD-4B1E-AE65-BB86F8175721}"/>
    <cellStyle name="Normal 4 2 4 2 2 2 11" xfId="26725" xr:uid="{CE51DC5D-C9FB-44D4-882C-9C1AAD801A68}"/>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C6FC8F1D-2153-4AC7-A51F-DC117E5B7DD1}"/>
    <cellStyle name="Normal 4 2 4 2 2 2 2 2 2 3" xfId="25060" xr:uid="{6FB363DE-4979-40E9-9F5C-192823E7A4CE}"/>
    <cellStyle name="Normal 4 2 4 2 2 2 2 2 2 4" xfId="33500" xr:uid="{B0E3ED9B-C4AD-4FBD-B0C8-526EF76EBD48}"/>
    <cellStyle name="Normal 4 2 4 2 2 2 2 2 3" xfId="12402" xr:uid="{B915FF05-D346-4EA6-A21E-A0EA33CC6B1C}"/>
    <cellStyle name="Normal 4 2 4 2 2 2 2 2 4" xfId="20843" xr:uid="{DE3B59F3-E6C5-4FAE-9E7D-DD5E600651B3}"/>
    <cellStyle name="Normal 4 2 4 2 2 2 2 2 5" xfId="29283" xr:uid="{989C2928-98FA-48F8-A3F1-E4E2FDD766A9}"/>
    <cellStyle name="Normal 4 2 4 2 2 2 2 3" xfId="5148" xr:uid="{00000000-0005-0000-0000-000033130000}"/>
    <cellStyle name="Normal 4 2 4 2 2 2 2 3 2" xfId="14474" xr:uid="{0DC46A5A-09A2-434D-AAAF-44368098B2BB}"/>
    <cellStyle name="Normal 4 2 4 2 2 2 2 3 3" xfId="22915" xr:uid="{0056D836-677F-4C9B-9671-C16DA5B96DCB}"/>
    <cellStyle name="Normal 4 2 4 2 2 2 2 3 4" xfId="31355" xr:uid="{5171160A-54D0-4F66-9CDF-D87714738217}"/>
    <cellStyle name="Normal 4 2 4 2 2 2 2 4" xfId="9555" xr:uid="{31AE7BD4-4F26-4658-9939-15FCE733560E}"/>
    <cellStyle name="Normal 4 2 4 2 2 2 2 5" xfId="10257" xr:uid="{B884D719-C6E9-4701-A82D-CA7DF14C1BD6}"/>
    <cellStyle name="Normal 4 2 4 2 2 2 2 6" xfId="18698" xr:uid="{ABD80F1F-DE99-479C-95A0-FE26D66E1B41}"/>
    <cellStyle name="Normal 4 2 4 2 2 2 2 7" xfId="27138" xr:uid="{86A3634F-F423-4B7A-BEAC-46FDAC496EE7}"/>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616BFCB8-AFDC-4CC3-BB22-9CDBC3A35D7D}"/>
    <cellStyle name="Normal 4 2 4 2 2 2 3 2 2 3" xfId="25473" xr:uid="{F7F8F617-C022-4985-A800-F07CCCDEA1E4}"/>
    <cellStyle name="Normal 4 2 4 2 2 2 3 2 2 4" xfId="33913" xr:uid="{681CA6BD-CEBE-4612-97EA-EABB6A1079F8}"/>
    <cellStyle name="Normal 4 2 4 2 2 2 3 2 3" xfId="12815" xr:uid="{6AD497C3-8D97-45A3-BA73-A68FEF18807E}"/>
    <cellStyle name="Normal 4 2 4 2 2 2 3 2 4" xfId="21256" xr:uid="{10E9B38F-3AA5-4761-9633-CCA30E8D3353}"/>
    <cellStyle name="Normal 4 2 4 2 2 2 3 2 5" xfId="29696" xr:uid="{1CDB4847-58C4-4AF4-8726-C83AF13DF867}"/>
    <cellStyle name="Normal 4 2 4 2 2 2 3 3" xfId="5561" xr:uid="{00000000-0005-0000-0000-000037130000}"/>
    <cellStyle name="Normal 4 2 4 2 2 2 3 3 2" xfId="14887" xr:uid="{E19393F5-0DF1-4092-A6CB-C9D049279794}"/>
    <cellStyle name="Normal 4 2 4 2 2 2 3 3 3" xfId="23328" xr:uid="{E14A8997-CE0E-4FD5-A26E-63359A9C39BD}"/>
    <cellStyle name="Normal 4 2 4 2 2 2 3 3 4" xfId="31768" xr:uid="{B40EEEB1-D0BC-479E-B456-D39FD153E5FC}"/>
    <cellStyle name="Normal 4 2 4 2 2 2 3 4" xfId="10670" xr:uid="{F49E62D6-8419-4088-A865-2FA798243E56}"/>
    <cellStyle name="Normal 4 2 4 2 2 2 3 5" xfId="19111" xr:uid="{662BC115-B813-4742-BB7D-03313DFCAE66}"/>
    <cellStyle name="Normal 4 2 4 2 2 2 3 6" xfId="27551" xr:uid="{E00D0BA7-6B97-4094-A6F2-46A7E2F2FC8B}"/>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0B450F63-351F-4865-9884-334D81C83F4F}"/>
    <cellStyle name="Normal 4 2 4 2 2 2 4 2 2 3" xfId="25886" xr:uid="{BC91F27B-9425-4F29-9DC8-D4A470A0AB24}"/>
    <cellStyle name="Normal 4 2 4 2 2 2 4 2 2 4" xfId="34326" xr:uid="{0261B910-9F2B-4435-A326-DCF089366F24}"/>
    <cellStyle name="Normal 4 2 4 2 2 2 4 2 3" xfId="13228" xr:uid="{4DA3338C-025B-4C6A-847E-E9DC69E0A6B6}"/>
    <cellStyle name="Normal 4 2 4 2 2 2 4 2 4" xfId="21669" xr:uid="{7E5B4DE5-F66C-4B48-A563-8EE8E49408F4}"/>
    <cellStyle name="Normal 4 2 4 2 2 2 4 2 5" xfId="30109" xr:uid="{37A06923-6507-4FC6-BED4-B8207F9DCC98}"/>
    <cellStyle name="Normal 4 2 4 2 2 2 4 3" xfId="5974" xr:uid="{00000000-0005-0000-0000-00003B130000}"/>
    <cellStyle name="Normal 4 2 4 2 2 2 4 3 2" xfId="15300" xr:uid="{0E95BD54-BE7B-4683-B49D-D45D1AAD8445}"/>
    <cellStyle name="Normal 4 2 4 2 2 2 4 3 3" xfId="23741" xr:uid="{0F447BFC-D246-43D2-96F3-885D01A985BB}"/>
    <cellStyle name="Normal 4 2 4 2 2 2 4 3 4" xfId="32181" xr:uid="{375D9FC7-6225-47AF-9292-5A4352A14588}"/>
    <cellStyle name="Normal 4 2 4 2 2 2 4 4" xfId="11083" xr:uid="{6C4EE0E3-095E-4F7F-9FDD-430FD23CEC0C}"/>
    <cellStyle name="Normal 4 2 4 2 2 2 4 5" xfId="19524" xr:uid="{83E5FF8E-7879-46A3-9573-C4755A5BA936}"/>
    <cellStyle name="Normal 4 2 4 2 2 2 4 6" xfId="27964" xr:uid="{9080A0D5-F272-436D-9312-E67FB692F84B}"/>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65541E74-39BB-44ED-AB37-AFF57A417275}"/>
    <cellStyle name="Normal 4 2 4 2 2 2 5 2 2 3" xfId="26299" xr:uid="{ECDF9B0F-FBB0-449F-9AEB-91352D905A7E}"/>
    <cellStyle name="Normal 4 2 4 2 2 2 5 2 2 4" xfId="34739" xr:uid="{C6CF4055-9E17-4806-A827-E36BF97EA52B}"/>
    <cellStyle name="Normal 4 2 4 2 2 2 5 2 3" xfId="13641" xr:uid="{4CC6C0AA-53D5-473D-A567-D80394A4EE30}"/>
    <cellStyle name="Normal 4 2 4 2 2 2 5 2 4" xfId="22082" xr:uid="{2B031F19-20A2-4A1B-B897-26E78C09E096}"/>
    <cellStyle name="Normal 4 2 4 2 2 2 5 2 5" xfId="30522" xr:uid="{F1E8BE63-BB72-48BD-A6A0-A567718B1D16}"/>
    <cellStyle name="Normal 4 2 4 2 2 2 5 3" xfId="6387" xr:uid="{00000000-0005-0000-0000-00003F130000}"/>
    <cellStyle name="Normal 4 2 4 2 2 2 5 3 2" xfId="15713" xr:uid="{1C023867-CE1F-4A75-9D70-0849914BC018}"/>
    <cellStyle name="Normal 4 2 4 2 2 2 5 3 3" xfId="24154" xr:uid="{2C5E8106-0B9D-48C4-821C-1D796F896A88}"/>
    <cellStyle name="Normal 4 2 4 2 2 2 5 3 4" xfId="32594" xr:uid="{848E1295-95DE-4175-B4C0-E410DCCF72D7}"/>
    <cellStyle name="Normal 4 2 4 2 2 2 5 4" xfId="11496" xr:uid="{A7F6F8DA-17AF-4E85-9D80-005ADDB1B822}"/>
    <cellStyle name="Normal 4 2 4 2 2 2 5 5" xfId="19937" xr:uid="{C07E05B5-DD83-4D45-B470-95536828A03F}"/>
    <cellStyle name="Normal 4 2 4 2 2 2 5 6" xfId="28377" xr:uid="{F0D1101C-452E-4CBC-8DCF-31D804ED923C}"/>
    <cellStyle name="Normal 4 2 4 2 2 2 6" xfId="2517" xr:uid="{00000000-0005-0000-0000-000040130000}"/>
    <cellStyle name="Normal 4 2 4 2 2 2 6 2" xfId="6800" xr:uid="{00000000-0005-0000-0000-000041130000}"/>
    <cellStyle name="Normal 4 2 4 2 2 2 6 2 2" xfId="16126" xr:uid="{34BBE178-CBB9-457B-B129-F96AC48DA454}"/>
    <cellStyle name="Normal 4 2 4 2 2 2 6 2 3" xfId="24567" xr:uid="{5C6F0E49-276F-4741-BF96-87A1AC1EF611}"/>
    <cellStyle name="Normal 4 2 4 2 2 2 6 2 4" xfId="33007" xr:uid="{43703127-79DB-44D6-AEB4-49440A1EDC40}"/>
    <cellStyle name="Normal 4 2 4 2 2 2 6 3" xfId="11909" xr:uid="{A786A479-110B-46FD-9A37-CAEC2027569A}"/>
    <cellStyle name="Normal 4 2 4 2 2 2 6 4" xfId="20350" xr:uid="{267CB7EA-9DEB-4C03-9D57-420B6A64884F}"/>
    <cellStyle name="Normal 4 2 4 2 2 2 6 5" xfId="28790" xr:uid="{FCAC2E92-1C6B-467D-9DC4-A6652B3E6C66}"/>
    <cellStyle name="Normal 4 2 4 2 2 2 7" xfId="4735" xr:uid="{00000000-0005-0000-0000-000042130000}"/>
    <cellStyle name="Normal 4 2 4 2 2 2 7 2" xfId="14061" xr:uid="{EF639976-C487-4185-B9D5-2E2249E0194F}"/>
    <cellStyle name="Normal 4 2 4 2 2 2 7 3" xfId="22502" xr:uid="{81E2439E-E2D0-4575-AFF9-073208BC6DEE}"/>
    <cellStyle name="Normal 4 2 4 2 2 2 7 4" xfId="30942" xr:uid="{480E40E5-0548-49FA-9E60-CF25B62E8549}"/>
    <cellStyle name="Normal 4 2 4 2 2 2 8" xfId="9130" xr:uid="{E4AAEB37-D6CE-4BD9-A166-BE52F754DAC4}"/>
    <cellStyle name="Normal 4 2 4 2 2 2 9" xfId="9844" xr:uid="{8BF76F8C-7DB5-483A-9A01-E7E0B73BCDFB}"/>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20EE1E41-F0F8-4E85-B41F-3109E078FDF2}"/>
    <cellStyle name="Normal 4 2 4 2 2 3 2 2 3" xfId="25059" xr:uid="{78FA62B1-D145-450C-BFE4-6A781C00CC2D}"/>
    <cellStyle name="Normal 4 2 4 2 2 3 2 2 4" xfId="33499" xr:uid="{4044B5A1-2969-4677-85E3-9EC44F4A7075}"/>
    <cellStyle name="Normal 4 2 4 2 2 3 2 3" xfId="12401" xr:uid="{6B1FB175-13A4-4281-86B7-8712F79F51BC}"/>
    <cellStyle name="Normal 4 2 4 2 2 3 2 4" xfId="20842" xr:uid="{EE4D5B7A-0711-4461-902E-02CBBD0DC466}"/>
    <cellStyle name="Normal 4 2 4 2 2 3 2 5" xfId="29282" xr:uid="{EBBEC530-BD21-4C4A-B932-6AAA621DFB47}"/>
    <cellStyle name="Normal 4 2 4 2 2 3 3" xfId="5147" xr:uid="{00000000-0005-0000-0000-000046130000}"/>
    <cellStyle name="Normal 4 2 4 2 2 3 3 2" xfId="14473" xr:uid="{17785164-64EA-4358-AACD-10BAE5F4D26A}"/>
    <cellStyle name="Normal 4 2 4 2 2 3 3 3" xfId="22914" xr:uid="{CFB2E693-C0D2-4E33-A514-BCD5A2237EAC}"/>
    <cellStyle name="Normal 4 2 4 2 2 3 3 4" xfId="31354" xr:uid="{51A8B10C-577B-48B8-A208-BA5527689F4E}"/>
    <cellStyle name="Normal 4 2 4 2 2 3 4" xfId="9348" xr:uid="{E9E52CF6-B3CF-482F-B496-A22B0452951D}"/>
    <cellStyle name="Normal 4 2 4 2 2 3 5" xfId="10256" xr:uid="{1DA95EDE-69B3-4596-9282-51AF9630B9B9}"/>
    <cellStyle name="Normal 4 2 4 2 2 3 6" xfId="18697" xr:uid="{B5C7FCFD-9C87-43E6-A526-67F56AF91098}"/>
    <cellStyle name="Normal 4 2 4 2 2 3 7" xfId="27137" xr:uid="{C6F7DBEA-F76E-4D9C-B1A0-0DF7170C7D63}"/>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34EF6BB2-9EC6-44F0-A223-8737EF8F7EB9}"/>
    <cellStyle name="Normal 4 2 4 2 2 4 2 2 3" xfId="25472" xr:uid="{A5078C90-F5D2-4BE5-AA21-7E5CC6B6204C}"/>
    <cellStyle name="Normal 4 2 4 2 2 4 2 2 4" xfId="33912" xr:uid="{34513332-D86E-479D-BDA8-9DC87D89BEF7}"/>
    <cellStyle name="Normal 4 2 4 2 2 4 2 3" xfId="12814" xr:uid="{31585E89-97CD-42E2-8525-A68AA9459782}"/>
    <cellStyle name="Normal 4 2 4 2 2 4 2 4" xfId="21255" xr:uid="{8D7B935B-2241-43DC-91C8-165515AC9D4A}"/>
    <cellStyle name="Normal 4 2 4 2 2 4 2 5" xfId="29695" xr:uid="{860A2442-6430-4F6E-9C33-941115332AA1}"/>
    <cellStyle name="Normal 4 2 4 2 2 4 3" xfId="5560" xr:uid="{00000000-0005-0000-0000-00004A130000}"/>
    <cellStyle name="Normal 4 2 4 2 2 4 3 2" xfId="14886" xr:uid="{94A7DA6C-B619-4180-99BE-C6C991B6E09D}"/>
    <cellStyle name="Normal 4 2 4 2 2 4 3 3" xfId="23327" xr:uid="{DA86850C-DF30-4144-A10D-BB86063BB148}"/>
    <cellStyle name="Normal 4 2 4 2 2 4 3 4" xfId="31767" xr:uid="{521F05E4-42BF-49AB-93F7-04266517DC5D}"/>
    <cellStyle name="Normal 4 2 4 2 2 4 4" xfId="10669" xr:uid="{8976C67F-D463-4122-973C-355AC9C4FD18}"/>
    <cellStyle name="Normal 4 2 4 2 2 4 5" xfId="19110" xr:uid="{99DCAA5D-474C-4158-B7C8-1C68A748D8F1}"/>
    <cellStyle name="Normal 4 2 4 2 2 4 6" xfId="27550" xr:uid="{140FAC78-AE2A-4DF3-B7EE-642008C9D395}"/>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CE31A088-2A67-4570-A38B-CBD2857160CF}"/>
    <cellStyle name="Normal 4 2 4 2 2 5 2 2 3" xfId="25885" xr:uid="{179E625E-6509-4DAC-BD15-B32FD7164F5A}"/>
    <cellStyle name="Normal 4 2 4 2 2 5 2 2 4" xfId="34325" xr:uid="{EE4F9515-98A9-4ED9-8A2D-D683545F1FC4}"/>
    <cellStyle name="Normal 4 2 4 2 2 5 2 3" xfId="13227" xr:uid="{806E8E27-2FF4-4628-864F-30C69F9FA4DF}"/>
    <cellStyle name="Normal 4 2 4 2 2 5 2 4" xfId="21668" xr:uid="{765F18AF-7B05-41EF-AFAE-447F1207D889}"/>
    <cellStyle name="Normal 4 2 4 2 2 5 2 5" xfId="30108" xr:uid="{6FDF2FE0-342E-4BF1-958F-8642ACB2D61A}"/>
    <cellStyle name="Normal 4 2 4 2 2 5 3" xfId="5973" xr:uid="{00000000-0005-0000-0000-00004E130000}"/>
    <cellStyle name="Normal 4 2 4 2 2 5 3 2" xfId="15299" xr:uid="{88B4BE43-7940-45D3-8ED1-371FD4B79A71}"/>
    <cellStyle name="Normal 4 2 4 2 2 5 3 3" xfId="23740" xr:uid="{FE2DFD98-03D0-43B3-BD09-7D691FEF54F9}"/>
    <cellStyle name="Normal 4 2 4 2 2 5 3 4" xfId="32180" xr:uid="{30768F90-A7D4-4CB3-957E-ECE3821A5203}"/>
    <cellStyle name="Normal 4 2 4 2 2 5 4" xfId="11082" xr:uid="{82ED513E-1FE1-4B8F-B9C2-8FC039EA40C3}"/>
    <cellStyle name="Normal 4 2 4 2 2 5 5" xfId="19523" xr:uid="{C41A488C-870B-4BCE-BE75-F9535FF5B503}"/>
    <cellStyle name="Normal 4 2 4 2 2 5 6" xfId="27963" xr:uid="{C4781291-17B8-4ACD-A92C-C5FB4D46DA3D}"/>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8985B7DA-42C6-442A-A43C-1EFCD7C66CC7}"/>
    <cellStyle name="Normal 4 2 4 2 2 6 2 2 3" xfId="26298" xr:uid="{A80D0B37-3EC2-4E3B-91EC-20766616B5AD}"/>
    <cellStyle name="Normal 4 2 4 2 2 6 2 2 4" xfId="34738" xr:uid="{25EB7045-4ABF-413F-989A-851B163FFC60}"/>
    <cellStyle name="Normal 4 2 4 2 2 6 2 3" xfId="13640" xr:uid="{C04B502F-78C4-4B94-90DF-B7DB905A071B}"/>
    <cellStyle name="Normal 4 2 4 2 2 6 2 4" xfId="22081" xr:uid="{FCC894C3-CB1F-45A0-96FE-332579C62216}"/>
    <cellStyle name="Normal 4 2 4 2 2 6 2 5" xfId="30521" xr:uid="{4ADE71E6-025C-4C07-B2FE-8D6919B535A4}"/>
    <cellStyle name="Normal 4 2 4 2 2 6 3" xfId="6386" xr:uid="{00000000-0005-0000-0000-000052130000}"/>
    <cellStyle name="Normal 4 2 4 2 2 6 3 2" xfId="15712" xr:uid="{08A08836-3265-40F1-A3A8-5464B6005DCC}"/>
    <cellStyle name="Normal 4 2 4 2 2 6 3 3" xfId="24153" xr:uid="{DF2AA657-2D5F-46C8-A0CB-1548EB04B99C}"/>
    <cellStyle name="Normal 4 2 4 2 2 6 3 4" xfId="32593" xr:uid="{51D5BE92-B153-4BCA-9915-37110795581A}"/>
    <cellStyle name="Normal 4 2 4 2 2 6 4" xfId="11495" xr:uid="{1632A02F-9311-4E55-A8B5-95E9994EA81C}"/>
    <cellStyle name="Normal 4 2 4 2 2 6 5" xfId="19936" xr:uid="{FA276B04-EF59-41E9-9CA9-230839254158}"/>
    <cellStyle name="Normal 4 2 4 2 2 6 6" xfId="28376" xr:uid="{4364E744-27E6-4E8C-B176-B397FAAECDE6}"/>
    <cellStyle name="Normal 4 2 4 2 2 7" xfId="2516" xr:uid="{00000000-0005-0000-0000-000053130000}"/>
    <cellStyle name="Normal 4 2 4 2 2 7 2" xfId="6799" xr:uid="{00000000-0005-0000-0000-000054130000}"/>
    <cellStyle name="Normal 4 2 4 2 2 7 2 2" xfId="16125" xr:uid="{E9EEC7FE-6C1F-4EFF-B879-26CA077FB86F}"/>
    <cellStyle name="Normal 4 2 4 2 2 7 2 3" xfId="24566" xr:uid="{BF5D16CF-1E99-40A1-BF09-511BE34C7A05}"/>
    <cellStyle name="Normal 4 2 4 2 2 7 2 4" xfId="33006" xr:uid="{A90D9BE3-FEDB-4E22-9789-1AE4DA9A5C71}"/>
    <cellStyle name="Normal 4 2 4 2 2 7 3" xfId="11908" xr:uid="{41C1B38E-306A-4641-B32B-5C48A42D661F}"/>
    <cellStyle name="Normal 4 2 4 2 2 7 4" xfId="20349" xr:uid="{30C8573E-54EE-4A17-A144-B967ECDEBF00}"/>
    <cellStyle name="Normal 4 2 4 2 2 7 5" xfId="28789" xr:uid="{AA23B05F-9968-473F-8EB0-483DAD31DFFC}"/>
    <cellStyle name="Normal 4 2 4 2 2 8" xfId="4734" xr:uid="{00000000-0005-0000-0000-000055130000}"/>
    <cellStyle name="Normal 4 2 4 2 2 8 2" xfId="14060" xr:uid="{2FE6632E-D20F-42B7-B7A3-87736AC50407}"/>
    <cellStyle name="Normal 4 2 4 2 2 8 3" xfId="22501" xr:uid="{5ABCAA60-862D-49B5-970D-0AC8106BF67D}"/>
    <cellStyle name="Normal 4 2 4 2 2 8 4" xfId="30941" xr:uid="{F10F73EA-D74C-4E9C-B9F7-A1041BE7EA00}"/>
    <cellStyle name="Normal 4 2 4 2 2 9" xfId="8923" xr:uid="{2BBE6936-33B8-4624-9F85-2EE83C62ACB2}"/>
    <cellStyle name="Normal 4 2 4 2 3" xfId="359" xr:uid="{00000000-0005-0000-0000-000056130000}"/>
    <cellStyle name="Normal 4 2 4 2 3 10" xfId="18286" xr:uid="{DE422DC0-8AC9-4A2B-9CB3-7D4C4F703AB2}"/>
    <cellStyle name="Normal 4 2 4 2 3 11" xfId="26726" xr:uid="{4B04035A-9399-449E-99B0-BF07AC0AEE07}"/>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86BB5506-6771-4196-ADF3-729761E73C2F}"/>
    <cellStyle name="Normal 4 2 4 2 3 2 2 2 3" xfId="25061" xr:uid="{8F18CE61-7E42-40BE-B806-DC333B85D399}"/>
    <cellStyle name="Normal 4 2 4 2 3 2 2 2 4" xfId="33501" xr:uid="{86407E10-FF3B-4604-9DF2-428526368FA8}"/>
    <cellStyle name="Normal 4 2 4 2 3 2 2 3" xfId="12403" xr:uid="{067AAE62-65FE-46F0-8E1E-7C2DC9EF4144}"/>
    <cellStyle name="Normal 4 2 4 2 3 2 2 4" xfId="20844" xr:uid="{D144B2E2-8969-4C73-8FD6-5DB6F06FD632}"/>
    <cellStyle name="Normal 4 2 4 2 3 2 2 5" xfId="29284" xr:uid="{60C80A97-D557-4B0E-A2D4-4F19872FA42F}"/>
    <cellStyle name="Normal 4 2 4 2 3 2 3" xfId="5149" xr:uid="{00000000-0005-0000-0000-00005A130000}"/>
    <cellStyle name="Normal 4 2 4 2 3 2 3 2" xfId="14475" xr:uid="{9387D0E9-4617-4871-8DD0-D80E9D353800}"/>
    <cellStyle name="Normal 4 2 4 2 3 2 3 3" xfId="22916" xr:uid="{00837F6C-0A46-4587-81B9-F9F1C13D9E62}"/>
    <cellStyle name="Normal 4 2 4 2 3 2 3 4" xfId="31356" xr:uid="{A06F537B-A087-4C64-BE90-F8855A1BE0CB}"/>
    <cellStyle name="Normal 4 2 4 2 3 2 4" xfId="9452" xr:uid="{58F46659-8F00-4705-8554-54AEBE9B8A77}"/>
    <cellStyle name="Normal 4 2 4 2 3 2 5" xfId="10258" xr:uid="{DB31E65B-FD83-41F9-A20B-9CED956A5D45}"/>
    <cellStyle name="Normal 4 2 4 2 3 2 6" xfId="18699" xr:uid="{9BEF3391-30CA-4983-941D-DED710AD9EA8}"/>
    <cellStyle name="Normal 4 2 4 2 3 2 7" xfId="27139" xr:uid="{F64D83E5-F7E4-4CBB-869F-1FCA80F86CAE}"/>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207CCEE5-36C4-4FB6-A4C0-D6E6680C6AD5}"/>
    <cellStyle name="Normal 4 2 4 2 3 3 2 2 3" xfId="25474" xr:uid="{692CAC5F-77B4-4E51-9E22-85F86B1FE334}"/>
    <cellStyle name="Normal 4 2 4 2 3 3 2 2 4" xfId="33914" xr:uid="{AC4AD76A-93A6-4FEA-B240-779F01463C65}"/>
    <cellStyle name="Normal 4 2 4 2 3 3 2 3" xfId="12816" xr:uid="{AD4121C2-85FC-48CE-A825-7F572AD9B221}"/>
    <cellStyle name="Normal 4 2 4 2 3 3 2 4" xfId="21257" xr:uid="{D883DDD4-D37A-4D34-9E26-77B99743EB2D}"/>
    <cellStyle name="Normal 4 2 4 2 3 3 2 5" xfId="29697" xr:uid="{63576745-2167-4C9D-A14C-FE5DBC178E4E}"/>
    <cellStyle name="Normal 4 2 4 2 3 3 3" xfId="5562" xr:uid="{00000000-0005-0000-0000-00005E130000}"/>
    <cellStyle name="Normal 4 2 4 2 3 3 3 2" xfId="14888" xr:uid="{E29D60FE-29DC-40A3-8645-4C7DBECB3BDC}"/>
    <cellStyle name="Normal 4 2 4 2 3 3 3 3" xfId="23329" xr:uid="{D726EDBD-7E52-45A7-AF84-42F7B4C4E943}"/>
    <cellStyle name="Normal 4 2 4 2 3 3 3 4" xfId="31769" xr:uid="{97F9FC38-27C9-455C-A9C9-4E3E3B9640A2}"/>
    <cellStyle name="Normal 4 2 4 2 3 3 4" xfId="10671" xr:uid="{99CCF17F-CAB5-4FBF-9606-EEE2783F6CC4}"/>
    <cellStyle name="Normal 4 2 4 2 3 3 5" xfId="19112" xr:uid="{3C54B0A4-2A24-478E-AF13-0028D422A520}"/>
    <cellStyle name="Normal 4 2 4 2 3 3 6" xfId="27552" xr:uid="{187122B4-92BB-4479-B1A0-60C8BA4164C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44EB9906-0C82-48EC-AF5A-C802E07AECC4}"/>
    <cellStyle name="Normal 4 2 4 2 3 4 2 2 3" xfId="25887" xr:uid="{E7507E1D-D014-43C0-905D-EDA9ADB53200}"/>
    <cellStyle name="Normal 4 2 4 2 3 4 2 2 4" xfId="34327" xr:uid="{C90E4CF6-04F9-449F-8920-A801BBA05180}"/>
    <cellStyle name="Normal 4 2 4 2 3 4 2 3" xfId="13229" xr:uid="{1C25E37F-007D-4C98-81C3-57FCBF14AF30}"/>
    <cellStyle name="Normal 4 2 4 2 3 4 2 4" xfId="21670" xr:uid="{F19C3517-1675-43CC-B9F5-05B1B28B70D4}"/>
    <cellStyle name="Normal 4 2 4 2 3 4 2 5" xfId="30110" xr:uid="{CD49B461-BBC6-40AF-90FB-7BDC7D667D00}"/>
    <cellStyle name="Normal 4 2 4 2 3 4 3" xfId="5975" xr:uid="{00000000-0005-0000-0000-000062130000}"/>
    <cellStyle name="Normal 4 2 4 2 3 4 3 2" xfId="15301" xr:uid="{B684C1C0-6419-4CD2-B01C-3F8CD870C721}"/>
    <cellStyle name="Normal 4 2 4 2 3 4 3 3" xfId="23742" xr:uid="{FD7782C9-4EC2-46C1-B774-C006C2746C71}"/>
    <cellStyle name="Normal 4 2 4 2 3 4 3 4" xfId="32182" xr:uid="{82FED2E9-C046-4A56-ABCE-2F7A47F27A1B}"/>
    <cellStyle name="Normal 4 2 4 2 3 4 4" xfId="11084" xr:uid="{983BB09C-FDE8-4EB8-9D73-E8993400F408}"/>
    <cellStyle name="Normal 4 2 4 2 3 4 5" xfId="19525" xr:uid="{5F5DFB2A-FE71-4FC2-BD23-BEB57F861EEC}"/>
    <cellStyle name="Normal 4 2 4 2 3 4 6" xfId="27965" xr:uid="{5685912D-4ECD-4BF5-9BE2-4A3BE8E10925}"/>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A10B79CA-162C-4358-9A31-7CB855645580}"/>
    <cellStyle name="Normal 4 2 4 2 3 5 2 2 3" xfId="26300" xr:uid="{24D67A7B-D8E6-4AD2-B0A6-6F4E5631E359}"/>
    <cellStyle name="Normal 4 2 4 2 3 5 2 2 4" xfId="34740" xr:uid="{CAFFD831-D3A3-431A-89D3-96555AECAF47}"/>
    <cellStyle name="Normal 4 2 4 2 3 5 2 3" xfId="13642" xr:uid="{3872A2C0-2233-4CD4-8445-B0B9076ABADA}"/>
    <cellStyle name="Normal 4 2 4 2 3 5 2 4" xfId="22083" xr:uid="{2D36E8BD-7A24-4B26-86D8-B2F85FB65A1C}"/>
    <cellStyle name="Normal 4 2 4 2 3 5 2 5" xfId="30523" xr:uid="{9F483885-7F5C-4A84-ADD0-CE018CA29821}"/>
    <cellStyle name="Normal 4 2 4 2 3 5 3" xfId="6388" xr:uid="{00000000-0005-0000-0000-000066130000}"/>
    <cellStyle name="Normal 4 2 4 2 3 5 3 2" xfId="15714" xr:uid="{CF9EDE5B-75BC-4063-BAB9-E9915F13E64B}"/>
    <cellStyle name="Normal 4 2 4 2 3 5 3 3" xfId="24155" xr:uid="{686A7F64-88E4-4654-A7C4-F514F62CA119}"/>
    <cellStyle name="Normal 4 2 4 2 3 5 3 4" xfId="32595" xr:uid="{0EF92006-7908-49E5-8A8A-8B2079136AF5}"/>
    <cellStyle name="Normal 4 2 4 2 3 5 4" xfId="11497" xr:uid="{E64A40C3-4C79-4E39-A817-554ABA2BD492}"/>
    <cellStyle name="Normal 4 2 4 2 3 5 5" xfId="19938" xr:uid="{92D4BA67-4AB6-47F4-AFC3-4512A18FA165}"/>
    <cellStyle name="Normal 4 2 4 2 3 5 6" xfId="28378" xr:uid="{73901550-C1A9-4DB5-AD5B-0F994E93AC16}"/>
    <cellStyle name="Normal 4 2 4 2 3 6" xfId="2518" xr:uid="{00000000-0005-0000-0000-000067130000}"/>
    <cellStyle name="Normal 4 2 4 2 3 6 2" xfId="6801" xr:uid="{00000000-0005-0000-0000-000068130000}"/>
    <cellStyle name="Normal 4 2 4 2 3 6 2 2" xfId="16127" xr:uid="{D123D169-81DC-4848-B8DA-49DFC64DCADF}"/>
    <cellStyle name="Normal 4 2 4 2 3 6 2 3" xfId="24568" xr:uid="{47A6D22C-A649-45E2-B314-7C9171D8CFFE}"/>
    <cellStyle name="Normal 4 2 4 2 3 6 2 4" xfId="33008" xr:uid="{81DCB5D1-716B-435D-B0BE-CD12BA61DD9B}"/>
    <cellStyle name="Normal 4 2 4 2 3 6 3" xfId="11910" xr:uid="{397D1EAA-5069-4969-9D55-5233FC697241}"/>
    <cellStyle name="Normal 4 2 4 2 3 6 4" xfId="20351" xr:uid="{ABA099EC-CD9F-4D22-B788-DAB91655C091}"/>
    <cellStyle name="Normal 4 2 4 2 3 6 5" xfId="28791" xr:uid="{50578659-71FA-4031-AD8A-AD79AE022260}"/>
    <cellStyle name="Normal 4 2 4 2 3 7" xfId="4736" xr:uid="{00000000-0005-0000-0000-000069130000}"/>
    <cellStyle name="Normal 4 2 4 2 3 7 2" xfId="14062" xr:uid="{9FA660CC-4190-4800-BA23-F461FB3E33D0}"/>
    <cellStyle name="Normal 4 2 4 2 3 7 3" xfId="22503" xr:uid="{8406378B-715B-42F9-A0C0-3090D119341C}"/>
    <cellStyle name="Normal 4 2 4 2 3 7 4" xfId="30943" xr:uid="{4D2D40A6-4C4F-4684-9CC2-5154FBDA90AF}"/>
    <cellStyle name="Normal 4 2 4 2 3 8" xfId="9027" xr:uid="{DA430019-E492-48BB-ACD5-5BE853C50FBC}"/>
    <cellStyle name="Normal 4 2 4 2 3 9" xfId="9845" xr:uid="{A8A97AF2-531E-425E-B143-B4C74A7BED1B}"/>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A45FA939-9117-4B08-B1D0-52C4B4285C00}"/>
    <cellStyle name="Normal 4 2 4 2 4 2 2 3" xfId="25058" xr:uid="{4C42FF42-5744-49B8-8DA5-3D9E36F7DE2E}"/>
    <cellStyle name="Normal 4 2 4 2 4 2 2 4" xfId="33498" xr:uid="{25954783-A3EB-4559-896D-F96515161714}"/>
    <cellStyle name="Normal 4 2 4 2 4 2 3" xfId="12400" xr:uid="{4F315A5B-89E0-4840-B7B8-1651C2D78FB3}"/>
    <cellStyle name="Normal 4 2 4 2 4 2 4" xfId="20841" xr:uid="{62E3D799-04D7-4B13-9393-245ACAC28234}"/>
    <cellStyle name="Normal 4 2 4 2 4 2 5" xfId="29281" xr:uid="{378A5B09-9EE9-4373-B998-97CA906014E4}"/>
    <cellStyle name="Normal 4 2 4 2 4 3" xfId="5146" xr:uid="{00000000-0005-0000-0000-00006D130000}"/>
    <cellStyle name="Normal 4 2 4 2 4 3 2" xfId="14472" xr:uid="{F0FD412E-D592-499A-A5DE-55956739AEE2}"/>
    <cellStyle name="Normal 4 2 4 2 4 3 3" xfId="22913" xr:uid="{7B6AEAC4-87D6-48A0-84BB-7850AD4A6BAE}"/>
    <cellStyle name="Normal 4 2 4 2 4 3 4" xfId="31353" xr:uid="{403B2A28-89B5-43A2-AD25-A228C5E3333A}"/>
    <cellStyle name="Normal 4 2 4 2 4 4" xfId="9245" xr:uid="{A0383DD8-843E-4601-922A-5CDD979D0589}"/>
    <cellStyle name="Normal 4 2 4 2 4 5" xfId="10255" xr:uid="{F22C00B4-AD5C-4F89-9AF3-F16C7802E4F8}"/>
    <cellStyle name="Normal 4 2 4 2 4 6" xfId="18696" xr:uid="{0B0BF3D9-B788-4DEF-93ED-FFE275DEC4B0}"/>
    <cellStyle name="Normal 4 2 4 2 4 7" xfId="27136" xr:uid="{83A7C431-36FF-4A68-81DF-D1E3EAD6B61A}"/>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FFF08C20-6C30-4221-9EF7-ED2C1CEDD74F}"/>
    <cellStyle name="Normal 4 2 4 2 5 2 2 3" xfId="25471" xr:uid="{624F2551-8138-4A7E-9A5A-664949661A59}"/>
    <cellStyle name="Normal 4 2 4 2 5 2 2 4" xfId="33911" xr:uid="{057A3612-56F9-4FD3-94D4-C5D15EB259C9}"/>
    <cellStyle name="Normal 4 2 4 2 5 2 3" xfId="12813" xr:uid="{E262ACC7-F045-4E3E-BC93-56CF604A9B2A}"/>
    <cellStyle name="Normal 4 2 4 2 5 2 4" xfId="21254" xr:uid="{9337E5FC-C36F-445A-AC81-BA1BA9130AFA}"/>
    <cellStyle name="Normal 4 2 4 2 5 2 5" xfId="29694" xr:uid="{724687EF-B381-4CD3-A5B0-9B7E24BADB8B}"/>
    <cellStyle name="Normal 4 2 4 2 5 3" xfId="5559" xr:uid="{00000000-0005-0000-0000-000071130000}"/>
    <cellStyle name="Normal 4 2 4 2 5 3 2" xfId="14885" xr:uid="{B2EB79A3-DE90-44C1-B9FF-B6C7CFCF21C0}"/>
    <cellStyle name="Normal 4 2 4 2 5 3 3" xfId="23326" xr:uid="{1216CDCE-19D4-4165-BA5E-60C384D79270}"/>
    <cellStyle name="Normal 4 2 4 2 5 3 4" xfId="31766" xr:uid="{C1FFC1EA-FB93-4A8B-AF34-712B6F20EE8F}"/>
    <cellStyle name="Normal 4 2 4 2 5 4" xfId="10668" xr:uid="{E6A3EDF7-8258-4693-B357-FAFCD81A789F}"/>
    <cellStyle name="Normal 4 2 4 2 5 5" xfId="19109" xr:uid="{0D83A70C-9E3C-4AF9-915D-254E72CFA5AD}"/>
    <cellStyle name="Normal 4 2 4 2 5 6" xfId="27549" xr:uid="{9471DA22-C0D7-4D45-8F38-6686975A150A}"/>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68FC7FAE-4C6B-45D7-A55F-7356665390B8}"/>
    <cellStyle name="Normal 4 2 4 2 6 2 2 3" xfId="25884" xr:uid="{11F1AB26-0F23-4A25-B906-13A01E6C10C6}"/>
    <cellStyle name="Normal 4 2 4 2 6 2 2 4" xfId="34324" xr:uid="{479A1E61-AF3D-4B75-A5F1-B7ABE29FFC1F}"/>
    <cellStyle name="Normal 4 2 4 2 6 2 3" xfId="13226" xr:uid="{94BBC896-01F6-4F05-BE8A-835A669685EC}"/>
    <cellStyle name="Normal 4 2 4 2 6 2 4" xfId="21667" xr:uid="{B4FFEC48-89F1-4AED-8D00-69E1DE5D9364}"/>
    <cellStyle name="Normal 4 2 4 2 6 2 5" xfId="30107" xr:uid="{9C8C1AEB-E871-4904-BA64-033946F6F417}"/>
    <cellStyle name="Normal 4 2 4 2 6 3" xfId="5972" xr:uid="{00000000-0005-0000-0000-000075130000}"/>
    <cellStyle name="Normal 4 2 4 2 6 3 2" xfId="15298" xr:uid="{D0C269A7-B125-47C8-93C8-712ED192D90F}"/>
    <cellStyle name="Normal 4 2 4 2 6 3 3" xfId="23739" xr:uid="{44C48AC8-88E1-480C-A684-E215C681AB52}"/>
    <cellStyle name="Normal 4 2 4 2 6 3 4" xfId="32179" xr:uid="{A6804DDA-604F-4B6C-AB5E-E720A38E4968}"/>
    <cellStyle name="Normal 4 2 4 2 6 4" xfId="11081" xr:uid="{2C2A849B-C5A0-4464-8281-0EC7C123D73A}"/>
    <cellStyle name="Normal 4 2 4 2 6 5" xfId="19522" xr:uid="{14260C69-D271-4323-BAC6-857814DAB693}"/>
    <cellStyle name="Normal 4 2 4 2 6 6" xfId="27962" xr:uid="{F2889E8D-0003-4C2D-A414-109E4E27EB85}"/>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28ACD92B-CCDC-481D-BFAB-F5557FDF8622}"/>
    <cellStyle name="Normal 4 2 4 2 7 2 2 3" xfId="26297" xr:uid="{0984E2D3-E07D-48F3-A25F-6918479316F0}"/>
    <cellStyle name="Normal 4 2 4 2 7 2 2 4" xfId="34737" xr:uid="{8457874A-9057-4B27-9E81-37485B2455B1}"/>
    <cellStyle name="Normal 4 2 4 2 7 2 3" xfId="13639" xr:uid="{8CBD1D22-C6A5-4B8E-8081-EE7164B1CDF6}"/>
    <cellStyle name="Normal 4 2 4 2 7 2 4" xfId="22080" xr:uid="{54AE150A-A751-457D-8BF1-AD0D5F0F2FD3}"/>
    <cellStyle name="Normal 4 2 4 2 7 2 5" xfId="30520" xr:uid="{FE192AC8-119E-4720-A0F0-ED9C1AB93E7E}"/>
    <cellStyle name="Normal 4 2 4 2 7 3" xfId="6385" xr:uid="{00000000-0005-0000-0000-000079130000}"/>
    <cellStyle name="Normal 4 2 4 2 7 3 2" xfId="15711" xr:uid="{B359197B-83C1-4E8D-BE42-975AC6F9AB6A}"/>
    <cellStyle name="Normal 4 2 4 2 7 3 3" xfId="24152" xr:uid="{CA9EEF18-F755-4C7D-83F6-5A3FC1B8676A}"/>
    <cellStyle name="Normal 4 2 4 2 7 3 4" xfId="32592" xr:uid="{187F500A-C745-4480-A1E5-E9EED06394DE}"/>
    <cellStyle name="Normal 4 2 4 2 7 4" xfId="11494" xr:uid="{1B29958E-4CC5-4741-BAAE-49838CC56298}"/>
    <cellStyle name="Normal 4 2 4 2 7 5" xfId="19935" xr:uid="{CCAFB3B8-42E0-4D07-871E-1189EB41038B}"/>
    <cellStyle name="Normal 4 2 4 2 7 6" xfId="28375" xr:uid="{FFA04001-8E11-4182-AF56-99CB361BA364}"/>
    <cellStyle name="Normal 4 2 4 2 8" xfId="2515" xr:uid="{00000000-0005-0000-0000-00007A130000}"/>
    <cellStyle name="Normal 4 2 4 2 8 2" xfId="6798" xr:uid="{00000000-0005-0000-0000-00007B130000}"/>
    <cellStyle name="Normal 4 2 4 2 8 2 2" xfId="16124" xr:uid="{BE310703-E4CF-4BC1-88E5-4B8A67B491B5}"/>
    <cellStyle name="Normal 4 2 4 2 8 2 3" xfId="24565" xr:uid="{1C668DDB-2A9E-43D9-9708-C538275EAFEA}"/>
    <cellStyle name="Normal 4 2 4 2 8 2 4" xfId="33005" xr:uid="{C5C29BD3-DC8F-4ECE-BFED-7F7DFD931F7B}"/>
    <cellStyle name="Normal 4 2 4 2 8 3" xfId="11907" xr:uid="{86DF5A45-6514-4DD9-AEC0-2E75660EADB7}"/>
    <cellStyle name="Normal 4 2 4 2 8 4" xfId="20348" xr:uid="{57E1049F-11D1-4A75-9ACC-D8303A02DEEC}"/>
    <cellStyle name="Normal 4 2 4 2 8 5" xfId="28788" xr:uid="{C42B5CAC-AB73-4292-B9C0-6011F75F690A}"/>
    <cellStyle name="Normal 4 2 4 2 9" xfId="4733" xr:uid="{00000000-0005-0000-0000-00007C130000}"/>
    <cellStyle name="Normal 4 2 4 2 9 2" xfId="14059" xr:uid="{AED5FD0C-AC71-4406-B832-8B35B0C679DD}"/>
    <cellStyle name="Normal 4 2 4 2 9 3" xfId="22500" xr:uid="{DE7F8DE5-D42C-47F8-8902-CE2ABC1FAB51}"/>
    <cellStyle name="Normal 4 2 4 2 9 4" xfId="30940" xr:uid="{6CA5DF6C-E360-47F4-963D-60293348F3D0}"/>
    <cellStyle name="Normal 4 2 4 3" xfId="360" xr:uid="{00000000-0005-0000-0000-00007D130000}"/>
    <cellStyle name="Normal 4 2 4 3 10" xfId="9846" xr:uid="{714E9CF9-6A40-427C-A611-4E2FDF74EC5F}"/>
    <cellStyle name="Normal 4 2 4 3 11" xfId="18287" xr:uid="{CBF682C9-B341-4661-AD32-5318CA8FA702}"/>
    <cellStyle name="Normal 4 2 4 3 12" xfId="26727" xr:uid="{160B143F-5A1E-4BBA-A288-2667D4C613BF}"/>
    <cellStyle name="Normal 4 2 4 3 2" xfId="361" xr:uid="{00000000-0005-0000-0000-00007E130000}"/>
    <cellStyle name="Normal 4 2 4 3 2 10" xfId="18288" xr:uid="{C4AFB6DC-5DB9-41B7-8CCF-562AE4BC3A09}"/>
    <cellStyle name="Normal 4 2 4 3 2 11" xfId="26728" xr:uid="{A5262E21-BBCC-4C69-808F-94FFD956A2E1}"/>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27370D3B-26DC-4106-A770-96A8B38B36E8}"/>
    <cellStyle name="Normal 4 2 4 3 2 2 2 2 3" xfId="25063" xr:uid="{69D21038-B5B4-4900-AE8C-54F23F6E5355}"/>
    <cellStyle name="Normal 4 2 4 3 2 2 2 2 4" xfId="33503" xr:uid="{5A745E7F-DF36-49C2-80D7-D5AFF82E7D36}"/>
    <cellStyle name="Normal 4 2 4 3 2 2 2 3" xfId="12405" xr:uid="{A4991546-3F8A-4237-A839-6048C7CFA8BD}"/>
    <cellStyle name="Normal 4 2 4 3 2 2 2 4" xfId="20846" xr:uid="{E444120F-C2D9-4446-AEF1-3306CD825E62}"/>
    <cellStyle name="Normal 4 2 4 3 2 2 2 5" xfId="29286" xr:uid="{CA1AAEEE-D90F-4294-89A5-545E335EB306}"/>
    <cellStyle name="Normal 4 2 4 3 2 2 3" xfId="5151" xr:uid="{00000000-0005-0000-0000-000082130000}"/>
    <cellStyle name="Normal 4 2 4 3 2 2 3 2" xfId="14477" xr:uid="{356ED80F-F739-4626-851D-C5BED9D61E8E}"/>
    <cellStyle name="Normal 4 2 4 3 2 2 3 3" xfId="22918" xr:uid="{3BD1B103-D54C-44E6-ADF5-FF7C044DFF12}"/>
    <cellStyle name="Normal 4 2 4 3 2 2 3 4" xfId="31358" xr:uid="{33B855CC-5AEC-4BD3-886C-0239156F3397}"/>
    <cellStyle name="Normal 4 2 4 3 2 2 4" xfId="9510" xr:uid="{AA534F18-B7F5-44D9-AE7D-03E6DE45E4F9}"/>
    <cellStyle name="Normal 4 2 4 3 2 2 5" xfId="10260" xr:uid="{E826A1F9-0E72-4A89-AB95-9FD67532B1A5}"/>
    <cellStyle name="Normal 4 2 4 3 2 2 6" xfId="18701" xr:uid="{2FFB7097-28A0-41D7-8572-FD46A80F763D}"/>
    <cellStyle name="Normal 4 2 4 3 2 2 7" xfId="27141" xr:uid="{19BCA493-33B5-403E-B03B-C387EAF2C04E}"/>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2E08317A-4634-4EC1-9D0C-90C291E82425}"/>
    <cellStyle name="Normal 4 2 4 3 2 3 2 2 3" xfId="25476" xr:uid="{05593F7C-0A41-4D0F-97FD-CE97EEE3B5EE}"/>
    <cellStyle name="Normal 4 2 4 3 2 3 2 2 4" xfId="33916" xr:uid="{8CFE07FC-4FC3-4511-BCAA-76DCC0D8B73C}"/>
    <cellStyle name="Normal 4 2 4 3 2 3 2 3" xfId="12818" xr:uid="{5B7332E3-72F1-4CC5-BEB5-0B177BA37DAC}"/>
    <cellStyle name="Normal 4 2 4 3 2 3 2 4" xfId="21259" xr:uid="{544C3804-F741-43EF-AA3E-4BB1E4F51E8E}"/>
    <cellStyle name="Normal 4 2 4 3 2 3 2 5" xfId="29699" xr:uid="{A7F6FEB1-0F1D-448E-AD78-871F20A98C8C}"/>
    <cellStyle name="Normal 4 2 4 3 2 3 3" xfId="5564" xr:uid="{00000000-0005-0000-0000-000086130000}"/>
    <cellStyle name="Normal 4 2 4 3 2 3 3 2" xfId="14890" xr:uid="{09A75A0E-F937-4D9A-A9AB-3B0E00D33375}"/>
    <cellStyle name="Normal 4 2 4 3 2 3 3 3" xfId="23331" xr:uid="{ADCADB37-141F-4D34-A163-E84D97FA4021}"/>
    <cellStyle name="Normal 4 2 4 3 2 3 3 4" xfId="31771" xr:uid="{EFC1A61E-8D98-42BD-BE62-764C35D8D8EC}"/>
    <cellStyle name="Normal 4 2 4 3 2 3 4" xfId="10673" xr:uid="{57F2202C-FC28-4528-BD10-072F534DEDF3}"/>
    <cellStyle name="Normal 4 2 4 3 2 3 5" xfId="19114" xr:uid="{9EB9B654-BC1B-48FD-B3E2-9E29B2759854}"/>
    <cellStyle name="Normal 4 2 4 3 2 3 6" xfId="27554" xr:uid="{62E23D3E-A3EF-4BF4-83F8-2386653814AA}"/>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89708758-F740-423B-B458-597E01ADE7DF}"/>
    <cellStyle name="Normal 4 2 4 3 2 4 2 2 3" xfId="25889" xr:uid="{DBD0861F-4118-4C7B-95E9-FF0AE042DCE5}"/>
    <cellStyle name="Normal 4 2 4 3 2 4 2 2 4" xfId="34329" xr:uid="{39CD2B2F-FDE2-4E5F-82DB-FD818DD67708}"/>
    <cellStyle name="Normal 4 2 4 3 2 4 2 3" xfId="13231" xr:uid="{E3722FD0-3094-4052-92F6-7542A42D3657}"/>
    <cellStyle name="Normal 4 2 4 3 2 4 2 4" xfId="21672" xr:uid="{31403939-2213-4EE8-9548-FAC2EC6586CF}"/>
    <cellStyle name="Normal 4 2 4 3 2 4 2 5" xfId="30112" xr:uid="{3CFAAA50-FCEA-4BC2-BDFA-BC623F8E2F3C}"/>
    <cellStyle name="Normal 4 2 4 3 2 4 3" xfId="5977" xr:uid="{00000000-0005-0000-0000-00008A130000}"/>
    <cellStyle name="Normal 4 2 4 3 2 4 3 2" xfId="15303" xr:uid="{7DE62D46-6618-4E14-B5C5-87CF04A6B003}"/>
    <cellStyle name="Normal 4 2 4 3 2 4 3 3" xfId="23744" xr:uid="{FE216EB2-DC2E-48E3-957D-223C2BC596D5}"/>
    <cellStyle name="Normal 4 2 4 3 2 4 3 4" xfId="32184" xr:uid="{262CA8FF-12F1-4F49-AAA8-89E76E6BA397}"/>
    <cellStyle name="Normal 4 2 4 3 2 4 4" xfId="11086" xr:uid="{384822CA-A30F-4EDE-B0AD-9F47AD17D616}"/>
    <cellStyle name="Normal 4 2 4 3 2 4 5" xfId="19527" xr:uid="{8DF3C34C-F963-4000-BF15-CAE49B6BCEE7}"/>
    <cellStyle name="Normal 4 2 4 3 2 4 6" xfId="27967" xr:uid="{A9009CDD-A2CA-45FA-BF12-D6B0932E61BE}"/>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79C88DE4-4748-41F8-AE06-E0049150FD3A}"/>
    <cellStyle name="Normal 4 2 4 3 2 5 2 2 3" xfId="26302" xr:uid="{5ADF548E-89C9-4A0D-B95B-61241C6F04FC}"/>
    <cellStyle name="Normal 4 2 4 3 2 5 2 2 4" xfId="34742" xr:uid="{69BB755B-D89B-4454-A32C-BF6FA81BBE40}"/>
    <cellStyle name="Normal 4 2 4 3 2 5 2 3" xfId="13644" xr:uid="{7FFD3B04-C30C-42C5-810A-3990AF3D670B}"/>
    <cellStyle name="Normal 4 2 4 3 2 5 2 4" xfId="22085" xr:uid="{D814BBFC-AD01-4B8F-9620-BFA71DD3B0EF}"/>
    <cellStyle name="Normal 4 2 4 3 2 5 2 5" xfId="30525" xr:uid="{974BB80B-50E9-42BF-BD30-306B7473BDC8}"/>
    <cellStyle name="Normal 4 2 4 3 2 5 3" xfId="6390" xr:uid="{00000000-0005-0000-0000-00008E130000}"/>
    <cellStyle name="Normal 4 2 4 3 2 5 3 2" xfId="15716" xr:uid="{CBC40D3E-7B3D-42E4-9596-93B89D4EFE22}"/>
    <cellStyle name="Normal 4 2 4 3 2 5 3 3" xfId="24157" xr:uid="{8F1F89CE-4432-4171-BB55-B5675BB42D9F}"/>
    <cellStyle name="Normal 4 2 4 3 2 5 3 4" xfId="32597" xr:uid="{7E1AC22C-4FE1-4392-AA38-79DE713932D4}"/>
    <cellStyle name="Normal 4 2 4 3 2 5 4" xfId="11499" xr:uid="{0116D4F6-286D-4981-B1A2-145076EBD597}"/>
    <cellStyle name="Normal 4 2 4 3 2 5 5" xfId="19940" xr:uid="{D63264CB-7AE8-48FF-96C2-328078909D2B}"/>
    <cellStyle name="Normal 4 2 4 3 2 5 6" xfId="28380" xr:uid="{0AA86796-AB7F-4E15-9F18-5B01670EC532}"/>
    <cellStyle name="Normal 4 2 4 3 2 6" xfId="2520" xr:uid="{00000000-0005-0000-0000-00008F130000}"/>
    <cellStyle name="Normal 4 2 4 3 2 6 2" xfId="6803" xr:uid="{00000000-0005-0000-0000-000090130000}"/>
    <cellStyle name="Normal 4 2 4 3 2 6 2 2" xfId="16129" xr:uid="{B2F1C3C7-0977-42E3-935D-3037770C8217}"/>
    <cellStyle name="Normal 4 2 4 3 2 6 2 3" xfId="24570" xr:uid="{CC2A8FB4-A883-4653-81C7-9A7A84A80BB8}"/>
    <cellStyle name="Normal 4 2 4 3 2 6 2 4" xfId="33010" xr:uid="{C3F4ED79-F105-4F08-9E9A-7667D44713EA}"/>
    <cellStyle name="Normal 4 2 4 3 2 6 3" xfId="11912" xr:uid="{33F8BE3B-4C5F-4C40-960A-3BFDD03CA026}"/>
    <cellStyle name="Normal 4 2 4 3 2 6 4" xfId="20353" xr:uid="{3BC64B68-C525-4135-8648-8FEACF895093}"/>
    <cellStyle name="Normal 4 2 4 3 2 6 5" xfId="28793" xr:uid="{90240B08-D10D-4A31-AD0D-E58378F994D7}"/>
    <cellStyle name="Normal 4 2 4 3 2 7" xfId="4738" xr:uid="{00000000-0005-0000-0000-000091130000}"/>
    <cellStyle name="Normal 4 2 4 3 2 7 2" xfId="14064" xr:uid="{976E0652-848F-4181-97C2-4AC73B73C970}"/>
    <cellStyle name="Normal 4 2 4 3 2 7 3" xfId="22505" xr:uid="{B6BAA386-AC7F-4805-A627-E30DD94C96CF}"/>
    <cellStyle name="Normal 4 2 4 3 2 7 4" xfId="30945" xr:uid="{596D4672-CF7F-4782-9754-411AAD1B84F5}"/>
    <cellStyle name="Normal 4 2 4 3 2 8" xfId="9085" xr:uid="{0181E53C-86DC-4588-8447-D559FCF01541}"/>
    <cellStyle name="Normal 4 2 4 3 2 9" xfId="9847" xr:uid="{FF26F826-63B9-4932-9C19-5CFE67A97999}"/>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7E460D2E-537E-4B3D-9534-2CF074657CF1}"/>
    <cellStyle name="Normal 4 2 4 3 3 2 2 3" xfId="25062" xr:uid="{2982F6F1-1A48-49EE-93C7-9EFC08FDFCEE}"/>
    <cellStyle name="Normal 4 2 4 3 3 2 2 4" xfId="33502" xr:uid="{26F0CB3A-ADC3-49AD-A377-9A4247B77777}"/>
    <cellStyle name="Normal 4 2 4 3 3 2 3" xfId="12404" xr:uid="{38662C0A-FC30-4B58-A535-9B3C3624A0D6}"/>
    <cellStyle name="Normal 4 2 4 3 3 2 4" xfId="20845" xr:uid="{2156313F-2499-4912-88B8-5AD86BD4C0C9}"/>
    <cellStyle name="Normal 4 2 4 3 3 2 5" xfId="29285" xr:uid="{F4E0B4F3-4EDC-4A85-9942-513DC3C02AFA}"/>
    <cellStyle name="Normal 4 2 4 3 3 3" xfId="5150" xr:uid="{00000000-0005-0000-0000-000095130000}"/>
    <cellStyle name="Normal 4 2 4 3 3 3 2" xfId="14476" xr:uid="{CDE49C30-174B-42FC-91E7-FB5EF0950597}"/>
    <cellStyle name="Normal 4 2 4 3 3 3 3" xfId="22917" xr:uid="{630E8DD3-F629-4AD6-B55F-9B9EC5273241}"/>
    <cellStyle name="Normal 4 2 4 3 3 3 4" xfId="31357" xr:uid="{EDE34C75-2AD7-41B3-BA9E-FD6868F246F5}"/>
    <cellStyle name="Normal 4 2 4 3 3 4" xfId="9303" xr:uid="{51CE977A-E9B9-47DD-B6CE-3ECF34A578F1}"/>
    <cellStyle name="Normal 4 2 4 3 3 5" xfId="10259" xr:uid="{7B54BB89-F949-45A2-BB43-33C4F2B35B47}"/>
    <cellStyle name="Normal 4 2 4 3 3 6" xfId="18700" xr:uid="{AF8C2BE8-ACA8-4357-B9BB-4FF27631B6F3}"/>
    <cellStyle name="Normal 4 2 4 3 3 7" xfId="27140" xr:uid="{105E58B5-F0EE-4EC4-B8B6-216B2337BF2F}"/>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9F649283-3DF7-4167-85D0-E64E4F162156}"/>
    <cellStyle name="Normal 4 2 4 3 4 2 2 3" xfId="25475" xr:uid="{E00C9B10-8211-4E16-8A51-B3C58574A5EE}"/>
    <cellStyle name="Normal 4 2 4 3 4 2 2 4" xfId="33915" xr:uid="{E2951B11-10D0-43BE-A36E-D5E1CF642CED}"/>
    <cellStyle name="Normal 4 2 4 3 4 2 3" xfId="12817" xr:uid="{796C601B-3932-458A-A056-A7F3FD1B8C2D}"/>
    <cellStyle name="Normal 4 2 4 3 4 2 4" xfId="21258" xr:uid="{E249D560-B3FC-474A-BC50-4FFB27865D90}"/>
    <cellStyle name="Normal 4 2 4 3 4 2 5" xfId="29698" xr:uid="{95892056-7130-48D9-96D7-D6F25E1FD4AA}"/>
    <cellStyle name="Normal 4 2 4 3 4 3" xfId="5563" xr:uid="{00000000-0005-0000-0000-000099130000}"/>
    <cellStyle name="Normal 4 2 4 3 4 3 2" xfId="14889" xr:uid="{3E6371A8-A379-4AA3-9D7A-BD23E5934E21}"/>
    <cellStyle name="Normal 4 2 4 3 4 3 3" xfId="23330" xr:uid="{89D0AD0D-C59B-418D-91B9-3E9C2B3A9196}"/>
    <cellStyle name="Normal 4 2 4 3 4 3 4" xfId="31770" xr:uid="{A0552BA7-1475-41BD-ADD4-E66E25F28654}"/>
    <cellStyle name="Normal 4 2 4 3 4 4" xfId="10672" xr:uid="{184E3003-34CC-4363-8964-B447E61E39EC}"/>
    <cellStyle name="Normal 4 2 4 3 4 5" xfId="19113" xr:uid="{CADA94B2-EA6A-463E-8416-5D8121FB9952}"/>
    <cellStyle name="Normal 4 2 4 3 4 6" xfId="27553" xr:uid="{7AD208F9-7FCA-4AAA-AAAF-70C0F7B3A3FC}"/>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219A8B58-EC41-4736-B035-4CB287078B17}"/>
    <cellStyle name="Normal 4 2 4 3 5 2 2 3" xfId="25888" xr:uid="{DABDD5EB-31D5-4B96-9EAB-1E0414C96676}"/>
    <cellStyle name="Normal 4 2 4 3 5 2 2 4" xfId="34328" xr:uid="{692E326B-B136-4707-8FAE-937534210602}"/>
    <cellStyle name="Normal 4 2 4 3 5 2 3" xfId="13230" xr:uid="{C1B274AB-E9B0-4F5B-B73E-326F743CBE94}"/>
    <cellStyle name="Normal 4 2 4 3 5 2 4" xfId="21671" xr:uid="{CDCC80CC-F8A9-43D2-B0D9-36422803B114}"/>
    <cellStyle name="Normal 4 2 4 3 5 2 5" xfId="30111" xr:uid="{8A6EB2A0-B035-4BC2-A298-EF1C56B10EB5}"/>
    <cellStyle name="Normal 4 2 4 3 5 3" xfId="5976" xr:uid="{00000000-0005-0000-0000-00009D130000}"/>
    <cellStyle name="Normal 4 2 4 3 5 3 2" xfId="15302" xr:uid="{8E88D24D-B1F7-444C-8A73-FA3065E574D7}"/>
    <cellStyle name="Normal 4 2 4 3 5 3 3" xfId="23743" xr:uid="{313CF38F-F02C-4483-81AB-1873BEDE011B}"/>
    <cellStyle name="Normal 4 2 4 3 5 3 4" xfId="32183" xr:uid="{0309EF7D-4D06-4F6E-8C0A-4DEFA1A6F2CA}"/>
    <cellStyle name="Normal 4 2 4 3 5 4" xfId="11085" xr:uid="{138F0282-DF7C-43B2-A787-2B9C9061D9F2}"/>
    <cellStyle name="Normal 4 2 4 3 5 5" xfId="19526" xr:uid="{CA94CEE6-016A-4744-BFE4-1404EFC90C7F}"/>
    <cellStyle name="Normal 4 2 4 3 5 6" xfId="27966" xr:uid="{61746449-0A81-4F8C-B887-0BFFE27A87B5}"/>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0A2746CE-1E52-4EBE-B501-036E60FB203A}"/>
    <cellStyle name="Normal 4 2 4 3 6 2 2 3" xfId="26301" xr:uid="{8D8CD0D4-2082-4906-987E-759A481554CC}"/>
    <cellStyle name="Normal 4 2 4 3 6 2 2 4" xfId="34741" xr:uid="{3FC24C85-AC1D-4438-8975-4EB4D3CA5598}"/>
    <cellStyle name="Normal 4 2 4 3 6 2 3" xfId="13643" xr:uid="{EFFE469B-D728-473A-8FC6-454011654B60}"/>
    <cellStyle name="Normal 4 2 4 3 6 2 4" xfId="22084" xr:uid="{FCFB1A34-0FE2-4B7E-BDA0-559AB63D563E}"/>
    <cellStyle name="Normal 4 2 4 3 6 2 5" xfId="30524" xr:uid="{3B23CE68-0914-44ED-BB34-30E865EB1337}"/>
    <cellStyle name="Normal 4 2 4 3 6 3" xfId="6389" xr:uid="{00000000-0005-0000-0000-0000A1130000}"/>
    <cellStyle name="Normal 4 2 4 3 6 3 2" xfId="15715" xr:uid="{FF078F30-996A-42EB-AE0C-83F2127CCD45}"/>
    <cellStyle name="Normal 4 2 4 3 6 3 3" xfId="24156" xr:uid="{95DE0171-1F1B-4429-9A3A-173F30D2EEE9}"/>
    <cellStyle name="Normal 4 2 4 3 6 3 4" xfId="32596" xr:uid="{6682DBFA-84DE-423D-AADF-47A046B2A358}"/>
    <cellStyle name="Normal 4 2 4 3 6 4" xfId="11498" xr:uid="{1EEA7313-F823-44AF-AA76-710C41DD3A26}"/>
    <cellStyle name="Normal 4 2 4 3 6 5" xfId="19939" xr:uid="{07A2005C-ADC7-4AFD-B88B-064B5165BEA4}"/>
    <cellStyle name="Normal 4 2 4 3 6 6" xfId="28379" xr:uid="{3CC65F16-D385-4195-BC9A-45F15F3AE0A7}"/>
    <cellStyle name="Normal 4 2 4 3 7" xfId="2519" xr:uid="{00000000-0005-0000-0000-0000A2130000}"/>
    <cellStyle name="Normal 4 2 4 3 7 2" xfId="6802" xr:uid="{00000000-0005-0000-0000-0000A3130000}"/>
    <cellStyle name="Normal 4 2 4 3 7 2 2" xfId="16128" xr:uid="{CC9A6B4B-DB2C-456A-B4DE-4B8507143F0D}"/>
    <cellStyle name="Normal 4 2 4 3 7 2 3" xfId="24569" xr:uid="{BD3B0B48-E947-46A6-B74A-4620606D8081}"/>
    <cellStyle name="Normal 4 2 4 3 7 2 4" xfId="33009" xr:uid="{019C8FB4-FD22-4489-9AED-D35520A02615}"/>
    <cellStyle name="Normal 4 2 4 3 7 3" xfId="11911" xr:uid="{56988549-9B91-46D6-B308-5FDE9CE44C75}"/>
    <cellStyle name="Normal 4 2 4 3 7 4" xfId="20352" xr:uid="{7D561004-64F7-4579-827A-D09A02FFE1B4}"/>
    <cellStyle name="Normal 4 2 4 3 7 5" xfId="28792" xr:uid="{70E6D5B8-141A-47BB-9F18-BE44BAAB5EAD}"/>
    <cellStyle name="Normal 4 2 4 3 8" xfId="4737" xr:uid="{00000000-0005-0000-0000-0000A4130000}"/>
    <cellStyle name="Normal 4 2 4 3 8 2" xfId="14063" xr:uid="{12A5FD98-79EA-4FA9-BCEA-0BA7F78A2BBB}"/>
    <cellStyle name="Normal 4 2 4 3 8 3" xfId="22504" xr:uid="{37D4D963-39AA-40B1-AD3D-53A740734A3D}"/>
    <cellStyle name="Normal 4 2 4 3 8 4" xfId="30944" xr:uid="{5866807B-5B07-49B5-B8EF-9F079041F019}"/>
    <cellStyle name="Normal 4 2 4 3 9" xfId="8878" xr:uid="{B73EE68A-BBFC-4E7A-B773-E14FCCFC8837}"/>
    <cellStyle name="Normal 4 2 4 4" xfId="362" xr:uid="{00000000-0005-0000-0000-0000A5130000}"/>
    <cellStyle name="Normal 4 2 4 4 10" xfId="18289" xr:uid="{5CA4F920-6B5D-4E05-8630-4B2680068BD7}"/>
    <cellStyle name="Normal 4 2 4 4 11" xfId="26729" xr:uid="{A8D5C2F9-2F89-4659-A554-E1596A6491A4}"/>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78A95221-B138-4769-A8A3-CE93E5EA6D2D}"/>
    <cellStyle name="Normal 4 2 4 4 2 2 2 3" xfId="25064" xr:uid="{11D2C5A5-5E2B-4CEA-B646-5A62C16D83BA}"/>
    <cellStyle name="Normal 4 2 4 4 2 2 2 4" xfId="33504" xr:uid="{C4CBE48C-4C2F-45E3-AD4A-0530F94353F0}"/>
    <cellStyle name="Normal 4 2 4 4 2 2 3" xfId="12406" xr:uid="{2801DDCA-549E-4D1C-8268-5F56B73D1750}"/>
    <cellStyle name="Normal 4 2 4 4 2 2 4" xfId="20847" xr:uid="{1A9F8030-3349-4F88-A7B5-B1268FDB038C}"/>
    <cellStyle name="Normal 4 2 4 4 2 2 5" xfId="29287" xr:uid="{1DE2AA93-140D-4D17-90C5-273A9414DB55}"/>
    <cellStyle name="Normal 4 2 4 4 2 3" xfId="5152" xr:uid="{00000000-0005-0000-0000-0000A9130000}"/>
    <cellStyle name="Normal 4 2 4 4 2 3 2" xfId="14478" xr:uid="{A87C9BC0-2BC7-4700-8005-002DFA6245F7}"/>
    <cellStyle name="Normal 4 2 4 4 2 3 3" xfId="22919" xr:uid="{FE235A2B-18FC-44CC-9EEE-0CA343AB2B8D}"/>
    <cellStyle name="Normal 4 2 4 4 2 3 4" xfId="31359" xr:uid="{37E7A201-3BE6-41D1-81E6-AB1D5339FBCB}"/>
    <cellStyle name="Normal 4 2 4 4 2 4" xfId="9407" xr:uid="{5D8D6A7A-388E-41EC-80E9-28307FA015D6}"/>
    <cellStyle name="Normal 4 2 4 4 2 5" xfId="10261" xr:uid="{67E7DAA0-A2DA-4969-A1A5-5F5B5D3D8E07}"/>
    <cellStyle name="Normal 4 2 4 4 2 6" xfId="18702" xr:uid="{E99FB421-F713-4522-86C6-AC303C215200}"/>
    <cellStyle name="Normal 4 2 4 4 2 7" xfId="27142" xr:uid="{B8ACD456-DE1E-45F4-8E7A-B2A4B8024AC3}"/>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80B0728F-8797-4653-9639-9CEAADFD480E}"/>
    <cellStyle name="Normal 4 2 4 4 3 2 2 3" xfId="25477" xr:uid="{27D75854-C3D0-4AFC-BA3C-7EC301F6AA23}"/>
    <cellStyle name="Normal 4 2 4 4 3 2 2 4" xfId="33917" xr:uid="{DD83F0D0-2293-46F4-8B0B-B6C18F6B3342}"/>
    <cellStyle name="Normal 4 2 4 4 3 2 3" xfId="12819" xr:uid="{45B886B9-990C-4B4A-9FF7-6D09CC8EFC61}"/>
    <cellStyle name="Normal 4 2 4 4 3 2 4" xfId="21260" xr:uid="{D726DD8F-19B2-4DF4-A656-B356E620FE82}"/>
    <cellStyle name="Normal 4 2 4 4 3 2 5" xfId="29700" xr:uid="{242DDD85-014F-4414-8336-FF7CBA075C5A}"/>
    <cellStyle name="Normal 4 2 4 4 3 3" xfId="5565" xr:uid="{00000000-0005-0000-0000-0000AD130000}"/>
    <cellStyle name="Normal 4 2 4 4 3 3 2" xfId="14891" xr:uid="{8689741C-0B5E-42EC-9E1E-A7E38B078F71}"/>
    <cellStyle name="Normal 4 2 4 4 3 3 3" xfId="23332" xr:uid="{9CF5A3CA-888A-42B6-9243-B8722595878A}"/>
    <cellStyle name="Normal 4 2 4 4 3 3 4" xfId="31772" xr:uid="{020D657C-4A39-4760-9D88-9AB62C0DCE73}"/>
    <cellStyle name="Normal 4 2 4 4 3 4" xfId="10674" xr:uid="{6097D681-A3E8-453B-B215-1543A39AEB1D}"/>
    <cellStyle name="Normal 4 2 4 4 3 5" xfId="19115" xr:uid="{584EFFC4-4E74-45BF-9F2C-665BD886304C}"/>
    <cellStyle name="Normal 4 2 4 4 3 6" xfId="27555" xr:uid="{20C8E70E-6E6B-4642-AE46-833B0C965C0B}"/>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A4C566BD-6062-475B-B332-3B3C5800A151}"/>
    <cellStyle name="Normal 4 2 4 4 4 2 2 3" xfId="25890" xr:uid="{8EB6BF4D-40D4-4582-B01C-357CAC51587E}"/>
    <cellStyle name="Normal 4 2 4 4 4 2 2 4" xfId="34330" xr:uid="{C6BFAEA8-A4AE-434E-A280-419A7F61086B}"/>
    <cellStyle name="Normal 4 2 4 4 4 2 3" xfId="13232" xr:uid="{CEBD27EA-153D-4502-B910-F2823520A704}"/>
    <cellStyle name="Normal 4 2 4 4 4 2 4" xfId="21673" xr:uid="{A0CA4790-1C72-472B-86B6-8374140EC2F4}"/>
    <cellStyle name="Normal 4 2 4 4 4 2 5" xfId="30113" xr:uid="{A63CD72D-4E17-443C-935E-15AFB3941070}"/>
    <cellStyle name="Normal 4 2 4 4 4 3" xfId="5978" xr:uid="{00000000-0005-0000-0000-0000B1130000}"/>
    <cellStyle name="Normal 4 2 4 4 4 3 2" xfId="15304" xr:uid="{D3B2D9A0-16EC-4DD9-881D-7283A1DB46B7}"/>
    <cellStyle name="Normal 4 2 4 4 4 3 3" xfId="23745" xr:uid="{CD0C274E-8088-4140-A836-2040C731B1EC}"/>
    <cellStyle name="Normal 4 2 4 4 4 3 4" xfId="32185" xr:uid="{F43EAEF6-45A2-4D99-870D-458528BF2A73}"/>
    <cellStyle name="Normal 4 2 4 4 4 4" xfId="11087" xr:uid="{1F96A8F3-ED90-419C-B88F-AFB2D92A1271}"/>
    <cellStyle name="Normal 4 2 4 4 4 5" xfId="19528" xr:uid="{488ED897-40E3-489F-A9F7-BBD395142EF9}"/>
    <cellStyle name="Normal 4 2 4 4 4 6" xfId="27968" xr:uid="{AF1119B7-66F0-4349-B2A0-BA38CF5445A5}"/>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C4DBADEC-0C63-4171-88BE-DEC41DB2F105}"/>
    <cellStyle name="Normal 4 2 4 4 5 2 2 3" xfId="26303" xr:uid="{BE5C1F6E-A4BD-492B-8708-A3FF0436046D}"/>
    <cellStyle name="Normal 4 2 4 4 5 2 2 4" xfId="34743" xr:uid="{5F6A28AF-7B82-4B0A-B225-9964DA7AF023}"/>
    <cellStyle name="Normal 4 2 4 4 5 2 3" xfId="13645" xr:uid="{678A6C80-D462-42D3-92FC-8EF232577307}"/>
    <cellStyle name="Normal 4 2 4 4 5 2 4" xfId="22086" xr:uid="{B9E620AE-F412-4523-82E5-C8C4CEB863D7}"/>
    <cellStyle name="Normal 4 2 4 4 5 2 5" xfId="30526" xr:uid="{0E847973-A5BC-4CC1-9F5C-9CD4F69FE737}"/>
    <cellStyle name="Normal 4 2 4 4 5 3" xfId="6391" xr:uid="{00000000-0005-0000-0000-0000B5130000}"/>
    <cellStyle name="Normal 4 2 4 4 5 3 2" xfId="15717" xr:uid="{14C753CD-9F7A-4B24-ACEB-6A9C0659BF64}"/>
    <cellStyle name="Normal 4 2 4 4 5 3 3" xfId="24158" xr:uid="{BE558FD9-28A2-4365-863E-CDD440FD510A}"/>
    <cellStyle name="Normal 4 2 4 4 5 3 4" xfId="32598" xr:uid="{EB9CEE22-693A-494B-A948-E698538A3D87}"/>
    <cellStyle name="Normal 4 2 4 4 5 4" xfId="11500" xr:uid="{97E612FF-0837-4FB3-8BB4-13531A1553E1}"/>
    <cellStyle name="Normal 4 2 4 4 5 5" xfId="19941" xr:uid="{88F608D6-CE71-41AF-A275-F21463BB2A77}"/>
    <cellStyle name="Normal 4 2 4 4 5 6" xfId="28381" xr:uid="{FAC7B4D7-8B5E-41C6-90D9-E71CACC72556}"/>
    <cellStyle name="Normal 4 2 4 4 6" xfId="2521" xr:uid="{00000000-0005-0000-0000-0000B6130000}"/>
    <cellStyle name="Normal 4 2 4 4 6 2" xfId="6804" xr:uid="{00000000-0005-0000-0000-0000B7130000}"/>
    <cellStyle name="Normal 4 2 4 4 6 2 2" xfId="16130" xr:uid="{794D65B4-36EA-43F7-A631-04E6C6DBA4B0}"/>
    <cellStyle name="Normal 4 2 4 4 6 2 3" xfId="24571" xr:uid="{F2FB5DCC-B0C7-4851-820A-3DED71867DF5}"/>
    <cellStyle name="Normal 4 2 4 4 6 2 4" xfId="33011" xr:uid="{0239890B-F6D4-4A9B-849C-E0EBCCAB107C}"/>
    <cellStyle name="Normal 4 2 4 4 6 3" xfId="11913" xr:uid="{BAE6B1EE-4ECE-4ACD-A595-0E655775152C}"/>
    <cellStyle name="Normal 4 2 4 4 6 4" xfId="20354" xr:uid="{7632D056-6C50-419D-B832-B025D80877DB}"/>
    <cellStyle name="Normal 4 2 4 4 6 5" xfId="28794" xr:uid="{7EB52C8D-C1B0-48B9-9B6F-DF5C6EADC76B}"/>
    <cellStyle name="Normal 4 2 4 4 7" xfId="4739" xr:uid="{00000000-0005-0000-0000-0000B8130000}"/>
    <cellStyle name="Normal 4 2 4 4 7 2" xfId="14065" xr:uid="{0F57A6DC-C9BC-48BB-B5FC-BDD2081B0DBB}"/>
    <cellStyle name="Normal 4 2 4 4 7 3" xfId="22506" xr:uid="{8946A427-1EAF-43EE-8B93-55A418B51130}"/>
    <cellStyle name="Normal 4 2 4 4 7 4" xfId="30946" xr:uid="{CB000CEA-DE21-490D-8E10-0A2CEDDC75B0}"/>
    <cellStyle name="Normal 4 2 4 4 8" xfId="8982" xr:uid="{4C273C9B-E12E-4EF2-812F-666600229207}"/>
    <cellStyle name="Normal 4 2 4 4 9" xfId="9848" xr:uid="{295BDDFC-5DB4-4064-9D57-831A43594812}"/>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F9A09DB7-1599-415B-B4F1-4DFD84B78B55}"/>
    <cellStyle name="Normal 4 2 4 5 2 2 3" xfId="25057" xr:uid="{1361A496-DD22-4BE9-B56E-BF92693E6FCA}"/>
    <cellStyle name="Normal 4 2 4 5 2 2 4" xfId="33497" xr:uid="{56A30F45-A09B-4E9A-9FD3-CCCA08CCD13B}"/>
    <cellStyle name="Normal 4 2 4 5 2 3" xfId="12399" xr:uid="{DDBCE8C3-9DA0-4C0E-A34B-5E729911EAB6}"/>
    <cellStyle name="Normal 4 2 4 5 2 4" xfId="20840" xr:uid="{2B64DD4A-2EEE-466F-9F0C-15170A4B4BAB}"/>
    <cellStyle name="Normal 4 2 4 5 2 5" xfId="29280" xr:uid="{0B19DFA1-6041-41D6-B0E0-7F37A38525F1}"/>
    <cellStyle name="Normal 4 2 4 5 3" xfId="5145" xr:uid="{00000000-0005-0000-0000-0000BC130000}"/>
    <cellStyle name="Normal 4 2 4 5 3 2" xfId="14471" xr:uid="{102EC73D-0AA0-4D5A-8EA8-2D6796CFFE0F}"/>
    <cellStyle name="Normal 4 2 4 5 3 3" xfId="22912" xr:uid="{FB436C3F-4CD8-424F-A2ED-B4C85BD5AF2B}"/>
    <cellStyle name="Normal 4 2 4 5 3 4" xfId="31352" xr:uid="{7ED4716F-D51B-4354-879F-D80D6FEF0E92}"/>
    <cellStyle name="Normal 4 2 4 5 4" xfId="9199" xr:uid="{1A9A2DC3-2FEA-4A30-A92C-84708E9B2741}"/>
    <cellStyle name="Normal 4 2 4 5 5" xfId="10254" xr:uid="{36696135-3508-4DC1-8674-F3349267E4C3}"/>
    <cellStyle name="Normal 4 2 4 5 6" xfId="18695" xr:uid="{940AB278-7080-46E9-9812-1B6E46FAB1E4}"/>
    <cellStyle name="Normal 4 2 4 5 7" xfId="27135" xr:uid="{E4770D0D-E6E6-4558-AEC3-B341BC844497}"/>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BEB9309A-84B0-4AF2-A0B2-0FBF09053C27}"/>
    <cellStyle name="Normal 4 2 4 6 2 2 3" xfId="25470" xr:uid="{AD0D00AF-EA01-4A3B-AFE5-8138935DCF91}"/>
    <cellStyle name="Normal 4 2 4 6 2 2 4" xfId="33910" xr:uid="{6979DDB4-E4D0-4728-B5D1-DB56C61F78DD}"/>
    <cellStyle name="Normal 4 2 4 6 2 3" xfId="12812" xr:uid="{B9A7F3E6-12BC-4545-A011-D66CF5F6E449}"/>
    <cellStyle name="Normal 4 2 4 6 2 4" xfId="21253" xr:uid="{F0EF25BD-EFD0-4211-903A-432BF0B1F883}"/>
    <cellStyle name="Normal 4 2 4 6 2 5" xfId="29693" xr:uid="{386CD974-B6F8-46DB-B156-C94FEA32D488}"/>
    <cellStyle name="Normal 4 2 4 6 3" xfId="5558" xr:uid="{00000000-0005-0000-0000-0000C0130000}"/>
    <cellStyle name="Normal 4 2 4 6 3 2" xfId="14884" xr:uid="{3C618D3B-CD06-4F61-A140-35466D0B69B3}"/>
    <cellStyle name="Normal 4 2 4 6 3 3" xfId="23325" xr:uid="{0BF75756-3EAB-46C1-99BE-24BE8AF31945}"/>
    <cellStyle name="Normal 4 2 4 6 3 4" xfId="31765" xr:uid="{C0810006-0A64-4575-B135-438EC8C57921}"/>
    <cellStyle name="Normal 4 2 4 6 4" xfId="10667" xr:uid="{00B622E9-7CD7-45D6-8F25-3D1724242CED}"/>
    <cellStyle name="Normal 4 2 4 6 5" xfId="19108" xr:uid="{0F541A48-9A7E-4F76-B02B-B500DCE80836}"/>
    <cellStyle name="Normal 4 2 4 6 6" xfId="27548" xr:uid="{9EB5FE44-CB49-4FA5-A1BA-72C2B42B8035}"/>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C8A4D9D0-C789-4A48-A34A-A4017BF19888}"/>
    <cellStyle name="Normal 4 2 4 7 2 2 3" xfId="25883" xr:uid="{144D6588-34F9-4B73-A745-4044DB14643E}"/>
    <cellStyle name="Normal 4 2 4 7 2 2 4" xfId="34323" xr:uid="{FCAEE906-B7F0-4CF6-82B0-3E10A1CBE20B}"/>
    <cellStyle name="Normal 4 2 4 7 2 3" xfId="13225" xr:uid="{28779B4E-1546-4400-8C33-F0A766113B6D}"/>
    <cellStyle name="Normal 4 2 4 7 2 4" xfId="21666" xr:uid="{86B14860-FEF2-4B4C-9ACF-99FACB206FB9}"/>
    <cellStyle name="Normal 4 2 4 7 2 5" xfId="30106" xr:uid="{9B034A52-C1EE-4EC9-9966-0EB89D30FE78}"/>
    <cellStyle name="Normal 4 2 4 7 3" xfId="5971" xr:uid="{00000000-0005-0000-0000-0000C4130000}"/>
    <cellStyle name="Normal 4 2 4 7 3 2" xfId="15297" xr:uid="{3E094C53-BAC8-4455-A906-2A2105C4C63A}"/>
    <cellStyle name="Normal 4 2 4 7 3 3" xfId="23738" xr:uid="{5F4A6D17-9DBB-4470-ADCF-4E6B1A83193D}"/>
    <cellStyle name="Normal 4 2 4 7 3 4" xfId="32178" xr:uid="{1B476917-AE64-47A2-AE99-B8421527694C}"/>
    <cellStyle name="Normal 4 2 4 7 4" xfId="11080" xr:uid="{D123A6A0-3263-4EDC-A50E-06B947BCB38C}"/>
    <cellStyle name="Normal 4 2 4 7 5" xfId="19521" xr:uid="{099E2F4C-319A-44B9-9C7D-6FC867F2F9DD}"/>
    <cellStyle name="Normal 4 2 4 7 6" xfId="27961" xr:uid="{CDC127BD-B7C3-47E0-B868-24073990FC2C}"/>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0E91CA0C-EB9C-4A10-89A8-7D5423F352D7}"/>
    <cellStyle name="Normal 4 2 4 8 2 2 3" xfId="26296" xr:uid="{DC6A1F26-AD0D-4CD8-ADE3-67B01595FB13}"/>
    <cellStyle name="Normal 4 2 4 8 2 2 4" xfId="34736" xr:uid="{35AF4EF0-8D56-42A7-9DE2-7CCE41DB5A13}"/>
    <cellStyle name="Normal 4 2 4 8 2 3" xfId="13638" xr:uid="{076A1C50-AB27-4FA2-AB0D-AEE41477D4A1}"/>
    <cellStyle name="Normal 4 2 4 8 2 4" xfId="22079" xr:uid="{93247D6B-F682-492E-BF3C-5AA5F5FBA368}"/>
    <cellStyle name="Normal 4 2 4 8 2 5" xfId="30519" xr:uid="{25723057-2430-44B8-B792-EF41627F8F93}"/>
    <cellStyle name="Normal 4 2 4 8 3" xfId="6384" xr:uid="{00000000-0005-0000-0000-0000C8130000}"/>
    <cellStyle name="Normal 4 2 4 8 3 2" xfId="15710" xr:uid="{C080D2E1-C97B-418D-B84A-F52A8D75E489}"/>
    <cellStyle name="Normal 4 2 4 8 3 3" xfId="24151" xr:uid="{C3527C83-004D-466E-B555-4545F18CB583}"/>
    <cellStyle name="Normal 4 2 4 8 3 4" xfId="32591" xr:uid="{BE3B779E-B453-4DBA-BE6E-F988BCEEF930}"/>
    <cellStyle name="Normal 4 2 4 8 4" xfId="11493" xr:uid="{257DBD4A-CCED-46A1-A136-5D16F9D32E98}"/>
    <cellStyle name="Normal 4 2 4 8 5" xfId="19934" xr:uid="{8C949F18-525A-422B-B34E-84AF209BA2AC}"/>
    <cellStyle name="Normal 4 2 4 8 6" xfId="28374" xr:uid="{487A9C47-0EC2-40EC-9C55-84AEDA9B8A58}"/>
    <cellStyle name="Normal 4 2 4 9" xfId="2514" xr:uid="{00000000-0005-0000-0000-0000C9130000}"/>
    <cellStyle name="Normal 4 2 4 9 2" xfId="6797" xr:uid="{00000000-0005-0000-0000-0000CA130000}"/>
    <cellStyle name="Normal 4 2 4 9 2 2" xfId="16123" xr:uid="{EFBEC576-93EA-4D93-ACD4-B53E2CFAB728}"/>
    <cellStyle name="Normal 4 2 4 9 2 3" xfId="24564" xr:uid="{30EBC013-CEC7-4D18-BF4E-69BF0EB6E444}"/>
    <cellStyle name="Normal 4 2 4 9 2 4" xfId="33004" xr:uid="{6D13ACB0-20F1-438B-A53C-B5562FADEF63}"/>
    <cellStyle name="Normal 4 2 4 9 3" xfId="11906" xr:uid="{94AED52A-FA50-456F-8C5D-6899CE34F369}"/>
    <cellStyle name="Normal 4 2 4 9 4" xfId="20347" xr:uid="{B14CBE83-1E8B-45C6-BBBD-3D6C41641D5F}"/>
    <cellStyle name="Normal 4 2 4 9 5" xfId="28787" xr:uid="{EB90F8A2-5AED-4885-80A4-9C8C10AA5C70}"/>
    <cellStyle name="Normal 4 2 5" xfId="363" xr:uid="{00000000-0005-0000-0000-0000CB130000}"/>
    <cellStyle name="Normal 4 2 5 10" xfId="9849" xr:uid="{B7638027-9397-4C17-91BD-DA366FA082EC}"/>
    <cellStyle name="Normal 4 2 5 11" xfId="18290" xr:uid="{4A0D4AA2-36B2-4AE1-BDCF-49ADD2B80FBE}"/>
    <cellStyle name="Normal 4 2 5 12" xfId="26730" xr:uid="{41CD9ACE-B918-46EB-9685-B47B93454645}"/>
    <cellStyle name="Normal 4 2 5 2" xfId="364" xr:uid="{00000000-0005-0000-0000-0000CC130000}"/>
    <cellStyle name="Normal 4 2 5 2 10" xfId="18291" xr:uid="{4EE44700-040C-4BB6-AC3C-726CD7B60BA8}"/>
    <cellStyle name="Normal 4 2 5 2 11" xfId="26731" xr:uid="{BEE60CAF-9903-4089-9870-619E9805CB3D}"/>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839F93DE-B943-4480-8A6F-DBC18070FCB8}"/>
    <cellStyle name="Normal 4 2 5 2 2 2 2 3" xfId="25066" xr:uid="{6847FF5F-6D0D-44F8-8935-879BC0039C07}"/>
    <cellStyle name="Normal 4 2 5 2 2 2 2 4" xfId="33506" xr:uid="{2F2233B6-DFDE-49FF-8A5C-ED2836DE2980}"/>
    <cellStyle name="Normal 4 2 5 2 2 2 3" xfId="12408" xr:uid="{D48CC309-1B4A-4E7B-9C33-992193E8A0EB}"/>
    <cellStyle name="Normal 4 2 5 2 2 2 4" xfId="20849" xr:uid="{9F4C892E-818C-4EDC-8AA5-2EC6EE5EB2EB}"/>
    <cellStyle name="Normal 4 2 5 2 2 2 5" xfId="29289" xr:uid="{280CDC7A-F287-4126-B2BA-C06308C303E6}"/>
    <cellStyle name="Normal 4 2 5 2 2 3" xfId="5154" xr:uid="{00000000-0005-0000-0000-0000D0130000}"/>
    <cellStyle name="Normal 4 2 5 2 2 3 2" xfId="14480" xr:uid="{05BFDDE6-100C-4597-B2F2-2E3B24D4CECC}"/>
    <cellStyle name="Normal 4 2 5 2 2 3 3" xfId="22921" xr:uid="{C1434177-3764-4E08-ADD5-259B647D2D4C}"/>
    <cellStyle name="Normal 4 2 5 2 2 3 4" xfId="31361" xr:uid="{23DEE998-1313-41A7-926C-E756D79400D6}"/>
    <cellStyle name="Normal 4 2 5 2 2 4" xfId="9478" xr:uid="{9FEAEEC2-067D-4244-BB0F-0858128140EB}"/>
    <cellStyle name="Normal 4 2 5 2 2 5" xfId="10263" xr:uid="{C511DA88-8538-4C26-8264-4B621B249F0B}"/>
    <cellStyle name="Normal 4 2 5 2 2 6" xfId="18704" xr:uid="{A61A12E4-6779-4FA9-9E9A-24043715129B}"/>
    <cellStyle name="Normal 4 2 5 2 2 7" xfId="27144" xr:uid="{3783655E-7299-4B84-8C42-18788B000F04}"/>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1E0E5376-3231-43F9-BD4F-EF954D2FACA4}"/>
    <cellStyle name="Normal 4 2 5 2 3 2 2 3" xfId="25479" xr:uid="{16301E9E-34DA-48EC-9170-9A7921ABF59A}"/>
    <cellStyle name="Normal 4 2 5 2 3 2 2 4" xfId="33919" xr:uid="{B2B71047-1AEF-4A7E-9499-DE705BF12922}"/>
    <cellStyle name="Normal 4 2 5 2 3 2 3" xfId="12821" xr:uid="{3D7C678E-B4AD-4FCF-802D-F6BB0D525EF9}"/>
    <cellStyle name="Normal 4 2 5 2 3 2 4" xfId="21262" xr:uid="{9550801A-4715-490A-9A7B-A6D77B2F7C41}"/>
    <cellStyle name="Normal 4 2 5 2 3 2 5" xfId="29702" xr:uid="{9E30CFFA-CF8E-4EA8-A936-44FDCA80C0C0}"/>
    <cellStyle name="Normal 4 2 5 2 3 3" xfId="5567" xr:uid="{00000000-0005-0000-0000-0000D4130000}"/>
    <cellStyle name="Normal 4 2 5 2 3 3 2" xfId="14893" xr:uid="{2D19926F-1B0C-40F1-9678-C9104E6D28DC}"/>
    <cellStyle name="Normal 4 2 5 2 3 3 3" xfId="23334" xr:uid="{520FE453-054F-4E57-9EBA-9139AEE88A73}"/>
    <cellStyle name="Normal 4 2 5 2 3 3 4" xfId="31774" xr:uid="{AD55CFC7-5B57-4DC4-B951-E6DAE07461BD}"/>
    <cellStyle name="Normal 4 2 5 2 3 4" xfId="10676" xr:uid="{3ACB0B27-1D78-4DB8-B203-3EFAC3D65091}"/>
    <cellStyle name="Normal 4 2 5 2 3 5" xfId="19117" xr:uid="{3AB764DD-F634-45C5-98B2-313BEAA7F1AB}"/>
    <cellStyle name="Normal 4 2 5 2 3 6" xfId="27557" xr:uid="{AE673547-5E9E-4686-BC99-16D76F8BB90D}"/>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0B6C6437-5B29-49AC-8F69-42683B646A43}"/>
    <cellStyle name="Normal 4 2 5 2 4 2 2 3" xfId="25892" xr:uid="{8FCAB0E1-48CC-4048-9B98-6144F74910E9}"/>
    <cellStyle name="Normal 4 2 5 2 4 2 2 4" xfId="34332" xr:uid="{500F3941-3A9B-4435-A8C6-69E649B804B8}"/>
    <cellStyle name="Normal 4 2 5 2 4 2 3" xfId="13234" xr:uid="{4E5FABA2-82B3-4AE6-93BD-4E10295BBBBE}"/>
    <cellStyle name="Normal 4 2 5 2 4 2 4" xfId="21675" xr:uid="{C326395E-EC4D-4659-BFEF-EE4DFF859AF7}"/>
    <cellStyle name="Normal 4 2 5 2 4 2 5" xfId="30115" xr:uid="{56A064A7-54CC-4905-9747-1BDAC21FAAA4}"/>
    <cellStyle name="Normal 4 2 5 2 4 3" xfId="5980" xr:uid="{00000000-0005-0000-0000-0000D8130000}"/>
    <cellStyle name="Normal 4 2 5 2 4 3 2" xfId="15306" xr:uid="{36743787-F898-496E-837B-84F2B3BC0A2D}"/>
    <cellStyle name="Normal 4 2 5 2 4 3 3" xfId="23747" xr:uid="{7C4E9B51-9000-40CD-8D10-9B7747AD7253}"/>
    <cellStyle name="Normal 4 2 5 2 4 3 4" xfId="32187" xr:uid="{EEA636E5-7202-4121-842A-157FCB6DD1B3}"/>
    <cellStyle name="Normal 4 2 5 2 4 4" xfId="11089" xr:uid="{9A7EDF4F-86B6-4114-A761-93CD26C75F99}"/>
    <cellStyle name="Normal 4 2 5 2 4 5" xfId="19530" xr:uid="{0DEF7CDF-BB2A-4F14-8ADE-037975249044}"/>
    <cellStyle name="Normal 4 2 5 2 4 6" xfId="27970" xr:uid="{717AF8CB-B358-40D1-8244-E803652346DE}"/>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076B41D9-8F59-48BE-B6D9-A3AE74039C10}"/>
    <cellStyle name="Normal 4 2 5 2 5 2 2 3" xfId="26305" xr:uid="{37900732-3EC7-4909-A85D-DC7F73F91CD5}"/>
    <cellStyle name="Normal 4 2 5 2 5 2 2 4" xfId="34745" xr:uid="{D1775256-AE6D-4D33-839F-9071D532E535}"/>
    <cellStyle name="Normal 4 2 5 2 5 2 3" xfId="13647" xr:uid="{697EA4D2-4F7C-47B7-9C30-EA0AD3B05335}"/>
    <cellStyle name="Normal 4 2 5 2 5 2 4" xfId="22088" xr:uid="{312128F8-081A-4940-A986-F4C6F5B99956}"/>
    <cellStyle name="Normal 4 2 5 2 5 2 5" xfId="30528" xr:uid="{A7EAEA35-6ABD-4105-90DA-81B938445FB9}"/>
    <cellStyle name="Normal 4 2 5 2 5 3" xfId="6393" xr:uid="{00000000-0005-0000-0000-0000DC130000}"/>
    <cellStyle name="Normal 4 2 5 2 5 3 2" xfId="15719" xr:uid="{171F80F4-9EC6-41A7-AFA4-9A51114500ED}"/>
    <cellStyle name="Normal 4 2 5 2 5 3 3" xfId="24160" xr:uid="{CF8CC9B1-0559-4297-80E0-8C0707DA3905}"/>
    <cellStyle name="Normal 4 2 5 2 5 3 4" xfId="32600" xr:uid="{AAD6A866-5821-4A5F-8120-07F3EF31613C}"/>
    <cellStyle name="Normal 4 2 5 2 5 4" xfId="11502" xr:uid="{98A742AF-43A6-4192-A9EF-60DAD066C78E}"/>
    <cellStyle name="Normal 4 2 5 2 5 5" xfId="19943" xr:uid="{DC44E81F-2AAC-4EEE-9A3C-6659D21813F2}"/>
    <cellStyle name="Normal 4 2 5 2 5 6" xfId="28383" xr:uid="{E4CCB434-6ECF-4B1B-9351-E1E7C8CC33A9}"/>
    <cellStyle name="Normal 4 2 5 2 6" xfId="2523" xr:uid="{00000000-0005-0000-0000-0000DD130000}"/>
    <cellStyle name="Normal 4 2 5 2 6 2" xfId="6806" xr:uid="{00000000-0005-0000-0000-0000DE130000}"/>
    <cellStyle name="Normal 4 2 5 2 6 2 2" xfId="16132" xr:uid="{A1A97261-4CC0-4C0B-83FE-D0F27ED2FCB8}"/>
    <cellStyle name="Normal 4 2 5 2 6 2 3" xfId="24573" xr:uid="{8C61554F-B655-44AA-8443-49F27E9D408C}"/>
    <cellStyle name="Normal 4 2 5 2 6 2 4" xfId="33013" xr:uid="{AE4B0B7D-380E-4867-93DC-A3CA80249E17}"/>
    <cellStyle name="Normal 4 2 5 2 6 3" xfId="11915" xr:uid="{FCB22469-F3DD-4A39-ABD3-0C92F331CE9F}"/>
    <cellStyle name="Normal 4 2 5 2 6 4" xfId="20356" xr:uid="{557A049E-04E1-4D26-A7E4-CA7418318C3A}"/>
    <cellStyle name="Normal 4 2 5 2 6 5" xfId="28796" xr:uid="{AB6CE2EB-E408-4A56-8F08-980D1B79602C}"/>
    <cellStyle name="Normal 4 2 5 2 7" xfId="4741" xr:uid="{00000000-0005-0000-0000-0000DF130000}"/>
    <cellStyle name="Normal 4 2 5 2 7 2" xfId="14067" xr:uid="{4298778E-C5E0-4D71-AAF3-68EB744DBAFC}"/>
    <cellStyle name="Normal 4 2 5 2 7 3" xfId="22508" xr:uid="{CCAE1F91-3496-4211-94C0-C8F55B1094BB}"/>
    <cellStyle name="Normal 4 2 5 2 7 4" xfId="30948" xr:uid="{8D1DF631-CE63-40DD-8475-E2866E1851E7}"/>
    <cellStyle name="Normal 4 2 5 2 8" xfId="9053" xr:uid="{0AE18A98-D9E6-47B9-86B0-DDAD3BC77B48}"/>
    <cellStyle name="Normal 4 2 5 2 9" xfId="9850" xr:uid="{98765DA4-38B4-42C6-9DF7-B31AE284BD61}"/>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BEDC9DD5-FBF0-49AE-A687-9ED6D25D3B8F}"/>
    <cellStyle name="Normal 4 2 5 3 2 2 3" xfId="25065" xr:uid="{70B6BEC6-2B8A-423F-8A57-8EA641D997D2}"/>
    <cellStyle name="Normal 4 2 5 3 2 2 4" xfId="33505" xr:uid="{1D64B9AB-221F-4CD3-9B5E-7109C5893FE1}"/>
    <cellStyle name="Normal 4 2 5 3 2 3" xfId="12407" xr:uid="{4DAB04AB-5736-4278-A3DA-C3EDA42EC233}"/>
    <cellStyle name="Normal 4 2 5 3 2 4" xfId="20848" xr:uid="{4AE38995-7BE6-47F2-8498-608A9D5B1C0C}"/>
    <cellStyle name="Normal 4 2 5 3 2 5" xfId="29288" xr:uid="{D3613591-E235-49FD-84B7-9278B94C8B1E}"/>
    <cellStyle name="Normal 4 2 5 3 3" xfId="5153" xr:uid="{00000000-0005-0000-0000-0000E3130000}"/>
    <cellStyle name="Normal 4 2 5 3 3 2" xfId="14479" xr:uid="{776C0FB2-9EAA-46DB-B25F-69B2216CDB32}"/>
    <cellStyle name="Normal 4 2 5 3 3 3" xfId="22920" xr:uid="{805C8FF3-B318-4168-949B-2F460F6D0086}"/>
    <cellStyle name="Normal 4 2 5 3 3 4" xfId="31360" xr:uid="{30D3D990-64B0-4989-AB20-3B23D00DF2A2}"/>
    <cellStyle name="Normal 4 2 5 3 4" xfId="9271" xr:uid="{41AE7BB1-E3C7-48BD-B24F-55AE39E68BB6}"/>
    <cellStyle name="Normal 4 2 5 3 5" xfId="10262" xr:uid="{7AFF8E65-FA13-4AA4-B734-963924F29909}"/>
    <cellStyle name="Normal 4 2 5 3 6" xfId="18703" xr:uid="{36A13754-D2A9-4A77-ABE2-5E68819B6621}"/>
    <cellStyle name="Normal 4 2 5 3 7" xfId="27143" xr:uid="{EAB9D719-D6E1-483D-B3CC-578819190516}"/>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C555DEE4-7C7C-4EDA-A0B6-B999D7D8F364}"/>
    <cellStyle name="Normal 4 2 5 4 2 2 3" xfId="25478" xr:uid="{F1DFB8FF-732D-4FC6-ABCD-071A1BC54A45}"/>
    <cellStyle name="Normal 4 2 5 4 2 2 4" xfId="33918" xr:uid="{60FADD7B-4701-452E-8B1E-2844237E4A18}"/>
    <cellStyle name="Normal 4 2 5 4 2 3" xfId="12820" xr:uid="{579637BB-2117-4955-92F5-56516A4B6248}"/>
    <cellStyle name="Normal 4 2 5 4 2 4" xfId="21261" xr:uid="{2FC2FF3A-DD1C-44B8-8324-B237189BFBD5}"/>
    <cellStyle name="Normal 4 2 5 4 2 5" xfId="29701" xr:uid="{42860BCB-9DF6-455E-B2DA-31DBC96FA464}"/>
    <cellStyle name="Normal 4 2 5 4 3" xfId="5566" xr:uid="{00000000-0005-0000-0000-0000E7130000}"/>
    <cellStyle name="Normal 4 2 5 4 3 2" xfId="14892" xr:uid="{F5850737-EA16-44C4-8ADA-C7482374EEAA}"/>
    <cellStyle name="Normal 4 2 5 4 3 3" xfId="23333" xr:uid="{4F4ACA8A-1208-4AE1-A7B4-861FAE69C9CE}"/>
    <cellStyle name="Normal 4 2 5 4 3 4" xfId="31773" xr:uid="{6D43C7ED-528A-4E20-9A0B-E71175FFBB1C}"/>
    <cellStyle name="Normal 4 2 5 4 4" xfId="10675" xr:uid="{D97A78EC-8E84-410E-BFE9-B7452D6B6E83}"/>
    <cellStyle name="Normal 4 2 5 4 5" xfId="19116" xr:uid="{5251CB59-31F9-4428-8AD6-A721AA634D96}"/>
    <cellStyle name="Normal 4 2 5 4 6" xfId="27556" xr:uid="{2FA3032B-0924-4C25-B822-97BDC4169443}"/>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5455056B-6128-44EA-8BB3-C7ED7E7C4422}"/>
    <cellStyle name="Normal 4 2 5 5 2 2 3" xfId="25891" xr:uid="{8A0028DE-0AB7-47D4-8215-91BD609D0651}"/>
    <cellStyle name="Normal 4 2 5 5 2 2 4" xfId="34331" xr:uid="{BFFE1A99-F74B-4675-9E55-7406102A88BB}"/>
    <cellStyle name="Normal 4 2 5 5 2 3" xfId="13233" xr:uid="{23B66D8F-7F95-4C63-BC1A-5EBED4C88378}"/>
    <cellStyle name="Normal 4 2 5 5 2 4" xfId="21674" xr:uid="{E930D429-09BF-47F8-973C-DB28182B2E69}"/>
    <cellStyle name="Normal 4 2 5 5 2 5" xfId="30114" xr:uid="{5605F3F7-5195-42FE-B26C-4AE3DD535D83}"/>
    <cellStyle name="Normal 4 2 5 5 3" xfId="5979" xr:uid="{00000000-0005-0000-0000-0000EB130000}"/>
    <cellStyle name="Normal 4 2 5 5 3 2" xfId="15305" xr:uid="{70BF8204-FA39-402B-8A18-D101B0FDDE78}"/>
    <cellStyle name="Normal 4 2 5 5 3 3" xfId="23746" xr:uid="{C8EC5289-8910-40E0-B095-4C1489741D95}"/>
    <cellStyle name="Normal 4 2 5 5 3 4" xfId="32186" xr:uid="{EDA6134C-4EFF-45F4-ABEC-AB02E515553B}"/>
    <cellStyle name="Normal 4 2 5 5 4" xfId="11088" xr:uid="{768DD0CF-CB4F-47F2-A838-63ADBD6C5ADF}"/>
    <cellStyle name="Normal 4 2 5 5 5" xfId="19529" xr:uid="{63C5B7A4-6846-4990-8525-62068BFA57AF}"/>
    <cellStyle name="Normal 4 2 5 5 6" xfId="27969" xr:uid="{7F027DEC-0C34-4F16-ABD3-E3430EDEB506}"/>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F9DB0536-FB8C-4DF9-9C12-8D7EC3D67C3A}"/>
    <cellStyle name="Normal 4 2 5 6 2 2 3" xfId="26304" xr:uid="{9D3848A7-DDCE-40E9-8DB7-7795113FD433}"/>
    <cellStyle name="Normal 4 2 5 6 2 2 4" xfId="34744" xr:uid="{846AF41F-0660-4D53-B065-0C67981DEE0C}"/>
    <cellStyle name="Normal 4 2 5 6 2 3" xfId="13646" xr:uid="{7A76EDF7-3311-4756-A388-749557B78A4C}"/>
    <cellStyle name="Normal 4 2 5 6 2 4" xfId="22087" xr:uid="{A99A4AA1-BF2A-4EEA-BFBC-5B9468D88248}"/>
    <cellStyle name="Normal 4 2 5 6 2 5" xfId="30527" xr:uid="{CB44FF07-B4C8-45BF-9A01-3CDA26F0EFE9}"/>
    <cellStyle name="Normal 4 2 5 6 3" xfId="6392" xr:uid="{00000000-0005-0000-0000-0000EF130000}"/>
    <cellStyle name="Normal 4 2 5 6 3 2" xfId="15718" xr:uid="{50F38738-1402-4EAE-81EA-70121BEAE028}"/>
    <cellStyle name="Normal 4 2 5 6 3 3" xfId="24159" xr:uid="{37A17186-F62C-4D77-8827-B2F20C39074E}"/>
    <cellStyle name="Normal 4 2 5 6 3 4" xfId="32599" xr:uid="{B9842B21-BA6E-4585-B413-2AB9458DF860}"/>
    <cellStyle name="Normal 4 2 5 6 4" xfId="11501" xr:uid="{543DF491-90C9-4950-8314-D0AF2F44584B}"/>
    <cellStyle name="Normal 4 2 5 6 5" xfId="19942" xr:uid="{5617A5B9-AB51-4FA2-BD1B-28106C2E3F3E}"/>
    <cellStyle name="Normal 4 2 5 6 6" xfId="28382" xr:uid="{3E080F49-8041-4531-8FEE-8E53794DA569}"/>
    <cellStyle name="Normal 4 2 5 7" xfId="2522" xr:uid="{00000000-0005-0000-0000-0000F0130000}"/>
    <cellStyle name="Normal 4 2 5 7 2" xfId="6805" xr:uid="{00000000-0005-0000-0000-0000F1130000}"/>
    <cellStyle name="Normal 4 2 5 7 2 2" xfId="16131" xr:uid="{6D9F2523-0D4B-4CEC-B4A5-89B174FBC47E}"/>
    <cellStyle name="Normal 4 2 5 7 2 3" xfId="24572" xr:uid="{B881A92C-9116-4327-ABBD-3A46F713C716}"/>
    <cellStyle name="Normal 4 2 5 7 2 4" xfId="33012" xr:uid="{B4F080E9-6C04-44EC-AB4A-AF89EDBAE597}"/>
    <cellStyle name="Normal 4 2 5 7 3" xfId="11914" xr:uid="{0894F9F1-D737-4960-AD13-6A2BFD494D70}"/>
    <cellStyle name="Normal 4 2 5 7 4" xfId="20355" xr:uid="{290D64B1-27B5-4C1B-9B68-4E4164A880FB}"/>
    <cellStyle name="Normal 4 2 5 7 5" xfId="28795" xr:uid="{621D0422-F5CF-42CA-88D6-17AEC312AD29}"/>
    <cellStyle name="Normal 4 2 5 8" xfId="4740" xr:uid="{00000000-0005-0000-0000-0000F2130000}"/>
    <cellStyle name="Normal 4 2 5 8 2" xfId="14066" xr:uid="{6E9AA809-B81F-424D-A4AC-0DF6E37AC1E3}"/>
    <cellStyle name="Normal 4 2 5 8 3" xfId="22507" xr:uid="{7C72720E-FE55-47E8-B467-C65A7ADA5242}"/>
    <cellStyle name="Normal 4 2 5 8 4" xfId="30947" xr:uid="{C265725D-0D73-4DC3-9AE3-0126066682F4}"/>
    <cellStyle name="Normal 4 2 5 9" xfId="8846" xr:uid="{C69C7E2D-02E8-4C87-9C63-A39D0E37A062}"/>
    <cellStyle name="Normal 4 2 6" xfId="365" xr:uid="{00000000-0005-0000-0000-0000F3130000}"/>
    <cellStyle name="Normal 4 2 6 10" xfId="18292" xr:uid="{A86B12AD-C3AA-4611-89D6-3FC417A0D7AE}"/>
    <cellStyle name="Normal 4 2 6 11" xfId="26732" xr:uid="{F6BCCF30-13F8-408A-AB24-09F08F7F46B3}"/>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CC8B4EBB-4C9D-469D-AE8D-4BEE1E1F29A3}"/>
    <cellStyle name="Normal 4 2 6 2 2 2 3" xfId="25067" xr:uid="{434983AA-78E7-4F76-B040-FB9F5055C279}"/>
    <cellStyle name="Normal 4 2 6 2 2 2 4" xfId="33507" xr:uid="{A7BEAE4E-86BE-4C5E-AE7F-C110F6B21584}"/>
    <cellStyle name="Normal 4 2 6 2 2 3" xfId="12409" xr:uid="{18DE1874-FF33-4B97-B46B-0DF52E91A938}"/>
    <cellStyle name="Normal 4 2 6 2 2 4" xfId="20850" xr:uid="{76AF2DB6-C61B-4D28-A218-2A2DE19B9192}"/>
    <cellStyle name="Normal 4 2 6 2 2 5" xfId="29290" xr:uid="{4ABC552F-D07D-496F-AEAE-11A587C8CE86}"/>
    <cellStyle name="Normal 4 2 6 2 3" xfId="5155" xr:uid="{00000000-0005-0000-0000-0000F7130000}"/>
    <cellStyle name="Normal 4 2 6 2 3 2" xfId="14481" xr:uid="{06140D47-014C-4786-80E0-6E8CA4BEE4B5}"/>
    <cellStyle name="Normal 4 2 6 2 3 3" xfId="22922" xr:uid="{FB5B6216-F9E0-4DD0-BB24-D43724A4EFD5}"/>
    <cellStyle name="Normal 4 2 6 2 3 4" xfId="31362" xr:uid="{9DF5EAF4-A6AB-489A-99B4-3B713F5F428D}"/>
    <cellStyle name="Normal 4 2 6 2 4" xfId="9387" xr:uid="{933EA8C7-37F7-4AF2-922A-47A5CB1A47BC}"/>
    <cellStyle name="Normal 4 2 6 2 5" xfId="10264" xr:uid="{0876D8B3-DE5E-47F1-B52C-C8922143E6E0}"/>
    <cellStyle name="Normal 4 2 6 2 6" xfId="18705" xr:uid="{3D086E45-DB67-4BA9-8C77-102C29F2C428}"/>
    <cellStyle name="Normal 4 2 6 2 7" xfId="27145" xr:uid="{9E7C21AA-05E1-4C7A-AAF0-A45AFAE6432E}"/>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F14AB72B-5E84-4031-8B06-A95859BA24D9}"/>
    <cellStyle name="Normal 4 2 6 3 2 2 3" xfId="25480" xr:uid="{E1E68717-840A-4B9D-9509-843EA97166B1}"/>
    <cellStyle name="Normal 4 2 6 3 2 2 4" xfId="33920" xr:uid="{2972F405-B9F4-4807-A44F-03EB2CD94DDA}"/>
    <cellStyle name="Normal 4 2 6 3 2 3" xfId="12822" xr:uid="{A352BAC9-7146-4C56-ACAB-90E7A4013377}"/>
    <cellStyle name="Normal 4 2 6 3 2 4" xfId="21263" xr:uid="{86A64C45-94B7-43E2-A75F-C336F418BD25}"/>
    <cellStyle name="Normal 4 2 6 3 2 5" xfId="29703" xr:uid="{A5689382-418D-4146-8A77-D93405BDAE93}"/>
    <cellStyle name="Normal 4 2 6 3 3" xfId="5568" xr:uid="{00000000-0005-0000-0000-0000FB130000}"/>
    <cellStyle name="Normal 4 2 6 3 3 2" xfId="14894" xr:uid="{1BD0F6D4-055C-4B4B-A5E4-4DD6320F6740}"/>
    <cellStyle name="Normal 4 2 6 3 3 3" xfId="23335" xr:uid="{F4117831-31C5-4BC5-A4B2-785AF2EB5789}"/>
    <cellStyle name="Normal 4 2 6 3 3 4" xfId="31775" xr:uid="{E97F5741-5D2C-4AE9-B5FA-DD92DABB00DA}"/>
    <cellStyle name="Normal 4 2 6 3 4" xfId="10677" xr:uid="{E760EEE1-0341-4A37-91BE-C96DF9F0A0D4}"/>
    <cellStyle name="Normal 4 2 6 3 5" xfId="19118" xr:uid="{E893B435-1CD9-4EED-AB15-7BAA8696A4F9}"/>
    <cellStyle name="Normal 4 2 6 3 6" xfId="27558" xr:uid="{FCE34353-EC3F-4E45-B9C8-5B834655E810}"/>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9DE485EC-58AE-4DFE-9C84-BBCCC166E19F}"/>
    <cellStyle name="Normal 4 2 6 4 2 2 3" xfId="25893" xr:uid="{97553C64-3DBD-475C-B768-70095929DCAA}"/>
    <cellStyle name="Normal 4 2 6 4 2 2 4" xfId="34333" xr:uid="{B46A405C-18D2-4363-BACE-F3EE64019809}"/>
    <cellStyle name="Normal 4 2 6 4 2 3" xfId="13235" xr:uid="{4CAE4DD0-3F9A-43D0-BD7C-B0F8B51CB1EF}"/>
    <cellStyle name="Normal 4 2 6 4 2 4" xfId="21676" xr:uid="{FDE30142-6D9E-465D-9D07-335100AEA253}"/>
    <cellStyle name="Normal 4 2 6 4 2 5" xfId="30116" xr:uid="{612CA428-FD56-40FD-9353-E5BC8987A24E}"/>
    <cellStyle name="Normal 4 2 6 4 3" xfId="5981" xr:uid="{00000000-0005-0000-0000-0000FF130000}"/>
    <cellStyle name="Normal 4 2 6 4 3 2" xfId="15307" xr:uid="{804F2DDF-1817-4657-8B23-897CAF7803D8}"/>
    <cellStyle name="Normal 4 2 6 4 3 3" xfId="23748" xr:uid="{7A799CBC-91CD-4154-BF61-B7E4E3F95D53}"/>
    <cellStyle name="Normal 4 2 6 4 3 4" xfId="32188" xr:uid="{D44D90E4-76B3-4348-911F-855FBC23B4EA}"/>
    <cellStyle name="Normal 4 2 6 4 4" xfId="11090" xr:uid="{A7EBA384-230A-4383-8995-C2A13934F1CD}"/>
    <cellStyle name="Normal 4 2 6 4 5" xfId="19531" xr:uid="{DB9A3911-003E-482F-8A3A-7CC683A475C5}"/>
    <cellStyle name="Normal 4 2 6 4 6" xfId="27971" xr:uid="{7206C5EC-8CAE-4784-809A-D92624EB415F}"/>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48C46F31-0806-484F-8B42-FA851842BAE8}"/>
    <cellStyle name="Normal 4 2 6 5 2 2 3" xfId="26306" xr:uid="{E6760AA6-1E18-4370-BA6A-CD8DB2D6FD77}"/>
    <cellStyle name="Normal 4 2 6 5 2 2 4" xfId="34746" xr:uid="{3D336E9D-DA2E-4D5E-A1DF-94B6BB9702E7}"/>
    <cellStyle name="Normal 4 2 6 5 2 3" xfId="13648" xr:uid="{C8169B17-77A8-4AA5-8911-2CDF1692E983}"/>
    <cellStyle name="Normal 4 2 6 5 2 4" xfId="22089" xr:uid="{F0A26146-50F6-4EAF-A1A1-6A8F85F06172}"/>
    <cellStyle name="Normal 4 2 6 5 2 5" xfId="30529" xr:uid="{7CF5DE19-0A97-4A52-A6EE-A3A1C70ECCB9}"/>
    <cellStyle name="Normal 4 2 6 5 3" xfId="6394" xr:uid="{00000000-0005-0000-0000-000003140000}"/>
    <cellStyle name="Normal 4 2 6 5 3 2" xfId="15720" xr:uid="{BABFB2B0-A103-4AEC-9CFD-292A63CBDE99}"/>
    <cellStyle name="Normal 4 2 6 5 3 3" xfId="24161" xr:uid="{E9F9C835-0F22-4C1D-B2AF-EBA27E757185}"/>
    <cellStyle name="Normal 4 2 6 5 3 4" xfId="32601" xr:uid="{8C22F217-6A8B-4ECE-BAFA-F0897223FD88}"/>
    <cellStyle name="Normal 4 2 6 5 4" xfId="11503" xr:uid="{F574B00A-950E-4C98-8E7C-B9C3D3FD45F3}"/>
    <cellStyle name="Normal 4 2 6 5 5" xfId="19944" xr:uid="{54B6564C-7B91-4262-97AE-81F91045FC2E}"/>
    <cellStyle name="Normal 4 2 6 5 6" xfId="28384" xr:uid="{EF4FEECB-0B67-436B-8CB0-8039C5A5DD2A}"/>
    <cellStyle name="Normal 4 2 6 6" xfId="2524" xr:uid="{00000000-0005-0000-0000-000004140000}"/>
    <cellStyle name="Normal 4 2 6 6 2" xfId="6807" xr:uid="{00000000-0005-0000-0000-000005140000}"/>
    <cellStyle name="Normal 4 2 6 6 2 2" xfId="16133" xr:uid="{4F104ACD-4F20-472C-BD8A-11C8EF401FB3}"/>
    <cellStyle name="Normal 4 2 6 6 2 3" xfId="24574" xr:uid="{98A08D7E-A2DB-4D3E-A660-3773A60CE2DD}"/>
    <cellStyle name="Normal 4 2 6 6 2 4" xfId="33014" xr:uid="{C556A46C-6583-4C5E-BDB3-8A9EB859A5D5}"/>
    <cellStyle name="Normal 4 2 6 6 3" xfId="11916" xr:uid="{DFE02D12-3DB8-43E5-965E-E718E2FFE585}"/>
    <cellStyle name="Normal 4 2 6 6 4" xfId="20357" xr:uid="{19A2F6EB-B230-4D97-8A0B-E2E5D5010937}"/>
    <cellStyle name="Normal 4 2 6 6 5" xfId="28797" xr:uid="{93DDF970-0308-4E5F-A932-E8329994432C}"/>
    <cellStyle name="Normal 4 2 6 7" xfId="4742" xr:uid="{00000000-0005-0000-0000-000006140000}"/>
    <cellStyle name="Normal 4 2 6 7 2" xfId="14068" xr:uid="{370F6481-8BCA-4D8E-B78A-EC504A94333A}"/>
    <cellStyle name="Normal 4 2 6 7 3" xfId="22509" xr:uid="{6BC65F7F-9542-4248-9471-8DC949AD9AF2}"/>
    <cellStyle name="Normal 4 2 6 7 4" xfId="30949" xr:uid="{9FFF15F9-359E-4294-94D7-6FEDE46C8E09}"/>
    <cellStyle name="Normal 4 2 6 8" xfId="8962" xr:uid="{1A1596D6-3914-4465-A638-E540359059D2}"/>
    <cellStyle name="Normal 4 2 6 9" xfId="9851" xr:uid="{E008695C-F5AE-486E-ADDC-3D1A582746F1}"/>
    <cellStyle name="Normal 4 2 7" xfId="9165" xr:uid="{6363F967-7399-442D-B2CE-00085FF7F1E8}"/>
    <cellStyle name="Normal 4 2 8" xfId="8743" xr:uid="{E2B8331F-47F9-4829-99C7-E05840A106B9}"/>
    <cellStyle name="Normal 4 3" xfId="366" xr:uid="{00000000-0005-0000-0000-000007140000}"/>
    <cellStyle name="Normal 4 3 10" xfId="9852" xr:uid="{FBB350F4-0943-4362-ACE9-9A6E184635A4}"/>
    <cellStyle name="Normal 4 3 11" xfId="18293" xr:uid="{7DA05D1C-30D0-4558-B57F-EB6C02520425}"/>
    <cellStyle name="Normal 4 3 12" xfId="26733" xr:uid="{B3BFB5C8-2ECD-4166-831A-9BA17262E509}"/>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1" xfId="9853" xr:uid="{069402A0-4934-4A6E-B274-61C50005ED4A}"/>
    <cellStyle name="Normal 4 3 2 2 2 12" xfId="18294" xr:uid="{F3DF640E-05A8-4C5B-8E16-E37ADA917BFC}"/>
    <cellStyle name="Normal 4 3 2 2 2 13" xfId="26734" xr:uid="{A88241E3-C604-4719-8246-421B8CB8AB45}"/>
    <cellStyle name="Normal 4 3 2 2 2 2" xfId="370" xr:uid="{00000000-0005-0000-0000-00000B140000}"/>
    <cellStyle name="Normal 4 3 2 2 2 2 10" xfId="9854" xr:uid="{81A956E1-9E80-4F0D-A0D4-21B9F8C1026E}"/>
    <cellStyle name="Normal 4 3 2 2 2 2 11" xfId="18295" xr:uid="{BE70B0C6-4742-4D8F-AF27-874814312864}"/>
    <cellStyle name="Normal 4 3 2 2 2 2 12" xfId="26735" xr:uid="{E63B5835-FF8D-420E-B0D1-DABCB7C4AD9B}"/>
    <cellStyle name="Normal 4 3 2 2 2 2 2" xfId="371" xr:uid="{00000000-0005-0000-0000-00000C140000}"/>
    <cellStyle name="Normal 4 3 2 2 2 2 2 10" xfId="18296" xr:uid="{9488295E-EC0D-4017-A151-10508C0CD770}"/>
    <cellStyle name="Normal 4 3 2 2 2 2 2 11" xfId="26736" xr:uid="{7536CCFC-ADB8-4FCB-9289-B4DD8F1DA40E}"/>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9BFF34BA-34B8-4A89-B828-2E19169746B0}"/>
    <cellStyle name="Normal 4 3 2 2 2 2 2 2 2 2 3" xfId="25071" xr:uid="{C92F4A89-D6D2-49BD-B403-CB349B2BF02D}"/>
    <cellStyle name="Normal 4 3 2 2 2 2 2 2 2 2 4" xfId="33511" xr:uid="{81D258D4-63A1-4028-8955-FB94499A884C}"/>
    <cellStyle name="Normal 4 3 2 2 2 2 2 2 2 3" xfId="12413" xr:uid="{EAE8D5D0-6679-48F1-BB5D-515261F065FB}"/>
    <cellStyle name="Normal 4 3 2 2 2 2 2 2 2 4" xfId="20854" xr:uid="{185DA71C-5434-4E76-89ED-08CFD0BC591D}"/>
    <cellStyle name="Normal 4 3 2 2 2 2 2 2 2 5" xfId="29294" xr:uid="{E7025537-206C-4177-8910-AAD33D110F2D}"/>
    <cellStyle name="Normal 4 3 2 2 2 2 2 2 3" xfId="5159" xr:uid="{00000000-0005-0000-0000-000010140000}"/>
    <cellStyle name="Normal 4 3 2 2 2 2 2 2 3 2" xfId="14485" xr:uid="{2C5094CB-DA4A-47AE-9C90-AA8730AE957A}"/>
    <cellStyle name="Normal 4 3 2 2 2 2 2 2 3 3" xfId="22926" xr:uid="{D1C38FBD-55B2-44AF-9917-45865A26AA7A}"/>
    <cellStyle name="Normal 4 3 2 2 2 2 2 2 3 4" xfId="31366" xr:uid="{886EA18B-5DF6-4B96-B5B9-B81B30736D3B}"/>
    <cellStyle name="Normal 4 3 2 2 2 2 2 2 4" xfId="9557" xr:uid="{4F6BDD99-7BF1-4D2F-9EDC-4F75F1942DB4}"/>
    <cellStyle name="Normal 4 3 2 2 2 2 2 2 5" xfId="10268" xr:uid="{4BD5867A-E818-4885-AFD3-BC7535059B52}"/>
    <cellStyle name="Normal 4 3 2 2 2 2 2 2 6" xfId="18709" xr:uid="{7BC1D6DD-878F-4455-8632-473C5FE913FA}"/>
    <cellStyle name="Normal 4 3 2 2 2 2 2 2 7" xfId="27149" xr:uid="{2FB728F5-C656-47F9-B578-D7D8EB53927E}"/>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A2992BD4-24A1-4470-A42D-1345828BE6F4}"/>
    <cellStyle name="Normal 4 3 2 2 2 2 2 3 2 2 3" xfId="25484" xr:uid="{F311B120-C1C8-45B2-8062-965222570544}"/>
    <cellStyle name="Normal 4 3 2 2 2 2 2 3 2 2 4" xfId="33924" xr:uid="{924F6E6C-B5C1-4D80-8D84-55B17E2AC25E}"/>
    <cellStyle name="Normal 4 3 2 2 2 2 2 3 2 3" xfId="12826" xr:uid="{619F761D-26CE-4AAD-9C24-B69C8590A824}"/>
    <cellStyle name="Normal 4 3 2 2 2 2 2 3 2 4" xfId="21267" xr:uid="{73B06219-A8D7-45A7-BCCA-F32F5227D31C}"/>
    <cellStyle name="Normal 4 3 2 2 2 2 2 3 2 5" xfId="29707" xr:uid="{C43328CE-05AE-4E77-9220-08B260F507BB}"/>
    <cellStyle name="Normal 4 3 2 2 2 2 2 3 3" xfId="5572" xr:uid="{00000000-0005-0000-0000-000014140000}"/>
    <cellStyle name="Normal 4 3 2 2 2 2 2 3 3 2" xfId="14898" xr:uid="{8C4EF9B9-7AD3-419D-B954-D78DE1CA7E82}"/>
    <cellStyle name="Normal 4 3 2 2 2 2 2 3 3 3" xfId="23339" xr:uid="{A684D271-4C40-4BC1-A43B-DFC2BC329327}"/>
    <cellStyle name="Normal 4 3 2 2 2 2 2 3 3 4" xfId="31779" xr:uid="{5E21D922-7C47-4D17-8B29-F3C5D915A6C1}"/>
    <cellStyle name="Normal 4 3 2 2 2 2 2 3 4" xfId="10681" xr:uid="{A7E30664-603D-4394-85E0-A197C96A2F06}"/>
    <cellStyle name="Normal 4 3 2 2 2 2 2 3 5" xfId="19122" xr:uid="{A4CB8D60-A810-479C-8683-679F8F242DD4}"/>
    <cellStyle name="Normal 4 3 2 2 2 2 2 3 6" xfId="27562" xr:uid="{4C9B7AC2-B95F-4B67-87DB-DFED5DD396BF}"/>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CF129525-2A69-4B33-8D7B-41886DD9521B}"/>
    <cellStyle name="Normal 4 3 2 2 2 2 2 4 2 2 3" xfId="25897" xr:uid="{9303AA73-70B1-450A-B7B8-859A212AA207}"/>
    <cellStyle name="Normal 4 3 2 2 2 2 2 4 2 2 4" xfId="34337" xr:uid="{FCDD30C6-7303-45BC-8415-B35D34C392CA}"/>
    <cellStyle name="Normal 4 3 2 2 2 2 2 4 2 3" xfId="13239" xr:uid="{874D26F7-4203-4B61-B9A4-831BAFBFEF26}"/>
    <cellStyle name="Normal 4 3 2 2 2 2 2 4 2 4" xfId="21680" xr:uid="{7EB5C41D-B3AB-4A85-B6B9-4C36869CA9AB}"/>
    <cellStyle name="Normal 4 3 2 2 2 2 2 4 2 5" xfId="30120" xr:uid="{5C153219-E7CE-48AE-A02C-1437690967F2}"/>
    <cellStyle name="Normal 4 3 2 2 2 2 2 4 3" xfId="5985" xr:uid="{00000000-0005-0000-0000-000018140000}"/>
    <cellStyle name="Normal 4 3 2 2 2 2 2 4 3 2" xfId="15311" xr:uid="{D1F954EF-41B4-4EA6-9928-66614C871D23}"/>
    <cellStyle name="Normal 4 3 2 2 2 2 2 4 3 3" xfId="23752" xr:uid="{203A8E16-EE48-4AEA-8FBF-6FC55C32412D}"/>
    <cellStyle name="Normal 4 3 2 2 2 2 2 4 3 4" xfId="32192" xr:uid="{EE38C920-BA64-4A5B-B7C5-5C3AD4BDAC40}"/>
    <cellStyle name="Normal 4 3 2 2 2 2 2 4 4" xfId="11094" xr:uid="{10464D38-B518-4694-B537-D2DEB8B05911}"/>
    <cellStyle name="Normal 4 3 2 2 2 2 2 4 5" xfId="19535" xr:uid="{7BDC2734-EF85-4BEB-8784-8425EE5A3CD4}"/>
    <cellStyle name="Normal 4 3 2 2 2 2 2 4 6" xfId="27975" xr:uid="{C061C20A-5A55-492E-8CD0-76D65FF09129}"/>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45E607A2-5C3B-4D38-8CCA-5176B805FE06}"/>
    <cellStyle name="Normal 4 3 2 2 2 2 2 5 2 2 3" xfId="26310" xr:uid="{E9523893-387E-45DF-8490-239199F044B3}"/>
    <cellStyle name="Normal 4 3 2 2 2 2 2 5 2 2 4" xfId="34750" xr:uid="{0C2020A5-66C0-4517-94FF-1D1B372F3214}"/>
    <cellStyle name="Normal 4 3 2 2 2 2 2 5 2 3" xfId="13652" xr:uid="{34523C6E-59DD-44E4-90B6-CF565DBF5BBC}"/>
    <cellStyle name="Normal 4 3 2 2 2 2 2 5 2 4" xfId="22093" xr:uid="{8C33A805-CACE-4721-8411-B6B43F50DA61}"/>
    <cellStyle name="Normal 4 3 2 2 2 2 2 5 2 5" xfId="30533" xr:uid="{7A411631-0FFE-4212-A501-6C67987CD173}"/>
    <cellStyle name="Normal 4 3 2 2 2 2 2 5 3" xfId="6398" xr:uid="{00000000-0005-0000-0000-00001C140000}"/>
    <cellStyle name="Normal 4 3 2 2 2 2 2 5 3 2" xfId="15724" xr:uid="{AA991BA6-5DB5-4AD5-A3F8-11F0EAB0AEB1}"/>
    <cellStyle name="Normal 4 3 2 2 2 2 2 5 3 3" xfId="24165" xr:uid="{19B842C0-2691-4067-9B24-239DAF086DBC}"/>
    <cellStyle name="Normal 4 3 2 2 2 2 2 5 3 4" xfId="32605" xr:uid="{0C716599-78F5-4DCE-B3C5-B7B148434AD0}"/>
    <cellStyle name="Normal 4 3 2 2 2 2 2 5 4" xfId="11507" xr:uid="{448C719C-0F69-40DC-B7E7-37D1070F54E1}"/>
    <cellStyle name="Normal 4 3 2 2 2 2 2 5 5" xfId="19948" xr:uid="{18CF7124-F877-4C05-88E8-7013B8BEB1F9}"/>
    <cellStyle name="Normal 4 3 2 2 2 2 2 5 6" xfId="28388" xr:uid="{80126F36-B968-4C73-9E1A-7A7903697756}"/>
    <cellStyle name="Normal 4 3 2 2 2 2 2 6" xfId="2528" xr:uid="{00000000-0005-0000-0000-00001D140000}"/>
    <cellStyle name="Normal 4 3 2 2 2 2 2 6 2" xfId="6811" xr:uid="{00000000-0005-0000-0000-00001E140000}"/>
    <cellStyle name="Normal 4 3 2 2 2 2 2 6 2 2" xfId="16137" xr:uid="{DDBBA201-5730-4D8E-97BB-2F2235C3F377}"/>
    <cellStyle name="Normal 4 3 2 2 2 2 2 6 2 3" xfId="24578" xr:uid="{9BC3B4E6-AB8C-4C38-9178-AFC1422D2EBE}"/>
    <cellStyle name="Normal 4 3 2 2 2 2 2 6 2 4" xfId="33018" xr:uid="{2BC0BC5F-154A-47B8-A3A9-D99B6DD29FC6}"/>
    <cellStyle name="Normal 4 3 2 2 2 2 2 6 3" xfId="11920" xr:uid="{53CE0B65-517C-4AAD-B98A-A0A4DA6528D3}"/>
    <cellStyle name="Normal 4 3 2 2 2 2 2 6 4" xfId="20361" xr:uid="{C54184C9-E998-4171-AB5F-0052FBF9057C}"/>
    <cellStyle name="Normal 4 3 2 2 2 2 2 6 5" xfId="28801" xr:uid="{EE85532E-AB74-43FB-B8D5-79C8A3908FA3}"/>
    <cellStyle name="Normal 4 3 2 2 2 2 2 7" xfId="4746" xr:uid="{00000000-0005-0000-0000-00001F140000}"/>
    <cellStyle name="Normal 4 3 2 2 2 2 2 7 2" xfId="14072" xr:uid="{271610C2-BFA4-4EB6-BFD2-703CCBD7075B}"/>
    <cellStyle name="Normal 4 3 2 2 2 2 2 7 3" xfId="22513" xr:uid="{6ECF2CD8-D4B5-4F25-A5AF-79FB0FE20BFF}"/>
    <cellStyle name="Normal 4 3 2 2 2 2 2 7 4" xfId="30953" xr:uid="{2D024D61-9BEF-4530-8590-0AF29F58FB45}"/>
    <cellStyle name="Normal 4 3 2 2 2 2 2 8" xfId="9132" xr:uid="{14F6ED12-EABF-4C82-AD59-55D351026913}"/>
    <cellStyle name="Normal 4 3 2 2 2 2 2 9" xfId="9855" xr:uid="{98DA6D2B-4EE2-4997-A356-97FAFC9F7E44}"/>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B8DF4DF6-5F79-452B-B9A9-30811021E99C}"/>
    <cellStyle name="Normal 4 3 2 2 2 2 3 2 2 3" xfId="25070" xr:uid="{9C9AF07C-5DE1-45C6-B568-915AADAD82A2}"/>
    <cellStyle name="Normal 4 3 2 2 2 2 3 2 2 4" xfId="33510" xr:uid="{55F8CB7B-744A-4BC9-8D45-F11C9E6EE375}"/>
    <cellStyle name="Normal 4 3 2 2 2 2 3 2 3" xfId="12412" xr:uid="{FFCC8E42-A1C3-47AA-B65D-C7354381DBBB}"/>
    <cellStyle name="Normal 4 3 2 2 2 2 3 2 4" xfId="20853" xr:uid="{0661F608-AA7C-4C72-845A-722B74F82A8B}"/>
    <cellStyle name="Normal 4 3 2 2 2 2 3 2 5" xfId="29293" xr:uid="{CECFA4BD-CBFF-4BBB-9E98-9EBE21DFC935}"/>
    <cellStyle name="Normal 4 3 2 2 2 2 3 3" xfId="5158" xr:uid="{00000000-0005-0000-0000-000023140000}"/>
    <cellStyle name="Normal 4 3 2 2 2 2 3 3 2" xfId="14484" xr:uid="{6A0A24BB-4633-47CA-BA07-5062063157CB}"/>
    <cellStyle name="Normal 4 3 2 2 2 2 3 3 3" xfId="22925" xr:uid="{A0C5CCE8-8268-4DA8-ADA1-995530B63FEF}"/>
    <cellStyle name="Normal 4 3 2 2 2 2 3 3 4" xfId="31365" xr:uid="{4C1CA419-2075-437B-B441-6D6D0BBF4099}"/>
    <cellStyle name="Normal 4 3 2 2 2 2 3 4" xfId="9350" xr:uid="{DFFEAFB7-A284-4FD9-B115-C19DA011CCC7}"/>
    <cellStyle name="Normal 4 3 2 2 2 2 3 5" xfId="10267" xr:uid="{892C3556-42B8-4BE3-ABC1-F8142DEFA12A}"/>
    <cellStyle name="Normal 4 3 2 2 2 2 3 6" xfId="18708" xr:uid="{BA589824-E2A0-4FFD-AA26-6FC019126CE1}"/>
    <cellStyle name="Normal 4 3 2 2 2 2 3 7" xfId="27148" xr:uid="{932D53FC-7653-4F4B-BE82-9C6B7F5B40A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BF0716EF-E3B3-4B8A-BE99-AB4106E1CF20}"/>
    <cellStyle name="Normal 4 3 2 2 2 2 4 2 2 3" xfId="25483" xr:uid="{31C9C695-9843-4904-9507-937E26DC64B4}"/>
    <cellStyle name="Normal 4 3 2 2 2 2 4 2 2 4" xfId="33923" xr:uid="{04210BFF-24AA-4CCC-8DBB-C76A88F95E51}"/>
    <cellStyle name="Normal 4 3 2 2 2 2 4 2 3" xfId="12825" xr:uid="{0676BA6B-B0F5-49DA-84FC-3F9586D70F1C}"/>
    <cellStyle name="Normal 4 3 2 2 2 2 4 2 4" xfId="21266" xr:uid="{F28080B9-7410-456C-97CF-EEF0C35C788C}"/>
    <cellStyle name="Normal 4 3 2 2 2 2 4 2 5" xfId="29706" xr:uid="{8C7969CE-A471-4F0E-AFF6-017D7E435A4A}"/>
    <cellStyle name="Normal 4 3 2 2 2 2 4 3" xfId="5571" xr:uid="{00000000-0005-0000-0000-000027140000}"/>
    <cellStyle name="Normal 4 3 2 2 2 2 4 3 2" xfId="14897" xr:uid="{31710D41-84C8-422D-8996-6F4D25D259E7}"/>
    <cellStyle name="Normal 4 3 2 2 2 2 4 3 3" xfId="23338" xr:uid="{BBF7F906-7C53-4687-90C9-B0D318BBB9A4}"/>
    <cellStyle name="Normal 4 3 2 2 2 2 4 3 4" xfId="31778" xr:uid="{533312E4-FA25-4F0B-9D68-3071BA03C57C}"/>
    <cellStyle name="Normal 4 3 2 2 2 2 4 4" xfId="10680" xr:uid="{01B1BE87-51BA-44CF-A83C-83D71B5EAAF5}"/>
    <cellStyle name="Normal 4 3 2 2 2 2 4 5" xfId="19121" xr:uid="{91BDCCBE-F54F-4973-884E-DB841BEA7DB5}"/>
    <cellStyle name="Normal 4 3 2 2 2 2 4 6" xfId="27561" xr:uid="{936C07FC-5087-4505-ABB1-D8B5B570267F}"/>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0E103A9E-3E33-430B-ABDB-C3635EF36E11}"/>
    <cellStyle name="Normal 4 3 2 2 2 2 5 2 2 3" xfId="25896" xr:uid="{10786BB3-C68F-4FD5-BEEA-800BF4A78718}"/>
    <cellStyle name="Normal 4 3 2 2 2 2 5 2 2 4" xfId="34336" xr:uid="{E7F1A2D3-F933-4348-A08F-F740CFCEEFCB}"/>
    <cellStyle name="Normal 4 3 2 2 2 2 5 2 3" xfId="13238" xr:uid="{71B02149-DAF7-4A43-80A3-E7AC407922FC}"/>
    <cellStyle name="Normal 4 3 2 2 2 2 5 2 4" xfId="21679" xr:uid="{C2C5FF81-7192-4F4C-8C04-51A6B238EA5E}"/>
    <cellStyle name="Normal 4 3 2 2 2 2 5 2 5" xfId="30119" xr:uid="{ACF4CC2B-1102-4740-B76F-6EEFB2418B7A}"/>
    <cellStyle name="Normal 4 3 2 2 2 2 5 3" xfId="5984" xr:uid="{00000000-0005-0000-0000-00002B140000}"/>
    <cellStyle name="Normal 4 3 2 2 2 2 5 3 2" xfId="15310" xr:uid="{F978FD8C-884D-44D2-B7D5-1322806F1812}"/>
    <cellStyle name="Normal 4 3 2 2 2 2 5 3 3" xfId="23751" xr:uid="{8B4D5189-77F0-40D7-A175-9C600F7714C1}"/>
    <cellStyle name="Normal 4 3 2 2 2 2 5 3 4" xfId="32191" xr:uid="{8163A696-D81F-463E-A4AC-CE345749B7E2}"/>
    <cellStyle name="Normal 4 3 2 2 2 2 5 4" xfId="11093" xr:uid="{08627EB0-67CE-453A-8DF4-D2F460FD05A6}"/>
    <cellStyle name="Normal 4 3 2 2 2 2 5 5" xfId="19534" xr:uid="{154FD39C-0B12-4EF6-824B-69F109D080E6}"/>
    <cellStyle name="Normal 4 3 2 2 2 2 5 6" xfId="27974" xr:uid="{3A62D0B5-7FF4-479B-BE78-6036F98E3BB1}"/>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C6D63AD9-4E05-418B-A280-4304B2392298}"/>
    <cellStyle name="Normal 4 3 2 2 2 2 6 2 2 3" xfId="26309" xr:uid="{FF8B1D8D-E4A7-46D9-BE9D-23F12718DC70}"/>
    <cellStyle name="Normal 4 3 2 2 2 2 6 2 2 4" xfId="34749" xr:uid="{32350B84-9CBE-4588-9DF6-2987069A38CB}"/>
    <cellStyle name="Normal 4 3 2 2 2 2 6 2 3" xfId="13651" xr:uid="{4E171B6E-4EE6-49D7-9BED-7DEF153DE765}"/>
    <cellStyle name="Normal 4 3 2 2 2 2 6 2 4" xfId="22092" xr:uid="{F1546B1C-C43E-46E5-92C9-B4884C6C5B08}"/>
    <cellStyle name="Normal 4 3 2 2 2 2 6 2 5" xfId="30532" xr:uid="{285CEE51-45C4-410A-ABBC-3A6C52FBBCBE}"/>
    <cellStyle name="Normal 4 3 2 2 2 2 6 3" xfId="6397" xr:uid="{00000000-0005-0000-0000-00002F140000}"/>
    <cellStyle name="Normal 4 3 2 2 2 2 6 3 2" xfId="15723" xr:uid="{002C7016-1721-46CB-8A0F-F6E11A72E78F}"/>
    <cellStyle name="Normal 4 3 2 2 2 2 6 3 3" xfId="24164" xr:uid="{7F73803E-B8EB-47CD-9B99-9623EA9E671E}"/>
    <cellStyle name="Normal 4 3 2 2 2 2 6 3 4" xfId="32604" xr:uid="{C0A9219E-4663-4605-BB9E-02C10A36C193}"/>
    <cellStyle name="Normal 4 3 2 2 2 2 6 4" xfId="11506" xr:uid="{91010F8E-3A35-4830-9231-F328708F49C7}"/>
    <cellStyle name="Normal 4 3 2 2 2 2 6 5" xfId="19947" xr:uid="{F052D41B-F06B-41C4-AB36-DABA9296D67E}"/>
    <cellStyle name="Normal 4 3 2 2 2 2 6 6" xfId="28387" xr:uid="{586C6C80-F6E5-47B0-9F03-34569CDA3970}"/>
    <cellStyle name="Normal 4 3 2 2 2 2 7" xfId="2527" xr:uid="{00000000-0005-0000-0000-000030140000}"/>
    <cellStyle name="Normal 4 3 2 2 2 2 7 2" xfId="6810" xr:uid="{00000000-0005-0000-0000-000031140000}"/>
    <cellStyle name="Normal 4 3 2 2 2 2 7 2 2" xfId="16136" xr:uid="{FCA3D19F-C183-4B68-B9DE-F9303BB0C8CD}"/>
    <cellStyle name="Normal 4 3 2 2 2 2 7 2 3" xfId="24577" xr:uid="{FDD9F5E3-7E9C-4797-92DC-1AEC01BD5EF9}"/>
    <cellStyle name="Normal 4 3 2 2 2 2 7 2 4" xfId="33017" xr:uid="{5A5A48C2-6DE9-40AD-8C54-8233567F928B}"/>
    <cellStyle name="Normal 4 3 2 2 2 2 7 3" xfId="11919" xr:uid="{3789CDC6-3FD1-4CE5-970A-E543B52297BF}"/>
    <cellStyle name="Normal 4 3 2 2 2 2 7 4" xfId="20360" xr:uid="{3761D493-5900-4AB1-B337-D06B4E3F8A09}"/>
    <cellStyle name="Normal 4 3 2 2 2 2 7 5" xfId="28800" xr:uid="{F0A2A30A-1F13-458F-A5CB-F4048638B8DC}"/>
    <cellStyle name="Normal 4 3 2 2 2 2 8" xfId="4745" xr:uid="{00000000-0005-0000-0000-000032140000}"/>
    <cellStyle name="Normal 4 3 2 2 2 2 8 2" xfId="14071" xr:uid="{F57395F9-99E3-4ABB-AA49-593D59CCFC50}"/>
    <cellStyle name="Normal 4 3 2 2 2 2 8 3" xfId="22512" xr:uid="{863AFFCD-AD95-4BD6-A993-0CC5B27108EA}"/>
    <cellStyle name="Normal 4 3 2 2 2 2 8 4" xfId="30952" xr:uid="{EB530D50-C0D5-4789-B824-73689FFF73C8}"/>
    <cellStyle name="Normal 4 3 2 2 2 2 9" xfId="8925" xr:uid="{71BB8AFA-37D7-474D-A12B-C284DDE23CE9}"/>
    <cellStyle name="Normal 4 3 2 2 2 3" xfId="372" xr:uid="{00000000-0005-0000-0000-000033140000}"/>
    <cellStyle name="Normal 4 3 2 2 2 3 10" xfId="18297" xr:uid="{DE94B9AE-0315-4DE4-A0E3-D027654B09BF}"/>
    <cellStyle name="Normal 4 3 2 2 2 3 11" xfId="26737" xr:uid="{7EB54865-B0C3-4840-89D5-F937CF1607AD}"/>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E9F84DB6-49A6-4015-93E1-E5D625022088}"/>
    <cellStyle name="Normal 4 3 2 2 2 3 2 2 2 3" xfId="25072" xr:uid="{863BB3EE-2E05-4159-A8AE-E18A1A3C1518}"/>
    <cellStyle name="Normal 4 3 2 2 2 3 2 2 2 4" xfId="33512" xr:uid="{55511141-4FFC-40FF-8DDE-5BE7D4372A13}"/>
    <cellStyle name="Normal 4 3 2 2 2 3 2 2 3" xfId="12414" xr:uid="{5CD3A849-67C0-4195-924D-FC05FCD0E068}"/>
    <cellStyle name="Normal 4 3 2 2 2 3 2 2 4" xfId="20855" xr:uid="{9D8CE7C6-9B13-4055-8833-DB25561BBBCB}"/>
    <cellStyle name="Normal 4 3 2 2 2 3 2 2 5" xfId="29295" xr:uid="{CBDCB86B-78AE-4AFD-AC61-BE8DA07864B8}"/>
    <cellStyle name="Normal 4 3 2 2 2 3 2 3" xfId="5160" xr:uid="{00000000-0005-0000-0000-000037140000}"/>
    <cellStyle name="Normal 4 3 2 2 2 3 2 3 2" xfId="14486" xr:uid="{2AC60665-1F7A-4259-B85A-73C44D7930D2}"/>
    <cellStyle name="Normal 4 3 2 2 2 3 2 3 3" xfId="22927" xr:uid="{61CC4512-863B-4B61-A4D2-F3E0FF4CAE7F}"/>
    <cellStyle name="Normal 4 3 2 2 2 3 2 3 4" xfId="31367" xr:uid="{93068CD2-AF0D-49AC-AC82-2C9E4E40E282}"/>
    <cellStyle name="Normal 4 3 2 2 2 3 2 4" xfId="9454" xr:uid="{B81F5EAA-7D8E-43B5-94D7-313E66088BA5}"/>
    <cellStyle name="Normal 4 3 2 2 2 3 2 5" xfId="10269" xr:uid="{82296FD8-5D78-4E0C-BFF5-C295D39E402B}"/>
    <cellStyle name="Normal 4 3 2 2 2 3 2 6" xfId="18710" xr:uid="{EB37D339-ECE7-422D-BBF4-A1F3427C4F7F}"/>
    <cellStyle name="Normal 4 3 2 2 2 3 2 7" xfId="27150" xr:uid="{7A3923D9-1602-41EF-973B-C97A8AAA8F5D}"/>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19227AF7-6C76-4DB1-B2F0-BF74370D4A1F}"/>
    <cellStyle name="Normal 4 3 2 2 2 3 3 2 2 3" xfId="25485" xr:uid="{496CCF53-9C2B-4B36-BF0A-C7237D0AFF35}"/>
    <cellStyle name="Normal 4 3 2 2 2 3 3 2 2 4" xfId="33925" xr:uid="{EA2ED676-5D81-4632-86D1-6D51BA37107B}"/>
    <cellStyle name="Normal 4 3 2 2 2 3 3 2 3" xfId="12827" xr:uid="{3540DEA0-EE29-42CD-81CC-EEBD6C6EC951}"/>
    <cellStyle name="Normal 4 3 2 2 2 3 3 2 4" xfId="21268" xr:uid="{EBEB6E1C-0C49-43DF-A25B-D02755AE8BF8}"/>
    <cellStyle name="Normal 4 3 2 2 2 3 3 2 5" xfId="29708" xr:uid="{C3FD0382-71C8-4B89-B459-61A8072F9E99}"/>
    <cellStyle name="Normal 4 3 2 2 2 3 3 3" xfId="5573" xr:uid="{00000000-0005-0000-0000-00003B140000}"/>
    <cellStyle name="Normal 4 3 2 2 2 3 3 3 2" xfId="14899" xr:uid="{604B0F34-7C9C-44BC-AFC5-468EB8EF2641}"/>
    <cellStyle name="Normal 4 3 2 2 2 3 3 3 3" xfId="23340" xr:uid="{62FADFD5-D6D7-4B70-AA88-FA92504F4384}"/>
    <cellStyle name="Normal 4 3 2 2 2 3 3 3 4" xfId="31780" xr:uid="{CF050517-ABEE-4491-9D7D-BEA98F3A39DC}"/>
    <cellStyle name="Normal 4 3 2 2 2 3 3 4" xfId="10682" xr:uid="{3BBC4AE7-6F55-4B43-9A12-5AE315298728}"/>
    <cellStyle name="Normal 4 3 2 2 2 3 3 5" xfId="19123" xr:uid="{176EFDC6-2519-416C-98F5-19C1EF201E65}"/>
    <cellStyle name="Normal 4 3 2 2 2 3 3 6" xfId="27563" xr:uid="{6D312F72-AFA3-4E67-8202-DCDE921D2307}"/>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5B93660E-B066-41DE-B096-86E463898B19}"/>
    <cellStyle name="Normal 4 3 2 2 2 3 4 2 2 3" xfId="25898" xr:uid="{48C55CDD-4A0D-4C65-855B-ADFD9DF56B4D}"/>
    <cellStyle name="Normal 4 3 2 2 2 3 4 2 2 4" xfId="34338" xr:uid="{883A9260-E077-43DA-AE9B-D005963C408F}"/>
    <cellStyle name="Normal 4 3 2 2 2 3 4 2 3" xfId="13240" xr:uid="{BEDCBFC0-5726-45C3-95B7-0865E9765A70}"/>
    <cellStyle name="Normal 4 3 2 2 2 3 4 2 4" xfId="21681" xr:uid="{AA7D1771-6175-4939-ADE8-812388FC3E4B}"/>
    <cellStyle name="Normal 4 3 2 2 2 3 4 2 5" xfId="30121" xr:uid="{97BBD3A4-3F50-4FAB-8F47-89B01C4833A6}"/>
    <cellStyle name="Normal 4 3 2 2 2 3 4 3" xfId="5986" xr:uid="{00000000-0005-0000-0000-00003F140000}"/>
    <cellStyle name="Normal 4 3 2 2 2 3 4 3 2" xfId="15312" xr:uid="{84CC219E-6FDB-49FA-8971-032032B9FCAF}"/>
    <cellStyle name="Normal 4 3 2 2 2 3 4 3 3" xfId="23753" xr:uid="{CB40F3C8-5D91-4C52-87F8-751E3CD52231}"/>
    <cellStyle name="Normal 4 3 2 2 2 3 4 3 4" xfId="32193" xr:uid="{3B947190-84D2-400E-B231-3006D995825A}"/>
    <cellStyle name="Normal 4 3 2 2 2 3 4 4" xfId="11095" xr:uid="{3F0DA75C-8C4B-476C-BBF8-D7BCF92B2664}"/>
    <cellStyle name="Normal 4 3 2 2 2 3 4 5" xfId="19536" xr:uid="{92D3092D-A94C-414F-8C6D-5E6EED6F3969}"/>
    <cellStyle name="Normal 4 3 2 2 2 3 4 6" xfId="27976" xr:uid="{39581514-E7C5-4022-91F9-C5F75BFAB213}"/>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AC614358-5E71-4F93-A453-D67E0F8A9428}"/>
    <cellStyle name="Normal 4 3 2 2 2 3 5 2 2 3" xfId="26311" xr:uid="{7E38A352-EA1A-4F9C-AFEC-FCDBFC7C8334}"/>
    <cellStyle name="Normal 4 3 2 2 2 3 5 2 2 4" xfId="34751" xr:uid="{9A69ADFF-F455-47A0-902D-704462F952BE}"/>
    <cellStyle name="Normal 4 3 2 2 2 3 5 2 3" xfId="13653" xr:uid="{9626490E-63EE-467D-83D7-DAD000C20DE9}"/>
    <cellStyle name="Normal 4 3 2 2 2 3 5 2 4" xfId="22094" xr:uid="{A5CFD8B0-75CE-4281-881D-53B1388C0EC8}"/>
    <cellStyle name="Normal 4 3 2 2 2 3 5 2 5" xfId="30534" xr:uid="{84E08556-50EC-488A-9D63-F9F402A93712}"/>
    <cellStyle name="Normal 4 3 2 2 2 3 5 3" xfId="6399" xr:uid="{00000000-0005-0000-0000-000043140000}"/>
    <cellStyle name="Normal 4 3 2 2 2 3 5 3 2" xfId="15725" xr:uid="{5E348EB5-8F90-4BFA-A4B4-4B57F3654163}"/>
    <cellStyle name="Normal 4 3 2 2 2 3 5 3 3" xfId="24166" xr:uid="{A36306EC-CD05-4248-B140-B352D2B4A81A}"/>
    <cellStyle name="Normal 4 3 2 2 2 3 5 3 4" xfId="32606" xr:uid="{7811C304-CE65-4E8C-AEF3-DF681E0553F0}"/>
    <cellStyle name="Normal 4 3 2 2 2 3 5 4" xfId="11508" xr:uid="{5D686D2F-7A4F-4F4A-ABB1-D8FE76D8F359}"/>
    <cellStyle name="Normal 4 3 2 2 2 3 5 5" xfId="19949" xr:uid="{A94F00B2-BC7A-41E2-A5B3-0102C38D0150}"/>
    <cellStyle name="Normal 4 3 2 2 2 3 5 6" xfId="28389" xr:uid="{7C43D480-4036-4638-A4FE-96CAC66EAE79}"/>
    <cellStyle name="Normal 4 3 2 2 2 3 6" xfId="2529" xr:uid="{00000000-0005-0000-0000-000044140000}"/>
    <cellStyle name="Normal 4 3 2 2 2 3 6 2" xfId="6812" xr:uid="{00000000-0005-0000-0000-000045140000}"/>
    <cellStyle name="Normal 4 3 2 2 2 3 6 2 2" xfId="16138" xr:uid="{8D9E8770-1AD0-41FE-9315-DDC38840CD1C}"/>
    <cellStyle name="Normal 4 3 2 2 2 3 6 2 3" xfId="24579" xr:uid="{82F4945F-83D8-4865-AE09-9290BCB6BBE3}"/>
    <cellStyle name="Normal 4 3 2 2 2 3 6 2 4" xfId="33019" xr:uid="{ACC2C418-5A79-410B-8893-F19D39CCE15B}"/>
    <cellStyle name="Normal 4 3 2 2 2 3 6 3" xfId="11921" xr:uid="{2A02C225-D9E9-403C-80F6-D02DC9E4A7AE}"/>
    <cellStyle name="Normal 4 3 2 2 2 3 6 4" xfId="20362" xr:uid="{BCFFC546-0C36-447B-BC7D-CC08EA9EE5AC}"/>
    <cellStyle name="Normal 4 3 2 2 2 3 6 5" xfId="28802" xr:uid="{AB220AAA-D184-4338-B681-CE70F131AF07}"/>
    <cellStyle name="Normal 4 3 2 2 2 3 7" xfId="4747" xr:uid="{00000000-0005-0000-0000-000046140000}"/>
    <cellStyle name="Normal 4 3 2 2 2 3 7 2" xfId="14073" xr:uid="{74AF6C90-2A5D-47DB-8EB3-9A37429933A0}"/>
    <cellStyle name="Normal 4 3 2 2 2 3 7 3" xfId="22514" xr:uid="{FAB697CD-A1DC-47DF-80DD-A3B90A292327}"/>
    <cellStyle name="Normal 4 3 2 2 2 3 7 4" xfId="30954" xr:uid="{BE1D18D7-C858-4892-AE85-69810B580EE1}"/>
    <cellStyle name="Normal 4 3 2 2 2 3 8" xfId="9029" xr:uid="{CC421D7E-69EF-4D96-A95C-E67F046F8D14}"/>
    <cellStyle name="Normal 4 3 2 2 2 3 9" xfId="9856" xr:uid="{F5A0689A-1EED-481C-B1E9-99376C2BD9BD}"/>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F94374C3-C249-4FF3-94D4-2C2A64996E51}"/>
    <cellStyle name="Normal 4 3 2 2 2 4 2 2 3" xfId="25069" xr:uid="{945D7A5A-87B2-473C-83D6-5EB5C9062A84}"/>
    <cellStyle name="Normal 4 3 2 2 2 4 2 2 4" xfId="33509" xr:uid="{B04FAE48-D6F3-4130-9977-1759EBEF2117}"/>
    <cellStyle name="Normal 4 3 2 2 2 4 2 3" xfId="12411" xr:uid="{072C05BC-1C0F-4C22-8047-B3D87231D8C5}"/>
    <cellStyle name="Normal 4 3 2 2 2 4 2 4" xfId="20852" xr:uid="{DA295ADD-3BD4-4F11-827D-342381DA5F9B}"/>
    <cellStyle name="Normal 4 3 2 2 2 4 2 5" xfId="29292" xr:uid="{A3B305A9-4EC6-4A40-AC48-5774EB635C3A}"/>
    <cellStyle name="Normal 4 3 2 2 2 4 3" xfId="5157" xr:uid="{00000000-0005-0000-0000-00004A140000}"/>
    <cellStyle name="Normal 4 3 2 2 2 4 3 2" xfId="14483" xr:uid="{699029A8-AFAC-4367-ABE7-63EDC9A1A747}"/>
    <cellStyle name="Normal 4 3 2 2 2 4 3 3" xfId="22924" xr:uid="{B288EBEC-A007-411D-AD7E-D5B70B038E19}"/>
    <cellStyle name="Normal 4 3 2 2 2 4 3 4" xfId="31364" xr:uid="{AD915093-DC3A-4FCA-9B1C-993089437693}"/>
    <cellStyle name="Normal 4 3 2 2 2 4 4" xfId="9247" xr:uid="{70D9D224-DB0B-42B4-B4A9-BC88F455C395}"/>
    <cellStyle name="Normal 4 3 2 2 2 4 5" xfId="10266" xr:uid="{A14E32CA-2533-4450-9AA2-46F61BE5E0A3}"/>
    <cellStyle name="Normal 4 3 2 2 2 4 6" xfId="18707" xr:uid="{2ECD90D6-02D3-41F1-A795-6FF148F7E925}"/>
    <cellStyle name="Normal 4 3 2 2 2 4 7" xfId="27147" xr:uid="{8958C8D9-40D5-472E-955E-BDBD5B053468}"/>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C0957014-F29C-42E3-89CE-A154850D47E6}"/>
    <cellStyle name="Normal 4 3 2 2 2 5 2 2 3" xfId="25482" xr:uid="{77954959-D6BF-4B33-9F92-72A94F326D7A}"/>
    <cellStyle name="Normal 4 3 2 2 2 5 2 2 4" xfId="33922" xr:uid="{CEAC48BC-F5F7-4F08-AC57-DEFEF9FC1999}"/>
    <cellStyle name="Normal 4 3 2 2 2 5 2 3" xfId="12824" xr:uid="{90B92C17-A94A-460F-A572-9E6743726641}"/>
    <cellStyle name="Normal 4 3 2 2 2 5 2 4" xfId="21265" xr:uid="{5B587ACF-4ED9-4A73-BEA0-737AB5A8E54A}"/>
    <cellStyle name="Normal 4 3 2 2 2 5 2 5" xfId="29705" xr:uid="{B8C89D5C-8D02-400F-85EE-13393B0A8E98}"/>
    <cellStyle name="Normal 4 3 2 2 2 5 3" xfId="5570" xr:uid="{00000000-0005-0000-0000-00004E140000}"/>
    <cellStyle name="Normal 4 3 2 2 2 5 3 2" xfId="14896" xr:uid="{C830B597-CDEE-44A0-8F01-A6C390DE5F9B}"/>
    <cellStyle name="Normal 4 3 2 2 2 5 3 3" xfId="23337" xr:uid="{8295974E-EA6A-45A3-A8F0-E54E71C7F4FB}"/>
    <cellStyle name="Normal 4 3 2 2 2 5 3 4" xfId="31777" xr:uid="{ED650ACC-1A8A-487D-86C1-71043BE37FE7}"/>
    <cellStyle name="Normal 4 3 2 2 2 5 4" xfId="10679" xr:uid="{53E6C69E-7092-497E-BD70-5191C94DFA75}"/>
    <cellStyle name="Normal 4 3 2 2 2 5 5" xfId="19120" xr:uid="{87EBCCE2-13A8-4835-A06F-98060E32CA5C}"/>
    <cellStyle name="Normal 4 3 2 2 2 5 6" xfId="27560" xr:uid="{1E26A7DB-7720-4D13-877E-DE3C84DEEF2C}"/>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63CC23B7-60E7-4347-B721-D7B30F8980AF}"/>
    <cellStyle name="Normal 4 3 2 2 2 6 2 2 3" xfId="25895" xr:uid="{84D9BACD-7AF2-4F77-85F6-1EB735C35F91}"/>
    <cellStyle name="Normal 4 3 2 2 2 6 2 2 4" xfId="34335" xr:uid="{43CE341C-82D4-4579-BF53-BA0DB6C1F288}"/>
    <cellStyle name="Normal 4 3 2 2 2 6 2 3" xfId="13237" xr:uid="{7B317475-EFBA-4360-A35E-5EFFF12904B2}"/>
    <cellStyle name="Normal 4 3 2 2 2 6 2 4" xfId="21678" xr:uid="{125ED029-EB07-4E11-A6E0-C0DAFEBE20C1}"/>
    <cellStyle name="Normal 4 3 2 2 2 6 2 5" xfId="30118" xr:uid="{60D16A71-1FCF-4FA4-AA75-0BD9A49C317F}"/>
    <cellStyle name="Normal 4 3 2 2 2 6 3" xfId="5983" xr:uid="{00000000-0005-0000-0000-000052140000}"/>
    <cellStyle name="Normal 4 3 2 2 2 6 3 2" xfId="15309" xr:uid="{B83BD15E-920A-4514-84E3-E983AE1B88D3}"/>
    <cellStyle name="Normal 4 3 2 2 2 6 3 3" xfId="23750" xr:uid="{623F9842-E0A2-4A60-9A42-A065A632C9EA}"/>
    <cellStyle name="Normal 4 3 2 2 2 6 3 4" xfId="32190" xr:uid="{27862F80-21A7-4B35-8EC1-9C1C66214029}"/>
    <cellStyle name="Normal 4 3 2 2 2 6 4" xfId="11092" xr:uid="{51901654-17ED-4573-AAD8-7F34663D5333}"/>
    <cellStyle name="Normal 4 3 2 2 2 6 5" xfId="19533" xr:uid="{B0A00F8F-30B4-4AA6-B028-C4DE35C18FF5}"/>
    <cellStyle name="Normal 4 3 2 2 2 6 6" xfId="27973" xr:uid="{B07D6C30-2F01-4DD9-B4DF-D869D9A1A568}"/>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696DEBDD-4B4D-4559-9CAA-615B5BC88516}"/>
    <cellStyle name="Normal 4 3 2 2 2 7 2 2 3" xfId="26308" xr:uid="{336633B7-721F-4264-BE86-D9B410A3ECDE}"/>
    <cellStyle name="Normal 4 3 2 2 2 7 2 2 4" xfId="34748" xr:uid="{7405924E-D473-4C33-B408-197B3D7DDA3B}"/>
    <cellStyle name="Normal 4 3 2 2 2 7 2 3" xfId="13650" xr:uid="{9DED772D-B6F4-473C-AE09-DE87680B9135}"/>
    <cellStyle name="Normal 4 3 2 2 2 7 2 4" xfId="22091" xr:uid="{A073FDBB-7BCF-43B9-95A8-4CC7F8AFAA56}"/>
    <cellStyle name="Normal 4 3 2 2 2 7 2 5" xfId="30531" xr:uid="{5A500A33-E0D1-4068-9084-A03A08FECF8E}"/>
    <cellStyle name="Normal 4 3 2 2 2 7 3" xfId="6396" xr:uid="{00000000-0005-0000-0000-000056140000}"/>
    <cellStyle name="Normal 4 3 2 2 2 7 3 2" xfId="15722" xr:uid="{283E1736-4FC5-4C36-B7D3-718850874554}"/>
    <cellStyle name="Normal 4 3 2 2 2 7 3 3" xfId="24163" xr:uid="{F7FA4F12-94B1-43FC-857E-25F0DBF6D8E5}"/>
    <cellStyle name="Normal 4 3 2 2 2 7 3 4" xfId="32603" xr:uid="{448A7D3A-7E69-4741-B020-580B646221D3}"/>
    <cellStyle name="Normal 4 3 2 2 2 7 4" xfId="11505" xr:uid="{F71AEE6B-17EC-4F8A-8478-C0FCBCB72641}"/>
    <cellStyle name="Normal 4 3 2 2 2 7 5" xfId="19946" xr:uid="{32DF7BA6-135D-40F4-A192-5809AB43FDAE}"/>
    <cellStyle name="Normal 4 3 2 2 2 7 6" xfId="28386" xr:uid="{3CDD41A8-7B12-4702-8AEB-E2A809B6BB0C}"/>
    <cellStyle name="Normal 4 3 2 2 2 8" xfId="2526" xr:uid="{00000000-0005-0000-0000-000057140000}"/>
    <cellStyle name="Normal 4 3 2 2 2 8 2" xfId="6809" xr:uid="{00000000-0005-0000-0000-000058140000}"/>
    <cellStyle name="Normal 4 3 2 2 2 8 2 2" xfId="16135" xr:uid="{50F42C93-DCCE-4CAD-8CFB-AFC4337A51B3}"/>
    <cellStyle name="Normal 4 3 2 2 2 8 2 3" xfId="24576" xr:uid="{936B8614-740E-4D1B-88A4-781AB751530C}"/>
    <cellStyle name="Normal 4 3 2 2 2 8 2 4" xfId="33016" xr:uid="{3655F149-8CDE-4DA2-AA3D-127E8D308C3C}"/>
    <cellStyle name="Normal 4 3 2 2 2 8 3" xfId="11918" xr:uid="{DF9E2C89-2B00-47A7-ADEF-8B90A946EDAE}"/>
    <cellStyle name="Normal 4 3 2 2 2 8 4" xfId="20359" xr:uid="{E2B2AA60-E21E-459E-8C90-4267097D0D91}"/>
    <cellStyle name="Normal 4 3 2 2 2 8 5" xfId="28799" xr:uid="{9469EB17-41D4-4825-B359-8D32BF4EC9B7}"/>
    <cellStyle name="Normal 4 3 2 2 2 9" xfId="4744" xr:uid="{00000000-0005-0000-0000-000059140000}"/>
    <cellStyle name="Normal 4 3 2 2 2 9 2" xfId="14070" xr:uid="{7680D1AF-D4BB-4D9F-BD4B-7144EAA78900}"/>
    <cellStyle name="Normal 4 3 2 2 2 9 3" xfId="22511" xr:uid="{ED50513E-D349-4AE3-B4B5-46FCD01529AF}"/>
    <cellStyle name="Normal 4 3 2 2 2 9 4" xfId="30951" xr:uid="{163D2E22-8C64-4C65-9EFA-8EB60547D8B9}"/>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1" xfId="9857" xr:uid="{339728E9-C5AD-4D0E-95F8-1F4622DC76B0}"/>
    <cellStyle name="Normal 4 3 3 12" xfId="18298" xr:uid="{80F4E413-6456-45DF-AACA-B15BBD4565E0}"/>
    <cellStyle name="Normal 4 3 3 13" xfId="26738" xr:uid="{347ED0C1-F2BA-409F-814D-1327BB4EF609}"/>
    <cellStyle name="Normal 4 3 3 2" xfId="375" xr:uid="{00000000-0005-0000-0000-00005E140000}"/>
    <cellStyle name="Normal 4 3 3 2 10" xfId="9858" xr:uid="{D1234B0D-0AB3-47F5-9D6E-3D42E8A10C67}"/>
    <cellStyle name="Normal 4 3 3 2 11" xfId="18299" xr:uid="{3B51D4A5-6B93-4565-8DFB-37987CD33D17}"/>
    <cellStyle name="Normal 4 3 3 2 12" xfId="26739" xr:uid="{56B37393-D9CA-47D2-BC8B-6208AFBCF165}"/>
    <cellStyle name="Normal 4 3 3 2 2" xfId="376" xr:uid="{00000000-0005-0000-0000-00005F140000}"/>
    <cellStyle name="Normal 4 3 3 2 2 10" xfId="18300" xr:uid="{D1E8647C-964A-4223-93DC-CCBA3479A56F}"/>
    <cellStyle name="Normal 4 3 3 2 2 11" xfId="26740" xr:uid="{4E2256D1-AD49-441D-849D-BB512DC7CE63}"/>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C1B8C81D-0E5A-4D35-90D4-9A8920AE0984}"/>
    <cellStyle name="Normal 4 3 3 2 2 2 2 2 3" xfId="25075" xr:uid="{4100E868-529B-4835-AD26-A8DB078BB6A7}"/>
    <cellStyle name="Normal 4 3 3 2 2 2 2 2 4" xfId="33515" xr:uid="{63115B9A-74A0-4058-ABDE-62BEBAADF899}"/>
    <cellStyle name="Normal 4 3 3 2 2 2 2 3" xfId="12417" xr:uid="{3F4D8184-D579-4EB8-BFF1-DF55D850863C}"/>
    <cellStyle name="Normal 4 3 3 2 2 2 2 4" xfId="20858" xr:uid="{76470E78-48C3-49D0-A5FE-C260F578E9DB}"/>
    <cellStyle name="Normal 4 3 3 2 2 2 2 5" xfId="29298" xr:uid="{0D431C49-E556-4E0E-866B-4A9FE463EDCA}"/>
    <cellStyle name="Normal 4 3 3 2 2 2 3" xfId="5163" xr:uid="{00000000-0005-0000-0000-000063140000}"/>
    <cellStyle name="Normal 4 3 3 2 2 2 3 2" xfId="14489" xr:uid="{EBA7896F-C1B0-4BB4-BCD9-332FF652C8A1}"/>
    <cellStyle name="Normal 4 3 3 2 2 2 3 3" xfId="22930" xr:uid="{6A2FCC25-59EB-4AB9-B9D1-F04F3787D6ED}"/>
    <cellStyle name="Normal 4 3 3 2 2 2 3 4" xfId="31370" xr:uid="{4C07FC16-396E-4B6C-9AF7-9FDC983DDADD}"/>
    <cellStyle name="Normal 4 3 3 2 2 2 4" xfId="9556" xr:uid="{7233D5E9-9F1E-43FF-8391-DCCFDF8A705D}"/>
    <cellStyle name="Normal 4 3 3 2 2 2 5" xfId="10272" xr:uid="{7EF377DB-18F5-4E15-84E7-A181A55F9977}"/>
    <cellStyle name="Normal 4 3 3 2 2 2 6" xfId="18713" xr:uid="{B8621980-3A32-40F6-8352-68A826F6F6BF}"/>
    <cellStyle name="Normal 4 3 3 2 2 2 7" xfId="27153" xr:uid="{DA45220C-A5FC-460E-90F8-6C2717B837FF}"/>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1E7215F1-9ACB-4039-A58F-287AE146EDF5}"/>
    <cellStyle name="Normal 4 3 3 2 2 3 2 2 3" xfId="25488" xr:uid="{3E00186D-9160-425D-BBCB-B1FF2A2E0C5F}"/>
    <cellStyle name="Normal 4 3 3 2 2 3 2 2 4" xfId="33928" xr:uid="{4E43DC88-7BF6-4CB3-A9E1-567FB1FA8341}"/>
    <cellStyle name="Normal 4 3 3 2 2 3 2 3" xfId="12830" xr:uid="{899A839E-B489-4B0E-866F-0F35E91E7DA0}"/>
    <cellStyle name="Normal 4 3 3 2 2 3 2 4" xfId="21271" xr:uid="{94D6276B-5447-4B10-8082-66AAC8AAF2AE}"/>
    <cellStyle name="Normal 4 3 3 2 2 3 2 5" xfId="29711" xr:uid="{04F78A3C-FE9F-4E17-9EAE-386957334C84}"/>
    <cellStyle name="Normal 4 3 3 2 2 3 3" xfId="5576" xr:uid="{00000000-0005-0000-0000-000067140000}"/>
    <cellStyle name="Normal 4 3 3 2 2 3 3 2" xfId="14902" xr:uid="{0DB567AF-0795-42C6-B20E-30BE2DA75C57}"/>
    <cellStyle name="Normal 4 3 3 2 2 3 3 3" xfId="23343" xr:uid="{086EC08C-371B-4B31-B03C-6CA8C97591EE}"/>
    <cellStyle name="Normal 4 3 3 2 2 3 3 4" xfId="31783" xr:uid="{09C0771E-FD89-4298-B26D-8B1D518533B3}"/>
    <cellStyle name="Normal 4 3 3 2 2 3 4" xfId="10685" xr:uid="{7B41EC19-67B5-4C81-BBCF-46D0AB1283E2}"/>
    <cellStyle name="Normal 4 3 3 2 2 3 5" xfId="19126" xr:uid="{3F8811BD-04B2-4B11-953F-04AF0C560753}"/>
    <cellStyle name="Normal 4 3 3 2 2 3 6" xfId="27566" xr:uid="{672AB55F-3BDB-44A9-BEE3-E8FF0FD59B35}"/>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D21BEF39-91C1-4960-A9F2-DA16C3306DFB}"/>
    <cellStyle name="Normal 4 3 3 2 2 4 2 2 3" xfId="25901" xr:uid="{1692E2A8-2D75-42D7-B5E1-CB1D7494C3FF}"/>
    <cellStyle name="Normal 4 3 3 2 2 4 2 2 4" xfId="34341" xr:uid="{2C9300C3-1AD9-4A1A-9864-C30AC4EC5C18}"/>
    <cellStyle name="Normal 4 3 3 2 2 4 2 3" xfId="13243" xr:uid="{86604462-C425-4AF0-9F3C-3D8C1F103B90}"/>
    <cellStyle name="Normal 4 3 3 2 2 4 2 4" xfId="21684" xr:uid="{F3B8BC18-3E6F-45E1-8A8E-33F810A810EC}"/>
    <cellStyle name="Normal 4 3 3 2 2 4 2 5" xfId="30124" xr:uid="{7DEAC180-701D-4B50-ABCC-8FA791793091}"/>
    <cellStyle name="Normal 4 3 3 2 2 4 3" xfId="5989" xr:uid="{00000000-0005-0000-0000-00006B140000}"/>
    <cellStyle name="Normal 4 3 3 2 2 4 3 2" xfId="15315" xr:uid="{B8ED1029-53B3-4CFB-B77C-727858B87FC7}"/>
    <cellStyle name="Normal 4 3 3 2 2 4 3 3" xfId="23756" xr:uid="{EBD6C33E-966B-40C2-8971-91D37C4C493F}"/>
    <cellStyle name="Normal 4 3 3 2 2 4 3 4" xfId="32196" xr:uid="{C48975E9-FB6B-4FFC-A69F-F1D93AD6A66D}"/>
    <cellStyle name="Normal 4 3 3 2 2 4 4" xfId="11098" xr:uid="{20611EBA-3B04-47BD-A22F-A23761283112}"/>
    <cellStyle name="Normal 4 3 3 2 2 4 5" xfId="19539" xr:uid="{D72E4E45-540F-4D87-9221-251B095ADC6F}"/>
    <cellStyle name="Normal 4 3 3 2 2 4 6" xfId="27979" xr:uid="{43F4E995-99FB-4625-BBD9-9E7BE65F961A}"/>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8E05CADD-2218-45BA-A4BE-1F66E6AA8624}"/>
    <cellStyle name="Normal 4 3 3 2 2 5 2 2 3" xfId="26314" xr:uid="{0E5BFC4E-8223-4DBC-AF25-9AB3223B6D14}"/>
    <cellStyle name="Normal 4 3 3 2 2 5 2 2 4" xfId="34754" xr:uid="{751A9AD7-6C44-44AF-BFB0-F440130EBFAC}"/>
    <cellStyle name="Normal 4 3 3 2 2 5 2 3" xfId="13656" xr:uid="{3E26163F-A253-47A8-A263-17B3427D6DAB}"/>
    <cellStyle name="Normal 4 3 3 2 2 5 2 4" xfId="22097" xr:uid="{D22371F7-43B5-4669-B6FC-32DB37882118}"/>
    <cellStyle name="Normal 4 3 3 2 2 5 2 5" xfId="30537" xr:uid="{F8109AD0-2A03-411B-9F95-FAF2CEF664DE}"/>
    <cellStyle name="Normal 4 3 3 2 2 5 3" xfId="6402" xr:uid="{00000000-0005-0000-0000-00006F140000}"/>
    <cellStyle name="Normal 4 3 3 2 2 5 3 2" xfId="15728" xr:uid="{1AF0459F-16AA-4C30-814D-5C66AA3585D8}"/>
    <cellStyle name="Normal 4 3 3 2 2 5 3 3" xfId="24169" xr:uid="{945193E2-31A6-435A-B780-2BA834294947}"/>
    <cellStyle name="Normal 4 3 3 2 2 5 3 4" xfId="32609" xr:uid="{CCB99E89-78DB-4234-B52C-AAC9FFB0928A}"/>
    <cellStyle name="Normal 4 3 3 2 2 5 4" xfId="11511" xr:uid="{525627B3-CD88-4068-8935-3E4867E9547B}"/>
    <cellStyle name="Normal 4 3 3 2 2 5 5" xfId="19952" xr:uid="{25FC8500-5E31-43B7-910B-C49FB71FBDED}"/>
    <cellStyle name="Normal 4 3 3 2 2 5 6" xfId="28392" xr:uid="{D2D74B57-7405-4793-855F-DE1E0D2A9143}"/>
    <cellStyle name="Normal 4 3 3 2 2 6" xfId="2532" xr:uid="{00000000-0005-0000-0000-000070140000}"/>
    <cellStyle name="Normal 4 3 3 2 2 6 2" xfId="6815" xr:uid="{00000000-0005-0000-0000-000071140000}"/>
    <cellStyle name="Normal 4 3 3 2 2 6 2 2" xfId="16141" xr:uid="{2ABAAD0D-AFAF-4546-A69C-0D53E6DCA4CB}"/>
    <cellStyle name="Normal 4 3 3 2 2 6 2 3" xfId="24582" xr:uid="{306E8638-82C3-4009-964A-7092AC7B14FC}"/>
    <cellStyle name="Normal 4 3 3 2 2 6 2 4" xfId="33022" xr:uid="{DD09FBA7-2D5C-4484-9C2D-4CB544EBFA80}"/>
    <cellStyle name="Normal 4 3 3 2 2 6 3" xfId="11924" xr:uid="{546764D1-2C0F-4814-9ABE-743E9FBB019D}"/>
    <cellStyle name="Normal 4 3 3 2 2 6 4" xfId="20365" xr:uid="{1F803CC7-42E4-4CFE-AD6D-D0698A1E2038}"/>
    <cellStyle name="Normal 4 3 3 2 2 6 5" xfId="28805" xr:uid="{907169C8-1B05-4B2C-BE0E-E5A0961374B3}"/>
    <cellStyle name="Normal 4 3 3 2 2 7" xfId="4750" xr:uid="{00000000-0005-0000-0000-000072140000}"/>
    <cellStyle name="Normal 4 3 3 2 2 7 2" xfId="14076" xr:uid="{458F1E86-F5DE-409A-9E12-30B7B04ACADC}"/>
    <cellStyle name="Normal 4 3 3 2 2 7 3" xfId="22517" xr:uid="{29BF9F1C-058C-401B-9F39-709880AA60A3}"/>
    <cellStyle name="Normal 4 3 3 2 2 7 4" xfId="30957" xr:uid="{74F86EEC-567B-4B1D-8FB2-2E8E875A9D60}"/>
    <cellStyle name="Normal 4 3 3 2 2 8" xfId="9131" xr:uid="{D7BA3B10-6765-4B57-99D1-3AF7343772F8}"/>
    <cellStyle name="Normal 4 3 3 2 2 9" xfId="9859" xr:uid="{B1B05EB5-3933-40F3-8336-1601C831120E}"/>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A63DCA25-CE3B-40E6-8D7C-42F4D9E48B23}"/>
    <cellStyle name="Normal 4 3 3 2 3 2 2 3" xfId="25074" xr:uid="{419B434D-A4AC-479D-A3CA-62ED9D53AF61}"/>
    <cellStyle name="Normal 4 3 3 2 3 2 2 4" xfId="33514" xr:uid="{38F98C63-49EC-484C-BD81-A7D8E76FEDE1}"/>
    <cellStyle name="Normal 4 3 3 2 3 2 3" xfId="12416" xr:uid="{01AAC915-C7A6-4D26-9637-C79E5CA2B50D}"/>
    <cellStyle name="Normal 4 3 3 2 3 2 4" xfId="20857" xr:uid="{7B19F0DD-84CB-445C-8AA8-1BF2CAC6A490}"/>
    <cellStyle name="Normal 4 3 3 2 3 2 5" xfId="29297" xr:uid="{F57EDD88-B754-4A66-A6F6-BE74ED8ED15A}"/>
    <cellStyle name="Normal 4 3 3 2 3 3" xfId="5162" xr:uid="{00000000-0005-0000-0000-000076140000}"/>
    <cellStyle name="Normal 4 3 3 2 3 3 2" xfId="14488" xr:uid="{051AAC92-4DDA-4A67-828A-3A0833B4C8F6}"/>
    <cellStyle name="Normal 4 3 3 2 3 3 3" xfId="22929" xr:uid="{008F7982-CD0C-40AD-875C-A4A77F0F79A4}"/>
    <cellStyle name="Normal 4 3 3 2 3 3 4" xfId="31369" xr:uid="{8E88229D-F7A3-4168-AEE5-01AEDF14C80B}"/>
    <cellStyle name="Normal 4 3 3 2 3 4" xfId="9349" xr:uid="{E498700C-D7AE-42FC-8EB1-59BA2C1BA6B9}"/>
    <cellStyle name="Normal 4 3 3 2 3 5" xfId="10271" xr:uid="{58D1F5BE-92CE-497B-BFB2-D3738FDCC2A2}"/>
    <cellStyle name="Normal 4 3 3 2 3 6" xfId="18712" xr:uid="{2A69B1E5-D081-48B8-ACB2-A54DCE1F505B}"/>
    <cellStyle name="Normal 4 3 3 2 3 7" xfId="27152" xr:uid="{599087E1-084D-4CD7-9884-4F71DA40A6E2}"/>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D782596F-40B6-4F5A-8073-5A9798F62E33}"/>
    <cellStyle name="Normal 4 3 3 2 4 2 2 3" xfId="25487" xr:uid="{09C7BE7D-4F86-4211-A191-4DEE8EB9A588}"/>
    <cellStyle name="Normal 4 3 3 2 4 2 2 4" xfId="33927" xr:uid="{5BEF02F0-AD44-41E0-91BE-D557B64C0922}"/>
    <cellStyle name="Normal 4 3 3 2 4 2 3" xfId="12829" xr:uid="{75E5B67A-EDF9-48B3-AA60-58CA339A1901}"/>
    <cellStyle name="Normal 4 3 3 2 4 2 4" xfId="21270" xr:uid="{4BCC8A5E-1B40-465A-893E-7FF96F431363}"/>
    <cellStyle name="Normal 4 3 3 2 4 2 5" xfId="29710" xr:uid="{954D796B-58C8-4391-8E7C-40D315EBAAB9}"/>
    <cellStyle name="Normal 4 3 3 2 4 3" xfId="5575" xr:uid="{00000000-0005-0000-0000-00007A140000}"/>
    <cellStyle name="Normal 4 3 3 2 4 3 2" xfId="14901" xr:uid="{2CEA8100-3400-4A8E-A58D-C78207B33FB1}"/>
    <cellStyle name="Normal 4 3 3 2 4 3 3" xfId="23342" xr:uid="{DF6B140E-99C5-4EE8-B9F6-9F906D3EB5D8}"/>
    <cellStyle name="Normal 4 3 3 2 4 3 4" xfId="31782" xr:uid="{586DEBBC-B693-4F3F-BACB-AD604ABCA75E}"/>
    <cellStyle name="Normal 4 3 3 2 4 4" xfId="10684" xr:uid="{A8AB6EFB-5D10-4D57-81B1-BE278D23864D}"/>
    <cellStyle name="Normal 4 3 3 2 4 5" xfId="19125" xr:uid="{DD4E5648-0453-4DE9-8AC0-EDE386E7D912}"/>
    <cellStyle name="Normal 4 3 3 2 4 6" xfId="27565" xr:uid="{16AA2F13-AC1E-4B68-A8CD-E6FA7E1655D0}"/>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A1F92C8C-3AD7-44E7-8A17-C3B7C69C5086}"/>
    <cellStyle name="Normal 4 3 3 2 5 2 2 3" xfId="25900" xr:uid="{E7FC197B-435E-4BE9-B23C-93B48DDAC7A8}"/>
    <cellStyle name="Normal 4 3 3 2 5 2 2 4" xfId="34340" xr:uid="{D88FA222-3A4B-4F72-97F0-F593805D1566}"/>
    <cellStyle name="Normal 4 3 3 2 5 2 3" xfId="13242" xr:uid="{9C03A79A-FBA5-4A2B-8363-909F273CBD73}"/>
    <cellStyle name="Normal 4 3 3 2 5 2 4" xfId="21683" xr:uid="{0C609688-0898-4817-8F42-64C461E5084F}"/>
    <cellStyle name="Normal 4 3 3 2 5 2 5" xfId="30123" xr:uid="{ADB5FD85-7469-4525-AC1E-64349F274218}"/>
    <cellStyle name="Normal 4 3 3 2 5 3" xfId="5988" xr:uid="{00000000-0005-0000-0000-00007E140000}"/>
    <cellStyle name="Normal 4 3 3 2 5 3 2" xfId="15314" xr:uid="{31FFC126-99F2-46B9-AC25-1359EE004C2B}"/>
    <cellStyle name="Normal 4 3 3 2 5 3 3" xfId="23755" xr:uid="{734EF6EE-94D0-4CF1-9E6E-052CA6DB1B18}"/>
    <cellStyle name="Normal 4 3 3 2 5 3 4" xfId="32195" xr:uid="{B44B5016-CB5F-4DA6-BF1F-722673777492}"/>
    <cellStyle name="Normal 4 3 3 2 5 4" xfId="11097" xr:uid="{C09672E4-9B38-4B31-A7E5-30B4901D57A0}"/>
    <cellStyle name="Normal 4 3 3 2 5 5" xfId="19538" xr:uid="{C23CDCAD-068D-4194-B23C-E72624331D20}"/>
    <cellStyle name="Normal 4 3 3 2 5 6" xfId="27978" xr:uid="{E80F9D00-CA4E-423E-8726-3B163ECEB445}"/>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CD40681E-AA0A-4264-BCEA-054A41A28B7D}"/>
    <cellStyle name="Normal 4 3 3 2 6 2 2 3" xfId="26313" xr:uid="{A6EC9C7D-B4F6-4817-BD85-A0C34A7C7EDA}"/>
    <cellStyle name="Normal 4 3 3 2 6 2 2 4" xfId="34753" xr:uid="{986EF160-3F40-4B3D-92C2-E75889ACBEB8}"/>
    <cellStyle name="Normal 4 3 3 2 6 2 3" xfId="13655" xr:uid="{A7C0A805-0A65-4165-86C2-BF87526DC679}"/>
    <cellStyle name="Normal 4 3 3 2 6 2 4" xfId="22096" xr:uid="{476C2821-EC61-4962-B00C-13B202D7449E}"/>
    <cellStyle name="Normal 4 3 3 2 6 2 5" xfId="30536" xr:uid="{FC4CCD81-DA56-4701-A7D3-08ADE874DCE8}"/>
    <cellStyle name="Normal 4 3 3 2 6 3" xfId="6401" xr:uid="{00000000-0005-0000-0000-000082140000}"/>
    <cellStyle name="Normal 4 3 3 2 6 3 2" xfId="15727" xr:uid="{151295FC-99FC-48DC-92F4-BADF71250F4B}"/>
    <cellStyle name="Normal 4 3 3 2 6 3 3" xfId="24168" xr:uid="{440952F1-941C-490B-919F-62F63B7D2C0A}"/>
    <cellStyle name="Normal 4 3 3 2 6 3 4" xfId="32608" xr:uid="{7718BC6D-2BC6-4E86-9981-7D7299F08FF2}"/>
    <cellStyle name="Normal 4 3 3 2 6 4" xfId="11510" xr:uid="{307C6040-A325-4E82-BBE8-59122465B50F}"/>
    <cellStyle name="Normal 4 3 3 2 6 5" xfId="19951" xr:uid="{B8349212-9F40-4E43-87A5-49ACCA057A82}"/>
    <cellStyle name="Normal 4 3 3 2 6 6" xfId="28391" xr:uid="{328AD752-6E92-458A-B89B-CB0D391A6106}"/>
    <cellStyle name="Normal 4 3 3 2 7" xfId="2531" xr:uid="{00000000-0005-0000-0000-000083140000}"/>
    <cellStyle name="Normal 4 3 3 2 7 2" xfId="6814" xr:uid="{00000000-0005-0000-0000-000084140000}"/>
    <cellStyle name="Normal 4 3 3 2 7 2 2" xfId="16140" xr:uid="{0AB51C99-D077-4073-9700-E54A6DD040C7}"/>
    <cellStyle name="Normal 4 3 3 2 7 2 3" xfId="24581" xr:uid="{399AC3AE-5609-4D50-99B3-CDBE45152EA1}"/>
    <cellStyle name="Normal 4 3 3 2 7 2 4" xfId="33021" xr:uid="{1CCE4688-782A-4CB0-B927-DD403C07AD36}"/>
    <cellStyle name="Normal 4 3 3 2 7 3" xfId="11923" xr:uid="{31179952-A64D-40C6-8B74-24FB4B6F5685}"/>
    <cellStyle name="Normal 4 3 3 2 7 4" xfId="20364" xr:uid="{5D690B44-9CD0-4132-880D-0D3851063F46}"/>
    <cellStyle name="Normal 4 3 3 2 7 5" xfId="28804" xr:uid="{1F510735-18B7-4FC0-BBF8-BC2222C16896}"/>
    <cellStyle name="Normal 4 3 3 2 8" xfId="4749" xr:uid="{00000000-0005-0000-0000-000085140000}"/>
    <cellStyle name="Normal 4 3 3 2 8 2" xfId="14075" xr:uid="{BECD660F-0914-4B92-8014-43246BC58243}"/>
    <cellStyle name="Normal 4 3 3 2 8 3" xfId="22516" xr:uid="{B6566E1D-40EF-463B-B7A7-62CB0567A1A2}"/>
    <cellStyle name="Normal 4 3 3 2 8 4" xfId="30956" xr:uid="{71914660-0589-4008-9750-718B71205488}"/>
    <cellStyle name="Normal 4 3 3 2 9" xfId="8924" xr:uid="{F9E914C5-63E8-4CB8-8EA1-7427CE35C4AA}"/>
    <cellStyle name="Normal 4 3 3 3" xfId="377" xr:uid="{00000000-0005-0000-0000-000086140000}"/>
    <cellStyle name="Normal 4 3 3 3 10" xfId="18301" xr:uid="{59B43F24-35FB-4186-B4F0-74ACDAD54786}"/>
    <cellStyle name="Normal 4 3 3 3 11" xfId="26741" xr:uid="{A2E43DCE-813C-45A5-9314-0D22950B1E03}"/>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C5665273-70E6-4A51-A498-756A8031419E}"/>
    <cellStyle name="Normal 4 3 3 3 2 2 2 3" xfId="25076" xr:uid="{1B10040F-73D9-4271-AFC7-9EF8A9E391B7}"/>
    <cellStyle name="Normal 4 3 3 3 2 2 2 4" xfId="33516" xr:uid="{6418BA6A-282C-4D4D-89C7-57BD55F7DDFC}"/>
    <cellStyle name="Normal 4 3 3 3 2 2 3" xfId="12418" xr:uid="{EE20A46B-D684-45E7-8DF1-BBCD4811E78D}"/>
    <cellStyle name="Normal 4 3 3 3 2 2 4" xfId="20859" xr:uid="{AB02408B-0E5F-41B2-9D60-3D4EA8E9074A}"/>
    <cellStyle name="Normal 4 3 3 3 2 2 5" xfId="29299" xr:uid="{AD5640E8-1D85-472F-A4FE-0544AF66BA67}"/>
    <cellStyle name="Normal 4 3 3 3 2 3" xfId="5164" xr:uid="{00000000-0005-0000-0000-00008A140000}"/>
    <cellStyle name="Normal 4 3 3 3 2 3 2" xfId="14490" xr:uid="{668E520F-95ED-4FA3-B96D-B68102B8BECA}"/>
    <cellStyle name="Normal 4 3 3 3 2 3 3" xfId="22931" xr:uid="{58F2141B-D66A-479B-AFDE-AF5954F74B0B}"/>
    <cellStyle name="Normal 4 3 3 3 2 3 4" xfId="31371" xr:uid="{3B852902-413E-46BE-907C-2626EF560BB5}"/>
    <cellStyle name="Normal 4 3 3 3 2 4" xfId="9453" xr:uid="{18D68920-503C-42C1-A733-EBE17DC6D008}"/>
    <cellStyle name="Normal 4 3 3 3 2 5" xfId="10273" xr:uid="{73DB8BA4-96B3-4BCE-BA8E-879F00D709BE}"/>
    <cellStyle name="Normal 4 3 3 3 2 6" xfId="18714" xr:uid="{F99D4357-9D81-4FE9-A881-0D3F069E9FC1}"/>
    <cellStyle name="Normal 4 3 3 3 2 7" xfId="27154" xr:uid="{81AF7FDA-FFAD-4534-B45C-340880AB4E8F}"/>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7656A99C-CCD6-4ADC-8F93-94EA68E5ACB2}"/>
    <cellStyle name="Normal 4 3 3 3 3 2 2 3" xfId="25489" xr:uid="{595D36D1-CC4C-4CE0-9EEF-E0EF182D0421}"/>
    <cellStyle name="Normal 4 3 3 3 3 2 2 4" xfId="33929" xr:uid="{5535AB28-5710-44C3-821D-EAB4732976B5}"/>
    <cellStyle name="Normal 4 3 3 3 3 2 3" xfId="12831" xr:uid="{9609D310-E3FD-4CDA-9D79-98D27575A3D7}"/>
    <cellStyle name="Normal 4 3 3 3 3 2 4" xfId="21272" xr:uid="{B21EF0AF-69B7-4726-88FA-0697E34E2AF4}"/>
    <cellStyle name="Normal 4 3 3 3 3 2 5" xfId="29712" xr:uid="{192962C3-F7F6-40C7-BCFD-FA90A91D767D}"/>
    <cellStyle name="Normal 4 3 3 3 3 3" xfId="5577" xr:uid="{00000000-0005-0000-0000-00008E140000}"/>
    <cellStyle name="Normal 4 3 3 3 3 3 2" xfId="14903" xr:uid="{E5669F22-D0B4-4906-8546-0E83E90379BD}"/>
    <cellStyle name="Normal 4 3 3 3 3 3 3" xfId="23344" xr:uid="{BA25C44A-6300-422D-BF91-6129EA680B8C}"/>
    <cellStyle name="Normal 4 3 3 3 3 3 4" xfId="31784" xr:uid="{C9E8104F-A36A-4F1A-BB90-E0C1F6F3EA14}"/>
    <cellStyle name="Normal 4 3 3 3 3 4" xfId="10686" xr:uid="{EFBFCFE2-01CE-4B6A-980F-FAE2113177AA}"/>
    <cellStyle name="Normal 4 3 3 3 3 5" xfId="19127" xr:uid="{5EACECE5-57BE-4BAC-84EB-0FA6F986905A}"/>
    <cellStyle name="Normal 4 3 3 3 3 6" xfId="27567" xr:uid="{F6DE051D-83FC-44B0-918B-864365C6CEA0}"/>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E199198D-5CFF-4ADE-A4DF-C8219B07EF94}"/>
    <cellStyle name="Normal 4 3 3 3 4 2 2 3" xfId="25902" xr:uid="{22AAEEDD-9ADA-4F35-B4A0-0BD6E26F26B8}"/>
    <cellStyle name="Normal 4 3 3 3 4 2 2 4" xfId="34342" xr:uid="{0580F871-8CAC-45D4-8E81-4C6AC0DDBD8C}"/>
    <cellStyle name="Normal 4 3 3 3 4 2 3" xfId="13244" xr:uid="{8E939706-B813-4180-889A-B0AA41ADA7A8}"/>
    <cellStyle name="Normal 4 3 3 3 4 2 4" xfId="21685" xr:uid="{C63A63EB-6276-4096-97E3-44B9CEEC1740}"/>
    <cellStyle name="Normal 4 3 3 3 4 2 5" xfId="30125" xr:uid="{9B48BCA0-149C-4CBA-B300-CF7A2711E094}"/>
    <cellStyle name="Normal 4 3 3 3 4 3" xfId="5990" xr:uid="{00000000-0005-0000-0000-000092140000}"/>
    <cellStyle name="Normal 4 3 3 3 4 3 2" xfId="15316" xr:uid="{C72EB8F4-6C70-40AC-8B55-A73A95FA0EC1}"/>
    <cellStyle name="Normal 4 3 3 3 4 3 3" xfId="23757" xr:uid="{EA130198-FE7B-42EF-99B4-CA16CA60B7FC}"/>
    <cellStyle name="Normal 4 3 3 3 4 3 4" xfId="32197" xr:uid="{5150C672-C11A-4A32-B7F0-071FBB9E14A8}"/>
    <cellStyle name="Normal 4 3 3 3 4 4" xfId="11099" xr:uid="{DC411CD2-08F4-4BE9-B6A0-4D13AB33786D}"/>
    <cellStyle name="Normal 4 3 3 3 4 5" xfId="19540" xr:uid="{11954F94-C9E5-4AAA-905C-04331F3FE4DA}"/>
    <cellStyle name="Normal 4 3 3 3 4 6" xfId="27980" xr:uid="{AC3D03A7-C714-4043-8586-0B71148AA198}"/>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66369D4A-4477-40EF-8518-3BBE4978CCA2}"/>
    <cellStyle name="Normal 4 3 3 3 5 2 2 3" xfId="26315" xr:uid="{FCF43E0E-61DD-49FB-9C85-AA6F843F290B}"/>
    <cellStyle name="Normal 4 3 3 3 5 2 2 4" xfId="34755" xr:uid="{17670DC6-2423-4784-A88A-C4156DD5BC26}"/>
    <cellStyle name="Normal 4 3 3 3 5 2 3" xfId="13657" xr:uid="{8D8DE711-B871-4FA8-AB78-BC2D0AFA2AE4}"/>
    <cellStyle name="Normal 4 3 3 3 5 2 4" xfId="22098" xr:uid="{8E5BF1DC-2901-4128-8029-A8ED01EA1C2E}"/>
    <cellStyle name="Normal 4 3 3 3 5 2 5" xfId="30538" xr:uid="{D4573D3C-C62D-48E6-B819-290010DADDD0}"/>
    <cellStyle name="Normal 4 3 3 3 5 3" xfId="6403" xr:uid="{00000000-0005-0000-0000-000096140000}"/>
    <cellStyle name="Normal 4 3 3 3 5 3 2" xfId="15729" xr:uid="{13E369B6-64C4-4FD5-A5E2-536057E7FAE6}"/>
    <cellStyle name="Normal 4 3 3 3 5 3 3" xfId="24170" xr:uid="{46CF56E3-1173-4FE2-9203-B1FFF5165877}"/>
    <cellStyle name="Normal 4 3 3 3 5 3 4" xfId="32610" xr:uid="{FF5DC544-178F-4544-9575-B46FCD172A47}"/>
    <cellStyle name="Normal 4 3 3 3 5 4" xfId="11512" xr:uid="{4591DD57-67B2-4C97-B73B-F2BFF0C3F0E1}"/>
    <cellStyle name="Normal 4 3 3 3 5 5" xfId="19953" xr:uid="{4CC4013F-9482-4296-BDF1-93745313EAC5}"/>
    <cellStyle name="Normal 4 3 3 3 5 6" xfId="28393" xr:uid="{98FE74A3-E61E-4D97-8DF8-1A653C1A1BBC}"/>
    <cellStyle name="Normal 4 3 3 3 6" xfId="2533" xr:uid="{00000000-0005-0000-0000-000097140000}"/>
    <cellStyle name="Normal 4 3 3 3 6 2" xfId="6816" xr:uid="{00000000-0005-0000-0000-000098140000}"/>
    <cellStyle name="Normal 4 3 3 3 6 2 2" xfId="16142" xr:uid="{49786378-C0DF-4C9C-A04B-6C977072D490}"/>
    <cellStyle name="Normal 4 3 3 3 6 2 3" xfId="24583" xr:uid="{5C30F50D-6D19-4563-9F83-2E64995FE151}"/>
    <cellStyle name="Normal 4 3 3 3 6 2 4" xfId="33023" xr:uid="{04EE5005-7B5E-4008-930E-0512AE483391}"/>
    <cellStyle name="Normal 4 3 3 3 6 3" xfId="11925" xr:uid="{3D21B494-85B1-440D-8EED-399E35CE0FEF}"/>
    <cellStyle name="Normal 4 3 3 3 6 4" xfId="20366" xr:uid="{B24CDFCA-AD2D-4B90-B901-09EDB70A2477}"/>
    <cellStyle name="Normal 4 3 3 3 6 5" xfId="28806" xr:uid="{45D774E5-83FE-423A-AF0E-F0E05E3CC680}"/>
    <cellStyle name="Normal 4 3 3 3 7" xfId="4751" xr:uid="{00000000-0005-0000-0000-000099140000}"/>
    <cellStyle name="Normal 4 3 3 3 7 2" xfId="14077" xr:uid="{ADB08504-1934-4F4A-B36D-B7D6DAC5589A}"/>
    <cellStyle name="Normal 4 3 3 3 7 3" xfId="22518" xr:uid="{DBF542C0-4376-4B2C-9F72-4295DF61E4CE}"/>
    <cellStyle name="Normal 4 3 3 3 7 4" xfId="30958" xr:uid="{D1A0A782-9D40-4A49-8676-F1FF2EDCCDC8}"/>
    <cellStyle name="Normal 4 3 3 3 8" xfId="9028" xr:uid="{A0BD85BE-0D8B-455E-B326-708B8FF8A8C8}"/>
    <cellStyle name="Normal 4 3 3 3 9" xfId="9860" xr:uid="{EC34FBDD-C6A6-45AD-BC7F-6758D353D0F6}"/>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F1795819-03D7-40C2-BEA5-63EDD44703A9}"/>
    <cellStyle name="Normal 4 3 3 4 2 2 3" xfId="25073" xr:uid="{772B6C84-F66D-4EC0-93FC-847F0AF2DA2F}"/>
    <cellStyle name="Normal 4 3 3 4 2 2 4" xfId="33513" xr:uid="{F92099DB-7439-49E2-B5BA-61DA5B7BD4F2}"/>
    <cellStyle name="Normal 4 3 3 4 2 3" xfId="12415" xr:uid="{269F9666-1E80-4337-B8FC-C3A7BF8A7764}"/>
    <cellStyle name="Normal 4 3 3 4 2 4" xfId="20856" xr:uid="{03702D8E-4580-44EB-A311-9891A531A469}"/>
    <cellStyle name="Normal 4 3 3 4 2 5" xfId="29296" xr:uid="{B5395EFD-0302-43E8-84E5-89FEF822E51C}"/>
    <cellStyle name="Normal 4 3 3 4 3" xfId="5161" xr:uid="{00000000-0005-0000-0000-00009D140000}"/>
    <cellStyle name="Normal 4 3 3 4 3 2" xfId="14487" xr:uid="{0DAD250A-A611-4537-998E-7F7AFE6A79F5}"/>
    <cellStyle name="Normal 4 3 3 4 3 3" xfId="22928" xr:uid="{D822DCA0-AF1D-4F12-BB70-563DD266B770}"/>
    <cellStyle name="Normal 4 3 3 4 3 4" xfId="31368" xr:uid="{557105AE-AE40-4D59-A0C1-DF76A8F301C4}"/>
    <cellStyle name="Normal 4 3 3 4 4" xfId="9246" xr:uid="{E1107DA9-8F13-4216-80A2-CEA1D2EF57FC}"/>
    <cellStyle name="Normal 4 3 3 4 5" xfId="10270" xr:uid="{82C22BA4-4EE2-40C6-BF2F-C6D183A209EC}"/>
    <cellStyle name="Normal 4 3 3 4 6" xfId="18711" xr:uid="{4D783109-EFD6-40D7-99D5-D08814BE85A3}"/>
    <cellStyle name="Normal 4 3 3 4 7" xfId="27151" xr:uid="{C9DAEE94-1041-4B62-9D6F-B431DEC6D8E1}"/>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29B8B0F8-F99A-4184-A093-D386CACD460B}"/>
    <cellStyle name="Normal 4 3 3 5 2 2 3" xfId="25486" xr:uid="{020504AD-E018-4B11-8037-866E0B3C7361}"/>
    <cellStyle name="Normal 4 3 3 5 2 2 4" xfId="33926" xr:uid="{7CC1EA9B-9B22-436E-A2E4-764A675EA32B}"/>
    <cellStyle name="Normal 4 3 3 5 2 3" xfId="12828" xr:uid="{6B9C9D8F-540E-4CAC-831F-ED94EFF69AF8}"/>
    <cellStyle name="Normal 4 3 3 5 2 4" xfId="21269" xr:uid="{9789805A-149E-4E68-A994-E73D3C5CA863}"/>
    <cellStyle name="Normal 4 3 3 5 2 5" xfId="29709" xr:uid="{66B939A0-82E4-4E42-81D5-763618A6F0AF}"/>
    <cellStyle name="Normal 4 3 3 5 3" xfId="5574" xr:uid="{00000000-0005-0000-0000-0000A1140000}"/>
    <cellStyle name="Normal 4 3 3 5 3 2" xfId="14900" xr:uid="{E6102AAB-DE05-46B1-9A98-66C13864570D}"/>
    <cellStyle name="Normal 4 3 3 5 3 3" xfId="23341" xr:uid="{65B81FB3-3C93-4F90-AF53-C919FD8F3781}"/>
    <cellStyle name="Normal 4 3 3 5 3 4" xfId="31781" xr:uid="{5725CF85-79C6-47B8-BAE7-419D554D4587}"/>
    <cellStyle name="Normal 4 3 3 5 4" xfId="10683" xr:uid="{9065B6D8-2903-4348-9C45-DFF948F738F8}"/>
    <cellStyle name="Normal 4 3 3 5 5" xfId="19124" xr:uid="{303DDF14-30D9-44BF-83CD-0FE0649F79C8}"/>
    <cellStyle name="Normal 4 3 3 5 6" xfId="27564" xr:uid="{CFFCAE10-A82D-4888-9546-45E872106FC5}"/>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E4185515-6709-4620-9535-B998F4AB1CB1}"/>
    <cellStyle name="Normal 4 3 3 6 2 2 3" xfId="25899" xr:uid="{15197FD1-7D3E-4C26-9725-F805EE9FC330}"/>
    <cellStyle name="Normal 4 3 3 6 2 2 4" xfId="34339" xr:uid="{EBDC9DD9-24C1-4B7F-87AF-206557270780}"/>
    <cellStyle name="Normal 4 3 3 6 2 3" xfId="13241" xr:uid="{1C5A9E96-135D-4C3A-A402-1B3836EAA469}"/>
    <cellStyle name="Normal 4 3 3 6 2 4" xfId="21682" xr:uid="{3525028F-1748-4E3B-8CF5-ACD358B6C050}"/>
    <cellStyle name="Normal 4 3 3 6 2 5" xfId="30122" xr:uid="{972A6B27-7640-442A-BC4B-D05496FB281E}"/>
    <cellStyle name="Normal 4 3 3 6 3" xfId="5987" xr:uid="{00000000-0005-0000-0000-0000A5140000}"/>
    <cellStyle name="Normal 4 3 3 6 3 2" xfId="15313" xr:uid="{7C757F61-6C53-4FDF-A186-BB1181760E7C}"/>
    <cellStyle name="Normal 4 3 3 6 3 3" xfId="23754" xr:uid="{F9A3CC05-3B5C-4C41-83BA-A01D1D912DAF}"/>
    <cellStyle name="Normal 4 3 3 6 3 4" xfId="32194" xr:uid="{BE917ED0-3738-420C-8EB8-0D745FE29953}"/>
    <cellStyle name="Normal 4 3 3 6 4" xfId="11096" xr:uid="{C654C884-953E-444A-9520-94323B9322E0}"/>
    <cellStyle name="Normal 4 3 3 6 5" xfId="19537" xr:uid="{F5952B0F-85A5-4FDB-A5F6-6AEB254952BD}"/>
    <cellStyle name="Normal 4 3 3 6 6" xfId="27977" xr:uid="{5274492C-C68F-49B7-AF45-581525CD294C}"/>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E63548B5-B8C1-400B-ADAE-A2BD3797597C}"/>
    <cellStyle name="Normal 4 3 3 7 2 2 3" xfId="26312" xr:uid="{DB953CED-5AB7-41C1-B8A6-D6B45C5C21D4}"/>
    <cellStyle name="Normal 4 3 3 7 2 2 4" xfId="34752" xr:uid="{F55540EF-E3EA-43B5-AC43-C697A4F05AFF}"/>
    <cellStyle name="Normal 4 3 3 7 2 3" xfId="13654" xr:uid="{64BF798D-5466-443D-ADD2-916B502125DC}"/>
    <cellStyle name="Normal 4 3 3 7 2 4" xfId="22095" xr:uid="{97873DB1-C846-4A2E-A561-50AAE2E8965E}"/>
    <cellStyle name="Normal 4 3 3 7 2 5" xfId="30535" xr:uid="{DDF474AF-089E-4EE1-8992-90BEAD5DF48E}"/>
    <cellStyle name="Normal 4 3 3 7 3" xfId="6400" xr:uid="{00000000-0005-0000-0000-0000A9140000}"/>
    <cellStyle name="Normal 4 3 3 7 3 2" xfId="15726" xr:uid="{4DC92EC8-D102-45C6-B73B-381B26ED19EE}"/>
    <cellStyle name="Normal 4 3 3 7 3 3" xfId="24167" xr:uid="{300A27EE-11E1-41DE-BDB9-0991575314EB}"/>
    <cellStyle name="Normal 4 3 3 7 3 4" xfId="32607" xr:uid="{BD1B6F72-C5D0-486F-8249-E17F328EC848}"/>
    <cellStyle name="Normal 4 3 3 7 4" xfId="11509" xr:uid="{AFB9F88B-E5C4-4BD1-B4A1-7147FA59D304}"/>
    <cellStyle name="Normal 4 3 3 7 5" xfId="19950" xr:uid="{429B40F9-0D29-4BA2-B63C-312B7D9F8A27}"/>
    <cellStyle name="Normal 4 3 3 7 6" xfId="28390" xr:uid="{B7BD8AE5-F902-4D3E-BE4A-9BC1BD07277B}"/>
    <cellStyle name="Normal 4 3 3 8" xfId="2530" xr:uid="{00000000-0005-0000-0000-0000AA140000}"/>
    <cellStyle name="Normal 4 3 3 8 2" xfId="6813" xr:uid="{00000000-0005-0000-0000-0000AB140000}"/>
    <cellStyle name="Normal 4 3 3 8 2 2" xfId="16139" xr:uid="{83A895FF-AD05-442F-8C0B-ADF54A3A1773}"/>
    <cellStyle name="Normal 4 3 3 8 2 3" xfId="24580" xr:uid="{5250519F-00BD-4AA3-BF90-B28A15010506}"/>
    <cellStyle name="Normal 4 3 3 8 2 4" xfId="33020" xr:uid="{75627274-5BE1-47AE-B843-3CE3C31374B0}"/>
    <cellStyle name="Normal 4 3 3 8 3" xfId="11922" xr:uid="{8C7CBFFB-EACF-4AC5-A7E6-93B71B93AD07}"/>
    <cellStyle name="Normal 4 3 3 8 4" xfId="20363" xr:uid="{26646B42-FECF-42C7-86AF-CFD6AD3D3C36}"/>
    <cellStyle name="Normal 4 3 3 8 5" xfId="28803" xr:uid="{851FF4C4-1D2B-4B37-952E-089945FB29E6}"/>
    <cellStyle name="Normal 4 3 3 9" xfId="4748" xr:uid="{00000000-0005-0000-0000-0000AC140000}"/>
    <cellStyle name="Normal 4 3 3 9 2" xfId="14074" xr:uid="{65FB6710-6AB8-4878-B2F1-5ED20FF58B39}"/>
    <cellStyle name="Normal 4 3 3 9 3" xfId="22515" xr:uid="{68A87BC5-7DFB-4D43-800E-0B0DEB797FDC}"/>
    <cellStyle name="Normal 4 3 3 9 4" xfId="30955" xr:uid="{4324B7CA-86FA-4720-B3EB-7EEA5CDDD4B1}"/>
    <cellStyle name="Normal 4 3 4" xfId="842" xr:uid="{00000000-0005-0000-0000-0000AD140000}"/>
    <cellStyle name="Normal 4 3 4 2" xfId="3079" xr:uid="{00000000-0005-0000-0000-0000AE140000}"/>
    <cellStyle name="Normal 4 3 4 2 2" xfId="7301" xr:uid="{00000000-0005-0000-0000-0000AF140000}"/>
    <cellStyle name="Normal 4 3 4 2 2 2" xfId="16627" xr:uid="{50B82C36-FB6A-4B81-8AE3-FE84014B02B1}"/>
    <cellStyle name="Normal 4 3 4 2 2 3" xfId="25068" xr:uid="{43D59870-6655-42C0-A292-0EBE71AC4B6E}"/>
    <cellStyle name="Normal 4 3 4 2 2 4" xfId="33508" xr:uid="{5C37CC6E-8384-43AF-8FD6-79A50BB882BB}"/>
    <cellStyle name="Normal 4 3 4 2 3" xfId="12410" xr:uid="{5DE749A4-AC30-4924-9AB5-AB725964E1A4}"/>
    <cellStyle name="Normal 4 3 4 2 4" xfId="20851" xr:uid="{6EB08BF4-D19F-42BC-9540-42E2112CEE77}"/>
    <cellStyle name="Normal 4 3 4 2 5" xfId="29291" xr:uid="{7BE51A21-D7FA-403A-B710-3F84A3F07D19}"/>
    <cellStyle name="Normal 4 3 4 3" xfId="5156" xr:uid="{00000000-0005-0000-0000-0000B0140000}"/>
    <cellStyle name="Normal 4 3 4 3 2" xfId="14482" xr:uid="{995F02FA-C64E-41B1-ADF6-70E08DC4C84B}"/>
    <cellStyle name="Normal 4 3 4 3 3" xfId="22923" xr:uid="{92D13149-7400-4C2B-B0F9-DC9818FD0187}"/>
    <cellStyle name="Normal 4 3 4 3 4" xfId="31363" xr:uid="{532C2888-5D5C-435F-9552-2019D5C45E44}"/>
    <cellStyle name="Normal 4 3 4 4" xfId="9608" xr:uid="{C2EFFD2B-01D5-4B2B-BD85-BB4245D6A35E}"/>
    <cellStyle name="Normal 4 3 4 5" xfId="10265" xr:uid="{C8CD9965-F48A-4E0F-B8E3-8F8867F08E8A}"/>
    <cellStyle name="Normal 4 3 4 6" xfId="18706" xr:uid="{1F26E01F-F775-4640-AA45-95C2F53DB31C}"/>
    <cellStyle name="Normal 4 3 4 7" xfId="27146" xr:uid="{C7C48B38-E5B8-48FB-9812-DF154B415D93}"/>
    <cellStyle name="Normal 4 3 5" xfId="1262" xr:uid="{00000000-0005-0000-0000-0000B1140000}"/>
    <cellStyle name="Normal 4 3 5 2" xfId="3492" xr:uid="{00000000-0005-0000-0000-0000B2140000}"/>
    <cellStyle name="Normal 4 3 5 2 2" xfId="7714" xr:uid="{00000000-0005-0000-0000-0000B3140000}"/>
    <cellStyle name="Normal 4 3 5 2 2 2" xfId="17040" xr:uid="{2E1628DC-292A-4B8A-9E32-4409448321AD}"/>
    <cellStyle name="Normal 4 3 5 2 2 3" xfId="25481" xr:uid="{0BE90796-F0A6-4105-84BF-DCBAF9F6A8F7}"/>
    <cellStyle name="Normal 4 3 5 2 2 4" xfId="33921" xr:uid="{BAD23F47-DFFF-43C8-B804-D7EC3097D736}"/>
    <cellStyle name="Normal 4 3 5 2 3" xfId="12823" xr:uid="{791204A5-B7D0-4F24-AE5C-47F98E87A6B6}"/>
    <cellStyle name="Normal 4 3 5 2 4" xfId="21264" xr:uid="{57C552D4-77CF-46FD-BDE3-4D1F369597ED}"/>
    <cellStyle name="Normal 4 3 5 2 5" xfId="29704" xr:uid="{428F98BA-97FD-4AB4-BD18-0C2CCDF6A11C}"/>
    <cellStyle name="Normal 4 3 5 3" xfId="5569" xr:uid="{00000000-0005-0000-0000-0000B4140000}"/>
    <cellStyle name="Normal 4 3 5 3 2" xfId="14895" xr:uid="{1B412119-199B-445A-98EF-7BA7B1228E15}"/>
    <cellStyle name="Normal 4 3 5 3 3" xfId="23336" xr:uid="{F8A2C829-BB74-434E-9D82-981FA1432DBF}"/>
    <cellStyle name="Normal 4 3 5 3 4" xfId="31776" xr:uid="{00D4F5C9-6493-461C-A618-34E60E1CC5A7}"/>
    <cellStyle name="Normal 4 3 5 4" xfId="10678" xr:uid="{DD7A21B8-0710-4CFF-9DFB-0D60220CAFC4}"/>
    <cellStyle name="Normal 4 3 5 5" xfId="19119" xr:uid="{95F041F3-5BF2-4E73-87EB-23BD982DF8E2}"/>
    <cellStyle name="Normal 4 3 5 6" xfId="27559" xr:uid="{C8632A7A-A083-4522-8F6D-783AC4E077DA}"/>
    <cellStyle name="Normal 4 3 6" xfId="1675" xr:uid="{00000000-0005-0000-0000-0000B5140000}"/>
    <cellStyle name="Normal 4 3 6 2" xfId="3905" xr:uid="{00000000-0005-0000-0000-0000B6140000}"/>
    <cellStyle name="Normal 4 3 6 2 2" xfId="8127" xr:uid="{00000000-0005-0000-0000-0000B7140000}"/>
    <cellStyle name="Normal 4 3 6 2 2 2" xfId="17453" xr:uid="{16A122E7-1A91-4725-99F8-48428D5E39B7}"/>
    <cellStyle name="Normal 4 3 6 2 2 3" xfId="25894" xr:uid="{711231AD-F344-4262-99D6-5C8D04FF66E5}"/>
    <cellStyle name="Normal 4 3 6 2 2 4" xfId="34334" xr:uid="{37B04C7A-BF6E-4185-AE7B-757B063CFFA5}"/>
    <cellStyle name="Normal 4 3 6 2 3" xfId="13236" xr:uid="{58C73ADF-A47B-4985-BC0C-564AFD535082}"/>
    <cellStyle name="Normal 4 3 6 2 4" xfId="21677" xr:uid="{B331CEEF-8A11-442F-A931-7128A6E46FA2}"/>
    <cellStyle name="Normal 4 3 6 2 5" xfId="30117" xr:uid="{DD12AD9B-1233-4F9D-94A2-6993D8453C47}"/>
    <cellStyle name="Normal 4 3 6 3" xfId="5982" xr:uid="{00000000-0005-0000-0000-0000B8140000}"/>
    <cellStyle name="Normal 4 3 6 3 2" xfId="15308" xr:uid="{A5F15266-D88B-4BCE-B319-EA71BFA3C087}"/>
    <cellStyle name="Normal 4 3 6 3 3" xfId="23749" xr:uid="{E6E92872-D826-4E33-B88D-5DCE5F539673}"/>
    <cellStyle name="Normal 4 3 6 3 4" xfId="32189" xr:uid="{B54EFA6F-89B3-4586-B596-E5D0B32FB060}"/>
    <cellStyle name="Normal 4 3 6 4" xfId="11091" xr:uid="{3AD06E8B-856E-468D-BAD5-5173F0E4EC89}"/>
    <cellStyle name="Normal 4 3 6 5" xfId="19532" xr:uid="{FB4E12CE-E712-4A94-A103-5E304BA05119}"/>
    <cellStyle name="Normal 4 3 6 6" xfId="27972" xr:uid="{529E0E5F-E320-4B57-95FA-90070933E0D2}"/>
    <cellStyle name="Normal 4 3 7" xfId="2089" xr:uid="{00000000-0005-0000-0000-0000B9140000}"/>
    <cellStyle name="Normal 4 3 7 2" xfId="4318" xr:uid="{00000000-0005-0000-0000-0000BA140000}"/>
    <cellStyle name="Normal 4 3 7 2 2" xfId="8540" xr:uid="{00000000-0005-0000-0000-0000BB140000}"/>
    <cellStyle name="Normal 4 3 7 2 2 2" xfId="17866" xr:uid="{5F34A909-AADE-44EF-A8A7-C26CE0D3F840}"/>
    <cellStyle name="Normal 4 3 7 2 2 3" xfId="26307" xr:uid="{240A5FDB-D0A9-46F0-876E-7674E4C64766}"/>
    <cellStyle name="Normal 4 3 7 2 2 4" xfId="34747" xr:uid="{1DC983A8-D55B-4D28-848F-B314DE0F93BD}"/>
    <cellStyle name="Normal 4 3 7 2 3" xfId="13649" xr:uid="{FC8E5BFD-5225-49F4-BB7E-86AE95088743}"/>
    <cellStyle name="Normal 4 3 7 2 4" xfId="22090" xr:uid="{8A80B637-C470-4C35-A592-CCC87D5C8A71}"/>
    <cellStyle name="Normal 4 3 7 2 5" xfId="30530" xr:uid="{21B3254A-AA74-4D9B-883F-8B6FE7999ECD}"/>
    <cellStyle name="Normal 4 3 7 3" xfId="6395" xr:uid="{00000000-0005-0000-0000-0000BC140000}"/>
    <cellStyle name="Normal 4 3 7 3 2" xfId="15721" xr:uid="{DD17BB6A-B164-4E73-BCFC-A47DA041BE18}"/>
    <cellStyle name="Normal 4 3 7 3 3" xfId="24162" xr:uid="{78B22834-A44D-45CD-BDC0-A416C303C141}"/>
    <cellStyle name="Normal 4 3 7 3 4" xfId="32602" xr:uid="{3B8993DB-CC8A-4524-BF40-B3F40AFB12CB}"/>
    <cellStyle name="Normal 4 3 7 4" xfId="11504" xr:uid="{C7F9F701-9300-4011-AA28-CB5A3277D7AF}"/>
    <cellStyle name="Normal 4 3 7 5" xfId="19945" xr:uid="{A637A989-1140-43C3-A3D4-67B8BD4A0A2C}"/>
    <cellStyle name="Normal 4 3 7 6" xfId="28385" xr:uid="{6E0F331F-3353-4A86-ABFB-DC0EBBB2EAD4}"/>
    <cellStyle name="Normal 4 3 8" xfId="2525" xr:uid="{00000000-0005-0000-0000-0000BD140000}"/>
    <cellStyle name="Normal 4 3 8 2" xfId="6808" xr:uid="{00000000-0005-0000-0000-0000BE140000}"/>
    <cellStyle name="Normal 4 3 8 2 2" xfId="16134" xr:uid="{8198791A-7B4B-4A4F-A158-F3BE3E155F21}"/>
    <cellStyle name="Normal 4 3 8 2 3" xfId="24575" xr:uid="{B52491A1-8118-4687-8763-C030B762687B}"/>
    <cellStyle name="Normal 4 3 8 2 4" xfId="33015" xr:uid="{4E441869-8DCE-4620-88A0-41BEABA8C72C}"/>
    <cellStyle name="Normal 4 3 8 3" xfId="11917" xr:uid="{BD621E2F-8666-4DC2-800E-2427F2A741E0}"/>
    <cellStyle name="Normal 4 3 8 4" xfId="20358" xr:uid="{F3CC24C4-C979-4DCC-8EC2-DE0A7B87DCB2}"/>
    <cellStyle name="Normal 4 3 8 5" xfId="28798" xr:uid="{03D3B39D-8570-40C2-8A1D-CB80F99D181C}"/>
    <cellStyle name="Normal 4 3 9" xfId="4743" xr:uid="{00000000-0005-0000-0000-0000BF140000}"/>
    <cellStyle name="Normal 4 3 9 2" xfId="14069" xr:uid="{F0B831EA-305F-4BFA-85E4-B1CA2B459F52}"/>
    <cellStyle name="Normal 4 3 9 3" xfId="22510" xr:uid="{B273B977-2422-45C4-B0F7-4D31281BDD42}"/>
    <cellStyle name="Normal 4 3 9 4" xfId="30950" xr:uid="{8CCE9F90-8F00-4492-B7FB-55E02231D2A2}"/>
    <cellStyle name="Normal 4 4" xfId="378" xr:uid="{00000000-0005-0000-0000-0000C0140000}"/>
    <cellStyle name="Normal 4 4 10" xfId="2534" xr:uid="{00000000-0005-0000-0000-0000C1140000}"/>
    <cellStyle name="Normal 4 4 10 2" xfId="6817" xr:uid="{00000000-0005-0000-0000-0000C2140000}"/>
    <cellStyle name="Normal 4 4 10 2 2" xfId="16143" xr:uid="{01B31287-86A7-4037-8F97-F6F6A51796DC}"/>
    <cellStyle name="Normal 4 4 10 2 3" xfId="24584" xr:uid="{3D86D8EE-8D62-4D1A-8D5F-487D41D00E35}"/>
    <cellStyle name="Normal 4 4 10 2 4" xfId="33024" xr:uid="{0A4FB537-AC35-4859-9480-279F2F343E58}"/>
    <cellStyle name="Normal 4 4 10 3" xfId="11926" xr:uid="{9C2515AF-88A1-459D-8ED8-F72C257479BA}"/>
    <cellStyle name="Normal 4 4 10 4" xfId="20367" xr:uid="{5DD582FD-C799-4411-BFD1-D0E954F5BE12}"/>
    <cellStyle name="Normal 4 4 10 5" xfId="28807" xr:uid="{C52F9365-602B-4EF6-99AA-0775DA5E5657}"/>
    <cellStyle name="Normal 4 4 11" xfId="4752" xr:uid="{00000000-0005-0000-0000-0000C3140000}"/>
    <cellStyle name="Normal 4 4 11 2" xfId="14078" xr:uid="{59E31D42-078E-4657-BE51-74F2FCD8881F}"/>
    <cellStyle name="Normal 4 4 11 3" xfId="22519" xr:uid="{890F4564-6074-4405-8C3B-D3C19584EAD8}"/>
    <cellStyle name="Normal 4 4 11 4" xfId="30959" xr:uid="{BBD6950A-7238-4B6E-83EE-8AF769D0298A}"/>
    <cellStyle name="Normal 4 4 12" xfId="8749" xr:uid="{A91736B6-873D-4B1A-8B29-18DC69E5E65F}"/>
    <cellStyle name="Normal 4 4 13" xfId="9861" xr:uid="{508CEB5C-18DC-4CC7-9048-26C4D1BD63BE}"/>
    <cellStyle name="Normal 4 4 14" xfId="18302" xr:uid="{8315E7FA-1BC7-407F-BB93-A733F7D3A4B6}"/>
    <cellStyle name="Normal 4 4 15" xfId="26742" xr:uid="{CFD05CD5-7A1E-465F-B03E-7C809C83660A}"/>
    <cellStyle name="Normal 4 4 2" xfId="379" xr:uid="{00000000-0005-0000-0000-0000C4140000}"/>
    <cellStyle name="Normal 4 4 2 10" xfId="4753" xr:uid="{00000000-0005-0000-0000-0000C5140000}"/>
    <cellStyle name="Normal 4 4 2 10 2" xfId="14079" xr:uid="{661E8D06-CA74-4C47-BEE8-5C61FED69D3B}"/>
    <cellStyle name="Normal 4 4 2 10 3" xfId="22520" xr:uid="{C645D8D4-3CD2-48EB-A722-6F330DE754B3}"/>
    <cellStyle name="Normal 4 4 2 10 4" xfId="30960" xr:uid="{8A2B7C29-DA4F-434C-886B-4C3630FBC0B8}"/>
    <cellStyle name="Normal 4 4 2 11" xfId="8781" xr:uid="{12B8F0AD-1EB8-4D0A-9CAD-21DEEFEDAE41}"/>
    <cellStyle name="Normal 4 4 2 12" xfId="9862" xr:uid="{0C8088EF-7671-4F1E-80E5-2AA7F1D81500}"/>
    <cellStyle name="Normal 4 4 2 13" xfId="18303" xr:uid="{6AC19CA7-4906-4600-B49A-4B9BC5CCF1E3}"/>
    <cellStyle name="Normal 4 4 2 14" xfId="26743" xr:uid="{238760D2-4ED2-4493-8BE0-83CE5529352E}"/>
    <cellStyle name="Normal 4 4 2 2" xfId="380" xr:uid="{00000000-0005-0000-0000-0000C6140000}"/>
    <cellStyle name="Normal 4 4 2 2 10" xfId="8824" xr:uid="{FF218EA8-00A9-476B-AA88-FBBBBED2D06B}"/>
    <cellStyle name="Normal 4 4 2 2 11" xfId="9863" xr:uid="{CD6188EF-406D-481A-914C-79C3C68C976D}"/>
    <cellStyle name="Normal 4 4 2 2 12" xfId="18304" xr:uid="{1E9B9B5C-B603-40D1-B384-749147F81D81}"/>
    <cellStyle name="Normal 4 4 2 2 13" xfId="26744" xr:uid="{4A3764EC-03ED-405C-9675-60015123E4FE}"/>
    <cellStyle name="Normal 4 4 2 2 2" xfId="381" xr:uid="{00000000-0005-0000-0000-0000C7140000}"/>
    <cellStyle name="Normal 4 4 2 2 2 10" xfId="9864" xr:uid="{43020480-F5F6-4D15-BF9A-8038896A0D4B}"/>
    <cellStyle name="Normal 4 4 2 2 2 11" xfId="18305" xr:uid="{260D0AFC-F72E-4E80-BAE3-E98AE0397433}"/>
    <cellStyle name="Normal 4 4 2 2 2 12" xfId="26745" xr:uid="{28B0BBB5-B7F7-4B70-9B1F-F0D4F860287F}"/>
    <cellStyle name="Normal 4 4 2 2 2 2" xfId="382" xr:uid="{00000000-0005-0000-0000-0000C8140000}"/>
    <cellStyle name="Normal 4 4 2 2 2 2 10" xfId="18306" xr:uid="{F31D4B74-B05C-419F-AD38-44B9304815DC}"/>
    <cellStyle name="Normal 4 4 2 2 2 2 11" xfId="26746" xr:uid="{219A0A84-31AC-4422-9069-A3FB1A5E33F8}"/>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E9497B02-9007-42A9-B1FF-7129DA5D3F40}"/>
    <cellStyle name="Normal 4 4 2 2 2 2 2 2 2 3" xfId="25081" xr:uid="{FDBCF8DE-83CD-44A5-B526-F6B2B5EBC479}"/>
    <cellStyle name="Normal 4 4 2 2 2 2 2 2 2 4" xfId="33521" xr:uid="{BD59FEE6-A9FD-46FD-A376-C010F91E733D}"/>
    <cellStyle name="Normal 4 4 2 2 2 2 2 2 3" xfId="12423" xr:uid="{A4811E40-8CC0-4819-8CAA-0CB89198B027}"/>
    <cellStyle name="Normal 4 4 2 2 2 2 2 2 4" xfId="20864" xr:uid="{BD9CAC88-FF38-416F-9233-27A47FCDEDEE}"/>
    <cellStyle name="Normal 4 4 2 2 2 2 2 2 5" xfId="29304" xr:uid="{FA26A651-EC42-4116-99EA-DE3EC1781E25}"/>
    <cellStyle name="Normal 4 4 2 2 2 2 2 3" xfId="5169" xr:uid="{00000000-0005-0000-0000-0000CC140000}"/>
    <cellStyle name="Normal 4 4 2 2 2 2 2 3 2" xfId="14495" xr:uid="{989D5F9C-29CE-4698-8752-51985934388C}"/>
    <cellStyle name="Normal 4 4 2 2 2 2 2 3 3" xfId="22936" xr:uid="{4EE3F2A4-F96D-4BC6-B1DC-22ED5AE50DB0}"/>
    <cellStyle name="Normal 4 4 2 2 2 2 2 3 4" xfId="31376" xr:uid="{1E9017F3-4C22-4184-8942-6AA1A937953C}"/>
    <cellStyle name="Normal 4 4 2 2 2 2 2 4" xfId="9559" xr:uid="{6E5E886C-D83F-47E6-AD2B-552CC2A98FD0}"/>
    <cellStyle name="Normal 4 4 2 2 2 2 2 5" xfId="10278" xr:uid="{8D63AF38-A016-4A72-9E56-8F67C3305195}"/>
    <cellStyle name="Normal 4 4 2 2 2 2 2 6" xfId="18719" xr:uid="{FC6C5071-C011-4D6B-A369-E3A17A1D5EAD}"/>
    <cellStyle name="Normal 4 4 2 2 2 2 2 7" xfId="27159" xr:uid="{0CAB478E-D301-4135-BBF6-DFCB4742AECA}"/>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999C9CE1-F9EE-4D08-B9FB-9C97AEF16857}"/>
    <cellStyle name="Normal 4 4 2 2 2 2 3 2 2 3" xfId="25494" xr:uid="{9A770234-3E92-4F8A-B43D-38069C94950B}"/>
    <cellStyle name="Normal 4 4 2 2 2 2 3 2 2 4" xfId="33934" xr:uid="{A7565451-5906-4DB8-A57A-C2A27D097B75}"/>
    <cellStyle name="Normal 4 4 2 2 2 2 3 2 3" xfId="12836" xr:uid="{165B79A8-2923-4C47-96E8-F8EBBACDE510}"/>
    <cellStyle name="Normal 4 4 2 2 2 2 3 2 4" xfId="21277" xr:uid="{094B1CBE-0BB1-479B-B4C6-88D1D1763DAE}"/>
    <cellStyle name="Normal 4 4 2 2 2 2 3 2 5" xfId="29717" xr:uid="{F6872F4E-98DA-4BB9-A15C-68EA6BFDAF73}"/>
    <cellStyle name="Normal 4 4 2 2 2 2 3 3" xfId="5582" xr:uid="{00000000-0005-0000-0000-0000D0140000}"/>
    <cellStyle name="Normal 4 4 2 2 2 2 3 3 2" xfId="14908" xr:uid="{9BDF1006-E78E-417B-AEF5-3B87DF544E82}"/>
    <cellStyle name="Normal 4 4 2 2 2 2 3 3 3" xfId="23349" xr:uid="{2ACB1CD2-C0CA-4F59-BAE9-BE4720E60525}"/>
    <cellStyle name="Normal 4 4 2 2 2 2 3 3 4" xfId="31789" xr:uid="{BC8C581F-8577-4BBD-9A64-4BA6D51EE35D}"/>
    <cellStyle name="Normal 4 4 2 2 2 2 3 4" xfId="10691" xr:uid="{CDA38384-5762-4977-86DE-42E88561170D}"/>
    <cellStyle name="Normal 4 4 2 2 2 2 3 5" xfId="19132" xr:uid="{1E62F7E4-DBEF-4941-BCEE-96994EAFCD0D}"/>
    <cellStyle name="Normal 4 4 2 2 2 2 3 6" xfId="27572" xr:uid="{A20A7345-CD8E-4458-A7AC-879A41E90F72}"/>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7615E2E1-24A0-42F8-A976-DCC67A2A6E8E}"/>
    <cellStyle name="Normal 4 4 2 2 2 2 4 2 2 3" xfId="25907" xr:uid="{DA4F5D03-DA01-44B3-9AF6-E7DE125661CB}"/>
    <cellStyle name="Normal 4 4 2 2 2 2 4 2 2 4" xfId="34347" xr:uid="{6AD43FE2-953E-4A7A-BF7B-89FC96F59DFF}"/>
    <cellStyle name="Normal 4 4 2 2 2 2 4 2 3" xfId="13249" xr:uid="{769F45D3-C93F-4F96-8A81-4ED8715F32BB}"/>
    <cellStyle name="Normal 4 4 2 2 2 2 4 2 4" xfId="21690" xr:uid="{096BD4CB-3B05-4F59-B54C-82E5A34FE628}"/>
    <cellStyle name="Normal 4 4 2 2 2 2 4 2 5" xfId="30130" xr:uid="{395E1834-69CA-4A47-9FAB-C7E477DA2C33}"/>
    <cellStyle name="Normal 4 4 2 2 2 2 4 3" xfId="5995" xr:uid="{00000000-0005-0000-0000-0000D4140000}"/>
    <cellStyle name="Normal 4 4 2 2 2 2 4 3 2" xfId="15321" xr:uid="{38D96940-E1E8-4C68-AC08-A0816E205A15}"/>
    <cellStyle name="Normal 4 4 2 2 2 2 4 3 3" xfId="23762" xr:uid="{4FEFDDDD-014B-4439-8B9F-7DD7B343B7C0}"/>
    <cellStyle name="Normal 4 4 2 2 2 2 4 3 4" xfId="32202" xr:uid="{24975221-3F17-49CC-8B04-1B1DBD96D5E9}"/>
    <cellStyle name="Normal 4 4 2 2 2 2 4 4" xfId="11104" xr:uid="{2DDB4C16-90DD-4097-A07F-D0ADA2CEBF02}"/>
    <cellStyle name="Normal 4 4 2 2 2 2 4 5" xfId="19545" xr:uid="{ED6CA04C-6901-4E64-8AEE-8862B2032233}"/>
    <cellStyle name="Normal 4 4 2 2 2 2 4 6" xfId="27985" xr:uid="{FA94A8E3-AD31-4099-9AE8-2AFA2A4A4DB3}"/>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ACC4EDEC-FAA0-4659-A5E6-1D31068507B8}"/>
    <cellStyle name="Normal 4 4 2 2 2 2 5 2 2 3" xfId="26320" xr:uid="{708DF3D3-527F-43EF-BDB3-56B34EFAE1D6}"/>
    <cellStyle name="Normal 4 4 2 2 2 2 5 2 2 4" xfId="34760" xr:uid="{4529DC41-F2CB-4452-89A3-1C5F4D4C600F}"/>
    <cellStyle name="Normal 4 4 2 2 2 2 5 2 3" xfId="13662" xr:uid="{C3A4B97E-BE4C-44E4-BFC6-0CB68DEF27D3}"/>
    <cellStyle name="Normal 4 4 2 2 2 2 5 2 4" xfId="22103" xr:uid="{92C9911A-9A5E-45DC-9141-317AC1A6BF16}"/>
    <cellStyle name="Normal 4 4 2 2 2 2 5 2 5" xfId="30543" xr:uid="{ECD8F455-218A-4EAA-815E-73520BEFA66D}"/>
    <cellStyle name="Normal 4 4 2 2 2 2 5 3" xfId="6408" xr:uid="{00000000-0005-0000-0000-0000D8140000}"/>
    <cellStyle name="Normal 4 4 2 2 2 2 5 3 2" xfId="15734" xr:uid="{5111E97D-D7D7-4D45-9915-ACB249D8AE40}"/>
    <cellStyle name="Normal 4 4 2 2 2 2 5 3 3" xfId="24175" xr:uid="{81D52C64-DCC4-459F-87F9-1A990AC97123}"/>
    <cellStyle name="Normal 4 4 2 2 2 2 5 3 4" xfId="32615" xr:uid="{2848F914-9E3E-4875-B598-15571987CB4D}"/>
    <cellStyle name="Normal 4 4 2 2 2 2 5 4" xfId="11517" xr:uid="{FCF04390-0E83-4558-B4FC-C0FBE66C483A}"/>
    <cellStyle name="Normal 4 4 2 2 2 2 5 5" xfId="19958" xr:uid="{2724920C-81A2-4D62-AD27-945E1514014B}"/>
    <cellStyle name="Normal 4 4 2 2 2 2 5 6" xfId="28398" xr:uid="{955AE2CE-B36D-4A61-8B75-784AB01277F4}"/>
    <cellStyle name="Normal 4 4 2 2 2 2 6" xfId="2538" xr:uid="{00000000-0005-0000-0000-0000D9140000}"/>
    <cellStyle name="Normal 4 4 2 2 2 2 6 2" xfId="6821" xr:uid="{00000000-0005-0000-0000-0000DA140000}"/>
    <cellStyle name="Normal 4 4 2 2 2 2 6 2 2" xfId="16147" xr:uid="{671C498C-DEA8-4FC0-AAF9-5EEFCAB3B770}"/>
    <cellStyle name="Normal 4 4 2 2 2 2 6 2 3" xfId="24588" xr:uid="{BB612E5B-158D-4FC6-8DE2-FEAAEEC326C1}"/>
    <cellStyle name="Normal 4 4 2 2 2 2 6 2 4" xfId="33028" xr:uid="{77898720-1F64-47B5-96B6-F7F914D246E9}"/>
    <cellStyle name="Normal 4 4 2 2 2 2 6 3" xfId="11930" xr:uid="{0ED1DD05-9051-4207-8B02-C8504C543E77}"/>
    <cellStyle name="Normal 4 4 2 2 2 2 6 4" xfId="20371" xr:uid="{19740307-EDA0-413F-AD81-F885E2BBC0DB}"/>
    <cellStyle name="Normal 4 4 2 2 2 2 6 5" xfId="28811" xr:uid="{B51DD3A0-D5D6-4790-92B8-36806CD9F515}"/>
    <cellStyle name="Normal 4 4 2 2 2 2 7" xfId="4756" xr:uid="{00000000-0005-0000-0000-0000DB140000}"/>
    <cellStyle name="Normal 4 4 2 2 2 2 7 2" xfId="14082" xr:uid="{2C84B1C6-1F3A-4F63-8B3A-DAF85CCAACC3}"/>
    <cellStyle name="Normal 4 4 2 2 2 2 7 3" xfId="22523" xr:uid="{521F13FA-A6B7-46FD-83DD-5E0F9242A5EF}"/>
    <cellStyle name="Normal 4 4 2 2 2 2 7 4" xfId="30963" xr:uid="{45DAB2B5-77A4-4591-84AF-1F8BFC0C18FF}"/>
    <cellStyle name="Normal 4 4 2 2 2 2 8" xfId="9134" xr:uid="{B37D4C66-6754-4A5E-BFF7-77694E4355C2}"/>
    <cellStyle name="Normal 4 4 2 2 2 2 9" xfId="9865" xr:uid="{1A159879-32C6-4E72-BCF1-F94A796A25D3}"/>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DF9BC82B-3143-476C-BCEE-0F88C32E29F8}"/>
    <cellStyle name="Normal 4 4 2 2 2 3 2 2 3" xfId="25080" xr:uid="{9B4231F1-D695-4EB4-AAFA-F92600E6C00B}"/>
    <cellStyle name="Normal 4 4 2 2 2 3 2 2 4" xfId="33520" xr:uid="{7CC0D6BF-8098-4D1A-ACE4-5D1F8374DF16}"/>
    <cellStyle name="Normal 4 4 2 2 2 3 2 3" xfId="12422" xr:uid="{3635C407-7C0D-4967-B6FE-4F522B2F33D4}"/>
    <cellStyle name="Normal 4 4 2 2 2 3 2 4" xfId="20863" xr:uid="{A14DA901-422B-444E-9A2F-22B048503039}"/>
    <cellStyle name="Normal 4 4 2 2 2 3 2 5" xfId="29303" xr:uid="{591DD02D-901F-442D-BF82-AEE39300A2B4}"/>
    <cellStyle name="Normal 4 4 2 2 2 3 3" xfId="5168" xr:uid="{00000000-0005-0000-0000-0000DF140000}"/>
    <cellStyle name="Normal 4 4 2 2 2 3 3 2" xfId="14494" xr:uid="{3C09E6CE-8D48-4BCA-BA88-4CF298B6044B}"/>
    <cellStyle name="Normal 4 4 2 2 2 3 3 3" xfId="22935" xr:uid="{8269F75A-7FEA-4569-9E72-BDA3CBD831E1}"/>
    <cellStyle name="Normal 4 4 2 2 2 3 3 4" xfId="31375" xr:uid="{D457E69A-D66F-4DAB-BF33-5AB469F1A56B}"/>
    <cellStyle name="Normal 4 4 2 2 2 3 4" xfId="9352" xr:uid="{76F31DA2-44D0-447F-BA9C-6271BA6AAE96}"/>
    <cellStyle name="Normal 4 4 2 2 2 3 5" xfId="10277" xr:uid="{7FA53CE2-E1BB-4EAF-9523-E28D88EA0C7C}"/>
    <cellStyle name="Normal 4 4 2 2 2 3 6" xfId="18718" xr:uid="{34EC59C3-4E65-4FFE-B0CD-2A04316F94BD}"/>
    <cellStyle name="Normal 4 4 2 2 2 3 7" xfId="27158" xr:uid="{3C864355-2293-40F4-9199-7A694B5C5999}"/>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33AC6EF9-F9E3-47AC-8723-72858E786548}"/>
    <cellStyle name="Normal 4 4 2 2 2 4 2 2 3" xfId="25493" xr:uid="{15D00EB0-CAB4-468F-BB52-2AF3CCA83317}"/>
    <cellStyle name="Normal 4 4 2 2 2 4 2 2 4" xfId="33933" xr:uid="{71784CFA-1138-4222-BEC2-C1F8C91CFE97}"/>
    <cellStyle name="Normal 4 4 2 2 2 4 2 3" xfId="12835" xr:uid="{06D28D2C-704E-46B5-95BF-0836CD7FC3C7}"/>
    <cellStyle name="Normal 4 4 2 2 2 4 2 4" xfId="21276" xr:uid="{17000580-3B57-49E8-AD4E-5EC19CBB74EA}"/>
    <cellStyle name="Normal 4 4 2 2 2 4 2 5" xfId="29716" xr:uid="{101E774B-AB35-4528-8674-A6F6B2C02B53}"/>
    <cellStyle name="Normal 4 4 2 2 2 4 3" xfId="5581" xr:uid="{00000000-0005-0000-0000-0000E3140000}"/>
    <cellStyle name="Normal 4 4 2 2 2 4 3 2" xfId="14907" xr:uid="{F7F69F2A-400F-4C0E-B690-A33729940F84}"/>
    <cellStyle name="Normal 4 4 2 2 2 4 3 3" xfId="23348" xr:uid="{F1B71547-1D54-4E23-9430-0DD1A5BC1E3A}"/>
    <cellStyle name="Normal 4 4 2 2 2 4 3 4" xfId="31788" xr:uid="{F6EB5EF0-ED6C-4AAC-830F-F679F09DCB94}"/>
    <cellStyle name="Normal 4 4 2 2 2 4 4" xfId="10690" xr:uid="{344E5EE7-65F9-4BA0-8D9F-D75A7F923142}"/>
    <cellStyle name="Normal 4 4 2 2 2 4 5" xfId="19131" xr:uid="{E68CD9D1-7408-4E75-93D2-7367FF1C96E0}"/>
    <cellStyle name="Normal 4 4 2 2 2 4 6" xfId="27571" xr:uid="{0D2A79E4-4A64-480F-807D-931A936791E9}"/>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96079B80-74C9-4411-BD1E-5E7E05D2946A}"/>
    <cellStyle name="Normal 4 4 2 2 2 5 2 2 3" xfId="25906" xr:uid="{2B19FE8C-D50D-4B8D-B915-2682C2BABE08}"/>
    <cellStyle name="Normal 4 4 2 2 2 5 2 2 4" xfId="34346" xr:uid="{C4E6F963-2E04-442C-A6F1-EBF5877FCADF}"/>
    <cellStyle name="Normal 4 4 2 2 2 5 2 3" xfId="13248" xr:uid="{A9B0C9C8-3228-4882-82C0-9FBA60F66603}"/>
    <cellStyle name="Normal 4 4 2 2 2 5 2 4" xfId="21689" xr:uid="{BE34C86A-C5B4-465B-B12E-F77EC1280731}"/>
    <cellStyle name="Normal 4 4 2 2 2 5 2 5" xfId="30129" xr:uid="{F8DDBCA2-12EF-41A3-9B69-3168D12D1818}"/>
    <cellStyle name="Normal 4 4 2 2 2 5 3" xfId="5994" xr:uid="{00000000-0005-0000-0000-0000E7140000}"/>
    <cellStyle name="Normal 4 4 2 2 2 5 3 2" xfId="15320" xr:uid="{3936C656-9817-4445-9CA4-D6133D78DDCF}"/>
    <cellStyle name="Normal 4 4 2 2 2 5 3 3" xfId="23761" xr:uid="{FA7A055D-268E-4F69-BBC3-6AC35F986771}"/>
    <cellStyle name="Normal 4 4 2 2 2 5 3 4" xfId="32201" xr:uid="{304F0D67-C4FE-4C88-95EE-34786CB2ABE5}"/>
    <cellStyle name="Normal 4 4 2 2 2 5 4" xfId="11103" xr:uid="{75DD5E0F-1A98-4E70-A017-3134BD62FB99}"/>
    <cellStyle name="Normal 4 4 2 2 2 5 5" xfId="19544" xr:uid="{23472DFF-A99E-4538-973E-4BA49EEAB0C8}"/>
    <cellStyle name="Normal 4 4 2 2 2 5 6" xfId="27984" xr:uid="{E765C12F-1FD8-4FFF-B0F6-05259C186D4A}"/>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3C141B1D-3AEB-4BE8-9AFB-B78620A35A64}"/>
    <cellStyle name="Normal 4 4 2 2 2 6 2 2 3" xfId="26319" xr:uid="{AA5888C1-32AA-41D7-9638-CF5A66ADFEF6}"/>
    <cellStyle name="Normal 4 4 2 2 2 6 2 2 4" xfId="34759" xr:uid="{1562C66D-CC9C-4F55-AAE5-616CCAFD63DB}"/>
    <cellStyle name="Normal 4 4 2 2 2 6 2 3" xfId="13661" xr:uid="{285539DA-0F1F-43CB-B7CB-5C91245F322D}"/>
    <cellStyle name="Normal 4 4 2 2 2 6 2 4" xfId="22102" xr:uid="{8B3350BF-9A86-405C-8746-8C6D5D59FE7D}"/>
    <cellStyle name="Normal 4 4 2 2 2 6 2 5" xfId="30542" xr:uid="{F4188CC6-D00A-4163-B4F3-6E63865C50AB}"/>
    <cellStyle name="Normal 4 4 2 2 2 6 3" xfId="6407" xr:uid="{00000000-0005-0000-0000-0000EB140000}"/>
    <cellStyle name="Normal 4 4 2 2 2 6 3 2" xfId="15733" xr:uid="{12EA3DC0-1C5F-423F-86CF-EF9FC7BFDF5C}"/>
    <cellStyle name="Normal 4 4 2 2 2 6 3 3" xfId="24174" xr:uid="{41BA7569-1CD3-4179-9E60-1929C39A648A}"/>
    <cellStyle name="Normal 4 4 2 2 2 6 3 4" xfId="32614" xr:uid="{477D214F-258E-4995-BB00-DF4B2240BD23}"/>
    <cellStyle name="Normal 4 4 2 2 2 6 4" xfId="11516" xr:uid="{0FD0B1F6-0D25-479A-939D-6155D2A08A76}"/>
    <cellStyle name="Normal 4 4 2 2 2 6 5" xfId="19957" xr:uid="{38F82D59-023D-4A04-9E32-061FDE2C3D6A}"/>
    <cellStyle name="Normal 4 4 2 2 2 6 6" xfId="28397" xr:uid="{D6771115-9AC5-4710-A379-776F91898519}"/>
    <cellStyle name="Normal 4 4 2 2 2 7" xfId="2537" xr:uid="{00000000-0005-0000-0000-0000EC140000}"/>
    <cellStyle name="Normal 4 4 2 2 2 7 2" xfId="6820" xr:uid="{00000000-0005-0000-0000-0000ED140000}"/>
    <cellStyle name="Normal 4 4 2 2 2 7 2 2" xfId="16146" xr:uid="{AA86D952-FD76-4D41-85DD-DE22EC8CD441}"/>
    <cellStyle name="Normal 4 4 2 2 2 7 2 3" xfId="24587" xr:uid="{53449F24-5DF7-4625-AE37-5F3F210D17CB}"/>
    <cellStyle name="Normal 4 4 2 2 2 7 2 4" xfId="33027" xr:uid="{4DD302AC-96CD-4D5D-86CA-D2BF40140FBC}"/>
    <cellStyle name="Normal 4 4 2 2 2 7 3" xfId="11929" xr:uid="{467C5384-3A8C-4D5D-BE69-9A20D6C66B76}"/>
    <cellStyle name="Normal 4 4 2 2 2 7 4" xfId="20370" xr:uid="{BE385EA3-B555-42F0-AECA-03BC1FDB5733}"/>
    <cellStyle name="Normal 4 4 2 2 2 7 5" xfId="28810" xr:uid="{BA74FD0F-005F-4457-9D39-2FFC2C1FC83E}"/>
    <cellStyle name="Normal 4 4 2 2 2 8" xfId="4755" xr:uid="{00000000-0005-0000-0000-0000EE140000}"/>
    <cellStyle name="Normal 4 4 2 2 2 8 2" xfId="14081" xr:uid="{81C578EF-1611-4B79-88FC-A9B6EDC48448}"/>
    <cellStyle name="Normal 4 4 2 2 2 8 3" xfId="22522" xr:uid="{1AD07095-11A6-41CA-AC0D-584EF1B1B4C3}"/>
    <cellStyle name="Normal 4 4 2 2 2 8 4" xfId="30962" xr:uid="{74389C2E-902D-4FB0-AFDC-4A304185804A}"/>
    <cellStyle name="Normal 4 4 2 2 2 9" xfId="8927" xr:uid="{195B9197-F273-4D3B-B7A6-9CBAA360D528}"/>
    <cellStyle name="Normal 4 4 2 2 3" xfId="383" xr:uid="{00000000-0005-0000-0000-0000EF140000}"/>
    <cellStyle name="Normal 4 4 2 2 3 10" xfId="18307" xr:uid="{A85118AC-2FFD-46A1-B2AA-D7CDDF4E4ED9}"/>
    <cellStyle name="Normal 4 4 2 2 3 11" xfId="26747" xr:uid="{1EF4F55D-3A31-4AB4-B393-BD0FB1663B06}"/>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19C51104-50CE-4C10-8028-99DA74AA4A63}"/>
    <cellStyle name="Normal 4 4 2 2 3 2 2 2 3" xfId="25082" xr:uid="{06A71434-588D-4299-BF80-D8AC01D19E89}"/>
    <cellStyle name="Normal 4 4 2 2 3 2 2 2 4" xfId="33522" xr:uid="{6F4F906D-CFD2-43A4-B77F-19D01271A433}"/>
    <cellStyle name="Normal 4 4 2 2 3 2 2 3" xfId="12424" xr:uid="{6B2BA38F-9467-4362-B116-5AF3BBA8C65E}"/>
    <cellStyle name="Normal 4 4 2 2 3 2 2 4" xfId="20865" xr:uid="{B61D23F8-7890-41CD-B03C-98D4F4ABEF1B}"/>
    <cellStyle name="Normal 4 4 2 2 3 2 2 5" xfId="29305" xr:uid="{9F0108F4-B5D3-42C2-AD13-79642E32246A}"/>
    <cellStyle name="Normal 4 4 2 2 3 2 3" xfId="5170" xr:uid="{00000000-0005-0000-0000-0000F3140000}"/>
    <cellStyle name="Normal 4 4 2 2 3 2 3 2" xfId="14496" xr:uid="{B867900F-4C1D-41C5-AC93-30E10B4B59AC}"/>
    <cellStyle name="Normal 4 4 2 2 3 2 3 3" xfId="22937" xr:uid="{F12CAD5E-45EF-4355-99BD-FFDD5B71AC60}"/>
    <cellStyle name="Normal 4 4 2 2 3 2 3 4" xfId="31377" xr:uid="{082A86D1-961B-4B85-AD30-5797A7478E66}"/>
    <cellStyle name="Normal 4 4 2 2 3 2 4" xfId="9456" xr:uid="{7CB0B972-68D8-4A2C-A3A7-1D2BD109E44A}"/>
    <cellStyle name="Normal 4 4 2 2 3 2 5" xfId="10279" xr:uid="{9271FF40-4CA8-480B-B66D-6A55D8C3E6A9}"/>
    <cellStyle name="Normal 4 4 2 2 3 2 6" xfId="18720" xr:uid="{A9BF2C6E-2711-4583-AF58-24CBA0237311}"/>
    <cellStyle name="Normal 4 4 2 2 3 2 7" xfId="27160" xr:uid="{1FBFF546-1429-4146-859B-661E8C486878}"/>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CE71AC08-8F35-410E-8123-04F7FF6A232E}"/>
    <cellStyle name="Normal 4 4 2 2 3 3 2 2 3" xfId="25495" xr:uid="{7DA963EC-6E4D-4B2E-9FB9-8F680C288C12}"/>
    <cellStyle name="Normal 4 4 2 2 3 3 2 2 4" xfId="33935" xr:uid="{58ED1E89-C637-46D2-8A7F-B6968DA92608}"/>
    <cellStyle name="Normal 4 4 2 2 3 3 2 3" xfId="12837" xr:uid="{B9D59D99-D77A-45FB-B4D2-435247CA4F06}"/>
    <cellStyle name="Normal 4 4 2 2 3 3 2 4" xfId="21278" xr:uid="{34CE8CD2-4375-446D-B53A-27F03087B1A8}"/>
    <cellStyle name="Normal 4 4 2 2 3 3 2 5" xfId="29718" xr:uid="{146BC642-89A3-4FA4-9B85-7B8DE038AE9B}"/>
    <cellStyle name="Normal 4 4 2 2 3 3 3" xfId="5583" xr:uid="{00000000-0005-0000-0000-0000F7140000}"/>
    <cellStyle name="Normal 4 4 2 2 3 3 3 2" xfId="14909" xr:uid="{1A266F24-BED0-4219-9A21-A3E5C16F1232}"/>
    <cellStyle name="Normal 4 4 2 2 3 3 3 3" xfId="23350" xr:uid="{D4C6CA9A-39B9-4344-83F8-4E385E4863E9}"/>
    <cellStyle name="Normal 4 4 2 2 3 3 3 4" xfId="31790" xr:uid="{14ED65CF-4C36-4FBD-ABEA-34A9507222F6}"/>
    <cellStyle name="Normal 4 4 2 2 3 3 4" xfId="10692" xr:uid="{A4B9F3BD-1D42-491E-912A-FE23671A6946}"/>
    <cellStyle name="Normal 4 4 2 2 3 3 5" xfId="19133" xr:uid="{C65DBC5B-BFCA-4A7A-A6AC-5D8B4D1D9A4A}"/>
    <cellStyle name="Normal 4 4 2 2 3 3 6" xfId="27573" xr:uid="{40D7B3EB-EE01-4D19-8F20-3DBA8951A43E}"/>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81EAD3C5-BD3B-46B3-AD41-095BD8EB43AC}"/>
    <cellStyle name="Normal 4 4 2 2 3 4 2 2 3" xfId="25908" xr:uid="{CE47ADE3-F777-4B95-863F-0BE652D2D1A8}"/>
    <cellStyle name="Normal 4 4 2 2 3 4 2 2 4" xfId="34348" xr:uid="{35C08033-E789-4CEE-B115-A72CB2496965}"/>
    <cellStyle name="Normal 4 4 2 2 3 4 2 3" xfId="13250" xr:uid="{CE0530B9-8E85-49D8-B746-91EB776A94F3}"/>
    <cellStyle name="Normal 4 4 2 2 3 4 2 4" xfId="21691" xr:uid="{A80E8201-5948-435D-8F3D-E371D01BE9D1}"/>
    <cellStyle name="Normal 4 4 2 2 3 4 2 5" xfId="30131" xr:uid="{B8AD8D9C-E603-4F6D-8FAA-345345A761DC}"/>
    <cellStyle name="Normal 4 4 2 2 3 4 3" xfId="5996" xr:uid="{00000000-0005-0000-0000-0000FB140000}"/>
    <cellStyle name="Normal 4 4 2 2 3 4 3 2" xfId="15322" xr:uid="{10BEB4F6-65C1-4389-8F57-30930C9DC757}"/>
    <cellStyle name="Normal 4 4 2 2 3 4 3 3" xfId="23763" xr:uid="{D37FF16F-31E6-4038-8D8D-AAA7FCC31EEE}"/>
    <cellStyle name="Normal 4 4 2 2 3 4 3 4" xfId="32203" xr:uid="{01B5731C-A3A0-48AA-A7BA-06F591A43C3D}"/>
    <cellStyle name="Normal 4 4 2 2 3 4 4" xfId="11105" xr:uid="{7B80C36D-AB30-4D1E-898A-119423473B4D}"/>
    <cellStyle name="Normal 4 4 2 2 3 4 5" xfId="19546" xr:uid="{491CC607-69C9-4B0D-8CC5-78A300998A0D}"/>
    <cellStyle name="Normal 4 4 2 2 3 4 6" xfId="27986" xr:uid="{E17C9C96-2F13-45B3-8233-6D63B0B6B91A}"/>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E7799754-E3D0-450E-BC33-D2C353442B75}"/>
    <cellStyle name="Normal 4 4 2 2 3 5 2 2 3" xfId="26321" xr:uid="{E6B1CF62-BB44-45EF-BCEE-F358DCBB5080}"/>
    <cellStyle name="Normal 4 4 2 2 3 5 2 2 4" xfId="34761" xr:uid="{361FA645-788B-471B-B2F9-62A39831C99D}"/>
    <cellStyle name="Normal 4 4 2 2 3 5 2 3" xfId="13663" xr:uid="{7DF840A1-FA7A-4B96-9D36-A6B7566E52A3}"/>
    <cellStyle name="Normal 4 4 2 2 3 5 2 4" xfId="22104" xr:uid="{EF3CC061-B06B-4EA4-9979-D8DF5C68BEB1}"/>
    <cellStyle name="Normal 4 4 2 2 3 5 2 5" xfId="30544" xr:uid="{790A11AB-304A-4A68-9865-1789D87D0631}"/>
    <cellStyle name="Normal 4 4 2 2 3 5 3" xfId="6409" xr:uid="{00000000-0005-0000-0000-0000FF140000}"/>
    <cellStyle name="Normal 4 4 2 2 3 5 3 2" xfId="15735" xr:uid="{6AB8979D-0ADD-49BA-8720-F08501162CD1}"/>
    <cellStyle name="Normal 4 4 2 2 3 5 3 3" xfId="24176" xr:uid="{539CF77A-2568-4013-841C-80CA1F84921D}"/>
    <cellStyle name="Normal 4 4 2 2 3 5 3 4" xfId="32616" xr:uid="{7FAF064E-89D5-4959-B65E-B4DBE8C05355}"/>
    <cellStyle name="Normal 4 4 2 2 3 5 4" xfId="11518" xr:uid="{77B5A974-E939-4A34-B69C-25438189A4E5}"/>
    <cellStyle name="Normal 4 4 2 2 3 5 5" xfId="19959" xr:uid="{727DB28C-6D69-4D9E-B86C-854C5CCD4F5F}"/>
    <cellStyle name="Normal 4 4 2 2 3 5 6" xfId="28399" xr:uid="{72E32EA7-5215-4545-A59A-B04DE63A8148}"/>
    <cellStyle name="Normal 4 4 2 2 3 6" xfId="2539" xr:uid="{00000000-0005-0000-0000-000000150000}"/>
    <cellStyle name="Normal 4 4 2 2 3 6 2" xfId="6822" xr:uid="{00000000-0005-0000-0000-000001150000}"/>
    <cellStyle name="Normal 4 4 2 2 3 6 2 2" xfId="16148" xr:uid="{37D17B3A-1464-4898-93F2-E4A2580186D8}"/>
    <cellStyle name="Normal 4 4 2 2 3 6 2 3" xfId="24589" xr:uid="{9B4FAE75-F69B-40AD-9448-4DE1AE9120A5}"/>
    <cellStyle name="Normal 4 4 2 2 3 6 2 4" xfId="33029" xr:uid="{A6054192-5ADC-4DA8-ACA7-45A489153C29}"/>
    <cellStyle name="Normal 4 4 2 2 3 6 3" xfId="11931" xr:uid="{4678B07E-E7B7-4D92-A48C-D0E37181333D}"/>
    <cellStyle name="Normal 4 4 2 2 3 6 4" xfId="20372" xr:uid="{531E7114-1DB2-497A-9C25-346F10F45AD0}"/>
    <cellStyle name="Normal 4 4 2 2 3 6 5" xfId="28812" xr:uid="{6F2F8737-6935-46D6-B043-B181F9910088}"/>
    <cellStyle name="Normal 4 4 2 2 3 7" xfId="4757" xr:uid="{00000000-0005-0000-0000-000002150000}"/>
    <cellStyle name="Normal 4 4 2 2 3 7 2" xfId="14083" xr:uid="{44E10BD8-356A-4947-835A-9E506B1CE113}"/>
    <cellStyle name="Normal 4 4 2 2 3 7 3" xfId="22524" xr:uid="{DF1DFCCB-ADD0-4633-937F-2B77AA012DF5}"/>
    <cellStyle name="Normal 4 4 2 2 3 7 4" xfId="30964" xr:uid="{23AF4F9D-CBC5-4E0E-AF73-B0BD01DD2572}"/>
    <cellStyle name="Normal 4 4 2 2 3 8" xfId="9031" xr:uid="{F1B59444-328A-4279-8A0A-A9F7E26061D5}"/>
    <cellStyle name="Normal 4 4 2 2 3 9" xfId="9866" xr:uid="{4E77290C-0355-46D7-A403-DCCD2BD9AB14}"/>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61A9191D-133A-48D8-BC7C-0D554E0C0FBB}"/>
    <cellStyle name="Normal 4 4 2 2 4 2 2 3" xfId="25079" xr:uid="{E31DC457-7DD6-4019-B76E-1C7D091574A8}"/>
    <cellStyle name="Normal 4 4 2 2 4 2 2 4" xfId="33519" xr:uid="{F5EEC030-391D-4027-9AF9-C9F5A774E5CF}"/>
    <cellStyle name="Normal 4 4 2 2 4 2 3" xfId="12421" xr:uid="{820A15DC-BE05-4905-8DEF-AF6DE85B0533}"/>
    <cellStyle name="Normal 4 4 2 2 4 2 4" xfId="20862" xr:uid="{9F7C8ED3-5632-44D9-80F0-4389BA3F030A}"/>
    <cellStyle name="Normal 4 4 2 2 4 2 5" xfId="29302" xr:uid="{0BBEA83A-211C-452F-8782-E028391AEFDE}"/>
    <cellStyle name="Normal 4 4 2 2 4 3" xfId="5167" xr:uid="{00000000-0005-0000-0000-000006150000}"/>
    <cellStyle name="Normal 4 4 2 2 4 3 2" xfId="14493" xr:uid="{81B62D77-3349-40E5-842C-1AFDEA1B2E8E}"/>
    <cellStyle name="Normal 4 4 2 2 4 3 3" xfId="22934" xr:uid="{9878B4EF-5515-49BC-8D8D-6395ADE1CAB8}"/>
    <cellStyle name="Normal 4 4 2 2 4 3 4" xfId="31374" xr:uid="{3EF5C770-7C5C-474C-A12F-F5E9E34E066F}"/>
    <cellStyle name="Normal 4 4 2 2 4 4" xfId="9249" xr:uid="{7E4CA7C7-738D-4CFA-907A-40590344548A}"/>
    <cellStyle name="Normal 4 4 2 2 4 5" xfId="10276" xr:uid="{0105A473-DC5E-4234-81CA-7CB6671AB291}"/>
    <cellStyle name="Normal 4 4 2 2 4 6" xfId="18717" xr:uid="{984DA3E9-8866-4762-B3CD-4CD117CBEA98}"/>
    <cellStyle name="Normal 4 4 2 2 4 7" xfId="27157" xr:uid="{12900A9A-9E3A-4BC6-AAAB-AEFEADF73FB4}"/>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6A5D18C2-6D7A-42DA-9E9D-FB4059622ACB}"/>
    <cellStyle name="Normal 4 4 2 2 5 2 2 3" xfId="25492" xr:uid="{721C7A27-3E68-430D-A988-2093325075A8}"/>
    <cellStyle name="Normal 4 4 2 2 5 2 2 4" xfId="33932" xr:uid="{9EA19824-ADAD-4EE5-B9E1-ACEE307EEFD1}"/>
    <cellStyle name="Normal 4 4 2 2 5 2 3" xfId="12834" xr:uid="{FF3DAB66-DA7F-423E-8BC1-A6E085E1BCA9}"/>
    <cellStyle name="Normal 4 4 2 2 5 2 4" xfId="21275" xr:uid="{7FA77DF8-0D3B-4E6B-8A7C-161D7BAD30CC}"/>
    <cellStyle name="Normal 4 4 2 2 5 2 5" xfId="29715" xr:uid="{F47433CD-CEA3-49D9-8B35-2AD326038281}"/>
    <cellStyle name="Normal 4 4 2 2 5 3" xfId="5580" xr:uid="{00000000-0005-0000-0000-00000A150000}"/>
    <cellStyle name="Normal 4 4 2 2 5 3 2" xfId="14906" xr:uid="{0EF83397-4937-4164-B348-A40F22B33293}"/>
    <cellStyle name="Normal 4 4 2 2 5 3 3" xfId="23347" xr:uid="{064B9313-3C8B-4F8A-B07E-4B5A42057C14}"/>
    <cellStyle name="Normal 4 4 2 2 5 3 4" xfId="31787" xr:uid="{8F3B83A3-55E6-4ABE-9415-6BCDCD687A2E}"/>
    <cellStyle name="Normal 4 4 2 2 5 4" xfId="10689" xr:uid="{D6E65C91-AA1D-4589-9B50-DEBFF5E8C41C}"/>
    <cellStyle name="Normal 4 4 2 2 5 5" xfId="19130" xr:uid="{03572E4F-2838-49A6-9C1C-0AD0CDF5E842}"/>
    <cellStyle name="Normal 4 4 2 2 5 6" xfId="27570" xr:uid="{15BBD1E8-ABC5-45AE-BECB-C8233D0A98C8}"/>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C2081B8E-B033-4470-AC97-488B914EE3D4}"/>
    <cellStyle name="Normal 4 4 2 2 6 2 2 3" xfId="25905" xr:uid="{69B79C8B-D98B-47DC-B76F-6C2FE1B30942}"/>
    <cellStyle name="Normal 4 4 2 2 6 2 2 4" xfId="34345" xr:uid="{074BA2A6-8797-4F32-89C0-7B583CB25EE5}"/>
    <cellStyle name="Normal 4 4 2 2 6 2 3" xfId="13247" xr:uid="{740BF6AC-3078-4D2E-919C-88EA1F384EE8}"/>
    <cellStyle name="Normal 4 4 2 2 6 2 4" xfId="21688" xr:uid="{DD05ACC3-BBB7-4EEC-B20A-3FF542B75656}"/>
    <cellStyle name="Normal 4 4 2 2 6 2 5" xfId="30128" xr:uid="{508A0896-3128-448B-88C8-99C6F1AA8FC3}"/>
    <cellStyle name="Normal 4 4 2 2 6 3" xfId="5993" xr:uid="{00000000-0005-0000-0000-00000E150000}"/>
    <cellStyle name="Normal 4 4 2 2 6 3 2" xfId="15319" xr:uid="{5AFB1C38-A88F-4BF1-A523-6D53408AA6F4}"/>
    <cellStyle name="Normal 4 4 2 2 6 3 3" xfId="23760" xr:uid="{94FD8209-82E5-462A-AA53-DAA05A8CF53E}"/>
    <cellStyle name="Normal 4 4 2 2 6 3 4" xfId="32200" xr:uid="{CFA9F38B-BEAB-4B67-B4C2-29A33A329867}"/>
    <cellStyle name="Normal 4 4 2 2 6 4" xfId="11102" xr:uid="{56C57A4D-0B72-4710-9B2D-18982CA8FF57}"/>
    <cellStyle name="Normal 4 4 2 2 6 5" xfId="19543" xr:uid="{46CD0D51-F21E-4A84-9B1C-9ECB82CE305D}"/>
    <cellStyle name="Normal 4 4 2 2 6 6" xfId="27983" xr:uid="{CDB1153B-3C92-49E6-A15D-2D14E0DE59AB}"/>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8842640A-958A-4425-AFA3-9FE5A961728D}"/>
    <cellStyle name="Normal 4 4 2 2 7 2 2 3" xfId="26318" xr:uid="{E4A12268-0634-4384-A1BC-65C7546A9CB0}"/>
    <cellStyle name="Normal 4 4 2 2 7 2 2 4" xfId="34758" xr:uid="{7377D0C2-2593-4906-A022-BB43F582287E}"/>
    <cellStyle name="Normal 4 4 2 2 7 2 3" xfId="13660" xr:uid="{AB6CAAF5-F62A-4319-A4E8-4FFC00BA500E}"/>
    <cellStyle name="Normal 4 4 2 2 7 2 4" xfId="22101" xr:uid="{E83E0795-DBDE-471C-9B12-0F87FEFB575B}"/>
    <cellStyle name="Normal 4 4 2 2 7 2 5" xfId="30541" xr:uid="{E2E37CDB-5CC6-4537-8AF1-CB2344893079}"/>
    <cellStyle name="Normal 4 4 2 2 7 3" xfId="6406" xr:uid="{00000000-0005-0000-0000-000012150000}"/>
    <cellStyle name="Normal 4 4 2 2 7 3 2" xfId="15732" xr:uid="{E259E222-4B60-4201-9FB4-661B366F0AA8}"/>
    <cellStyle name="Normal 4 4 2 2 7 3 3" xfId="24173" xr:uid="{DF25AFDE-45F1-40E9-B348-764497C94E5D}"/>
    <cellStyle name="Normal 4 4 2 2 7 3 4" xfId="32613" xr:uid="{079F03BC-2020-4B87-9B8C-78BB80BCF84E}"/>
    <cellStyle name="Normal 4 4 2 2 7 4" xfId="11515" xr:uid="{EBCE842B-2EA3-4585-BE93-EEEC047BEB30}"/>
    <cellStyle name="Normal 4 4 2 2 7 5" xfId="19956" xr:uid="{B16B535A-CC36-437D-9FE1-739C51D89918}"/>
    <cellStyle name="Normal 4 4 2 2 7 6" xfId="28396" xr:uid="{D8F803BA-73E3-454E-9ACF-754F965C9293}"/>
    <cellStyle name="Normal 4 4 2 2 8" xfId="2536" xr:uid="{00000000-0005-0000-0000-000013150000}"/>
    <cellStyle name="Normal 4 4 2 2 8 2" xfId="6819" xr:uid="{00000000-0005-0000-0000-000014150000}"/>
    <cellStyle name="Normal 4 4 2 2 8 2 2" xfId="16145" xr:uid="{B36BEDF8-9636-44F3-A92D-C6F636A57B4C}"/>
    <cellStyle name="Normal 4 4 2 2 8 2 3" xfId="24586" xr:uid="{FDEA8D66-10C2-445E-9A3B-91F69D6FA86A}"/>
    <cellStyle name="Normal 4 4 2 2 8 2 4" xfId="33026" xr:uid="{986BEBB8-A8C1-47C4-A46E-B390B5245F0D}"/>
    <cellStyle name="Normal 4 4 2 2 8 3" xfId="11928" xr:uid="{5BF937CE-2371-48DE-A525-6C009824AF48}"/>
    <cellStyle name="Normal 4 4 2 2 8 4" xfId="20369" xr:uid="{6BF7F9C4-972A-49EE-920E-01E940A9D55F}"/>
    <cellStyle name="Normal 4 4 2 2 8 5" xfId="28809" xr:uid="{D289984D-FAE8-46EF-879C-59F4B42D00E6}"/>
    <cellStyle name="Normal 4 4 2 2 9" xfId="4754" xr:uid="{00000000-0005-0000-0000-000015150000}"/>
    <cellStyle name="Normal 4 4 2 2 9 2" xfId="14080" xr:uid="{18C986EB-2F93-4299-8B93-8D55698CA0A6}"/>
    <cellStyle name="Normal 4 4 2 2 9 3" xfId="22521" xr:uid="{0010F05A-F82D-413E-890E-7C0F64E89230}"/>
    <cellStyle name="Normal 4 4 2 2 9 4" xfId="30961" xr:uid="{C0940953-8EB2-4123-A388-626B894DDABA}"/>
    <cellStyle name="Normal 4 4 2 3" xfId="384" xr:uid="{00000000-0005-0000-0000-000016150000}"/>
    <cellStyle name="Normal 4 4 2 3 10" xfId="9867" xr:uid="{5C4EEF47-0592-4C21-BD09-6851C78F24A7}"/>
    <cellStyle name="Normal 4 4 2 3 11" xfId="18308" xr:uid="{702B06DD-04BA-4B0B-B0BE-C63666A000F1}"/>
    <cellStyle name="Normal 4 4 2 3 12" xfId="26748" xr:uid="{188B8113-885B-4A16-B41F-433B6DC25A80}"/>
    <cellStyle name="Normal 4 4 2 3 2" xfId="385" xr:uid="{00000000-0005-0000-0000-000017150000}"/>
    <cellStyle name="Normal 4 4 2 3 2 10" xfId="18309" xr:uid="{09649050-B24B-4A36-A1C0-03F3EF3B3D79}"/>
    <cellStyle name="Normal 4 4 2 3 2 11" xfId="26749" xr:uid="{900AB836-9E37-4919-A2F3-4879FF7066C1}"/>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BB6AD4D8-4CBB-4BF7-AC68-44048BD9ADE6}"/>
    <cellStyle name="Normal 4 4 2 3 2 2 2 2 3" xfId="25084" xr:uid="{A3E9B9FF-468B-4F04-A07D-AA76CCFC8411}"/>
    <cellStyle name="Normal 4 4 2 3 2 2 2 2 4" xfId="33524" xr:uid="{2C79D48A-CD42-48FB-BF17-10BC7F002524}"/>
    <cellStyle name="Normal 4 4 2 3 2 2 2 3" xfId="12426" xr:uid="{AF0C788E-67B7-4465-A206-1AC8F92E21DC}"/>
    <cellStyle name="Normal 4 4 2 3 2 2 2 4" xfId="20867" xr:uid="{B430DCF3-5AAF-4838-B00E-982BB4717A63}"/>
    <cellStyle name="Normal 4 4 2 3 2 2 2 5" xfId="29307" xr:uid="{5D97813F-C0B7-4C19-A334-A8F17F4244BA}"/>
    <cellStyle name="Normal 4 4 2 3 2 2 3" xfId="5172" xr:uid="{00000000-0005-0000-0000-00001B150000}"/>
    <cellStyle name="Normal 4 4 2 3 2 2 3 2" xfId="14498" xr:uid="{5DC75CA7-1CAD-489D-A098-32C7D5A27B3B}"/>
    <cellStyle name="Normal 4 4 2 3 2 2 3 3" xfId="22939" xr:uid="{B232FB70-EE74-4803-918D-0015C3C53F38}"/>
    <cellStyle name="Normal 4 4 2 3 2 2 3 4" xfId="31379" xr:uid="{EE1ED71C-EC14-4289-9061-63DADEA4360A}"/>
    <cellStyle name="Normal 4 4 2 3 2 2 4" xfId="9516" xr:uid="{93008D3B-5827-4778-B167-5B518B5BF56F}"/>
    <cellStyle name="Normal 4 4 2 3 2 2 5" xfId="10281" xr:uid="{8640ACB2-72B7-40B2-909E-137391D2AD43}"/>
    <cellStyle name="Normal 4 4 2 3 2 2 6" xfId="18722" xr:uid="{4A419B0B-24AF-4F89-B154-6CB91A414EA1}"/>
    <cellStyle name="Normal 4 4 2 3 2 2 7" xfId="27162" xr:uid="{4BF5B6F1-4C52-4650-94A8-C6DDCB7B8711}"/>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622C46BF-C763-458F-B336-468238D7A598}"/>
    <cellStyle name="Normal 4 4 2 3 2 3 2 2 3" xfId="25497" xr:uid="{7CBB6163-5CF4-4C12-B4D4-B060AA11D4A9}"/>
    <cellStyle name="Normal 4 4 2 3 2 3 2 2 4" xfId="33937" xr:uid="{51361213-0A2E-402B-8560-2BF622B582AA}"/>
    <cellStyle name="Normal 4 4 2 3 2 3 2 3" xfId="12839" xr:uid="{DF2B42B6-3DEA-431D-BCC3-157E9149D598}"/>
    <cellStyle name="Normal 4 4 2 3 2 3 2 4" xfId="21280" xr:uid="{DD1D9E57-2493-4FE6-B165-FE9EAFD0D7AA}"/>
    <cellStyle name="Normal 4 4 2 3 2 3 2 5" xfId="29720" xr:uid="{695662B4-421C-4E13-9975-CF09F620FE06}"/>
    <cellStyle name="Normal 4 4 2 3 2 3 3" xfId="5585" xr:uid="{00000000-0005-0000-0000-00001F150000}"/>
    <cellStyle name="Normal 4 4 2 3 2 3 3 2" xfId="14911" xr:uid="{F42564D7-7303-47C5-A570-DB3CAC4A62BD}"/>
    <cellStyle name="Normal 4 4 2 3 2 3 3 3" xfId="23352" xr:uid="{167903F2-CE9D-464D-B396-575322B44968}"/>
    <cellStyle name="Normal 4 4 2 3 2 3 3 4" xfId="31792" xr:uid="{21A25296-1B3B-4319-A3B7-4D237E65E23D}"/>
    <cellStyle name="Normal 4 4 2 3 2 3 4" xfId="10694" xr:uid="{D0F0C518-A0FB-453A-966C-B15308BCABFD}"/>
    <cellStyle name="Normal 4 4 2 3 2 3 5" xfId="19135" xr:uid="{A27BE50A-D77D-4898-8BF7-0FA1994496B4}"/>
    <cellStyle name="Normal 4 4 2 3 2 3 6" xfId="27575" xr:uid="{943D549A-9879-4E75-AF02-65D31807FEC7}"/>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782B77FF-2646-4B0A-8668-2533EB211117}"/>
    <cellStyle name="Normal 4 4 2 3 2 4 2 2 3" xfId="25910" xr:uid="{4A659B58-05F2-43FD-807F-167E0B2ED27B}"/>
    <cellStyle name="Normal 4 4 2 3 2 4 2 2 4" xfId="34350" xr:uid="{FE32C4E9-8715-4A49-A644-BB96583F65FD}"/>
    <cellStyle name="Normal 4 4 2 3 2 4 2 3" xfId="13252" xr:uid="{4F7660E3-39E3-4B25-95D4-C560EC13AA5C}"/>
    <cellStyle name="Normal 4 4 2 3 2 4 2 4" xfId="21693" xr:uid="{61507A43-410D-4B68-B2F7-A4DE61E91B68}"/>
    <cellStyle name="Normal 4 4 2 3 2 4 2 5" xfId="30133" xr:uid="{46304ED7-1FFA-431E-8A6A-3DF017342D64}"/>
    <cellStyle name="Normal 4 4 2 3 2 4 3" xfId="5998" xr:uid="{00000000-0005-0000-0000-000023150000}"/>
    <cellStyle name="Normal 4 4 2 3 2 4 3 2" xfId="15324" xr:uid="{AB6A6620-35BF-477F-B413-6D2332F44121}"/>
    <cellStyle name="Normal 4 4 2 3 2 4 3 3" xfId="23765" xr:uid="{D468EE09-6A6A-43D3-A383-7C1F490868FF}"/>
    <cellStyle name="Normal 4 4 2 3 2 4 3 4" xfId="32205" xr:uid="{18E65D08-8D71-4725-A637-E12E0512CBBD}"/>
    <cellStyle name="Normal 4 4 2 3 2 4 4" xfId="11107" xr:uid="{491CE3AB-02E0-4DF0-BFCB-D3D0D04BCD59}"/>
    <cellStyle name="Normal 4 4 2 3 2 4 5" xfId="19548" xr:uid="{D2BF92BE-1DEC-4793-A492-4A14E2CF83C6}"/>
    <cellStyle name="Normal 4 4 2 3 2 4 6" xfId="27988" xr:uid="{D1F5945F-6BF3-46F9-A441-EC3B04813E5D}"/>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4EA17E11-6321-4434-A6A5-27CC15ECE33E}"/>
    <cellStyle name="Normal 4 4 2 3 2 5 2 2 3" xfId="26323" xr:uid="{4F01095C-3676-4D38-A06E-3E74BA7B14D6}"/>
    <cellStyle name="Normal 4 4 2 3 2 5 2 2 4" xfId="34763" xr:uid="{58E4C440-B727-459A-9636-CF6EAFAB36A7}"/>
    <cellStyle name="Normal 4 4 2 3 2 5 2 3" xfId="13665" xr:uid="{968573F3-C0F8-4606-B115-75D514079726}"/>
    <cellStyle name="Normal 4 4 2 3 2 5 2 4" xfId="22106" xr:uid="{400C0536-4317-4116-AD6F-EA953DC4CDC9}"/>
    <cellStyle name="Normal 4 4 2 3 2 5 2 5" xfId="30546" xr:uid="{B7112E46-7922-4E12-9FA7-3FFD4F9FBBB0}"/>
    <cellStyle name="Normal 4 4 2 3 2 5 3" xfId="6411" xr:uid="{00000000-0005-0000-0000-000027150000}"/>
    <cellStyle name="Normal 4 4 2 3 2 5 3 2" xfId="15737" xr:uid="{B6ED0CB2-47A6-4303-BB96-39434B3DF437}"/>
    <cellStyle name="Normal 4 4 2 3 2 5 3 3" xfId="24178" xr:uid="{5BC495DD-6582-4371-A4D5-FAF5CF764068}"/>
    <cellStyle name="Normal 4 4 2 3 2 5 3 4" xfId="32618" xr:uid="{0AD04D7C-C77F-4FA0-A715-0F1802714631}"/>
    <cellStyle name="Normal 4 4 2 3 2 5 4" xfId="11520" xr:uid="{93C84412-4510-42E7-828A-C92EDB12B5F7}"/>
    <cellStyle name="Normal 4 4 2 3 2 5 5" xfId="19961" xr:uid="{1CE311E0-5C44-4747-AB20-5CDAA251C63F}"/>
    <cellStyle name="Normal 4 4 2 3 2 5 6" xfId="28401" xr:uid="{102CA9A6-2C70-4E19-BBB1-4D03ECCCECC5}"/>
    <cellStyle name="Normal 4 4 2 3 2 6" xfId="2541" xr:uid="{00000000-0005-0000-0000-000028150000}"/>
    <cellStyle name="Normal 4 4 2 3 2 6 2" xfId="6824" xr:uid="{00000000-0005-0000-0000-000029150000}"/>
    <cellStyle name="Normal 4 4 2 3 2 6 2 2" xfId="16150" xr:uid="{5909D5C8-9FF3-4BCC-BCD4-BDBC026099A7}"/>
    <cellStyle name="Normal 4 4 2 3 2 6 2 3" xfId="24591" xr:uid="{595ADC52-9C5D-454D-958C-FA5A64906E66}"/>
    <cellStyle name="Normal 4 4 2 3 2 6 2 4" xfId="33031" xr:uid="{54189C98-9E0C-4C5F-B52E-9C99A7F8A218}"/>
    <cellStyle name="Normal 4 4 2 3 2 6 3" xfId="11933" xr:uid="{1CD3311C-0FA8-4C02-8471-8EAB768E40DB}"/>
    <cellStyle name="Normal 4 4 2 3 2 6 4" xfId="20374" xr:uid="{F320266E-26C4-4263-B20B-4C6BF770309C}"/>
    <cellStyle name="Normal 4 4 2 3 2 6 5" xfId="28814" xr:uid="{F7EAA171-0920-46D5-A772-FFB2E2CF0B7F}"/>
    <cellStyle name="Normal 4 4 2 3 2 7" xfId="4759" xr:uid="{00000000-0005-0000-0000-00002A150000}"/>
    <cellStyle name="Normal 4 4 2 3 2 7 2" xfId="14085" xr:uid="{218B8ABD-7399-4C17-9BF1-DE632200D752}"/>
    <cellStyle name="Normal 4 4 2 3 2 7 3" xfId="22526" xr:uid="{AF994496-B19D-48D4-AA83-72AC5694A772}"/>
    <cellStyle name="Normal 4 4 2 3 2 7 4" xfId="30966" xr:uid="{E99E6CB0-8709-45E0-AA21-E5AE07323EF3}"/>
    <cellStyle name="Normal 4 4 2 3 2 8" xfId="9091" xr:uid="{9DBAED0A-05EE-4674-B1B7-8D03DBB53301}"/>
    <cellStyle name="Normal 4 4 2 3 2 9" xfId="9868" xr:uid="{886A0D05-8956-47F4-A619-8CB5BA049623}"/>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D032EEB9-454B-46BF-8E4A-DCB57E9ACF1B}"/>
    <cellStyle name="Normal 4 4 2 3 3 2 2 3" xfId="25083" xr:uid="{29DD6FB6-1AA2-4A95-A1DA-A2957735DE2E}"/>
    <cellStyle name="Normal 4 4 2 3 3 2 2 4" xfId="33523" xr:uid="{367B7331-996D-428A-AB77-E1F9124AA413}"/>
    <cellStyle name="Normal 4 4 2 3 3 2 3" xfId="12425" xr:uid="{DB0CEF2C-9C88-4034-861D-9CB155CA4AB9}"/>
    <cellStyle name="Normal 4 4 2 3 3 2 4" xfId="20866" xr:uid="{F2E974FF-773B-48C2-9D4D-C52EEEED1E6A}"/>
    <cellStyle name="Normal 4 4 2 3 3 2 5" xfId="29306" xr:uid="{65D811C8-324A-438F-BF51-3E31629BB70C}"/>
    <cellStyle name="Normal 4 4 2 3 3 3" xfId="5171" xr:uid="{00000000-0005-0000-0000-00002E150000}"/>
    <cellStyle name="Normal 4 4 2 3 3 3 2" xfId="14497" xr:uid="{41CC7BCD-5AE6-4FDF-8994-BC902417B0AB}"/>
    <cellStyle name="Normal 4 4 2 3 3 3 3" xfId="22938" xr:uid="{90454CA0-CFD4-4FA9-8A35-A152B01C4A6A}"/>
    <cellStyle name="Normal 4 4 2 3 3 3 4" xfId="31378" xr:uid="{513FEEBB-6ED1-4558-B7DE-B22ECC7123B7}"/>
    <cellStyle name="Normal 4 4 2 3 3 4" xfId="9309" xr:uid="{73E912F6-92AF-449E-AE53-1DEDEF686C0F}"/>
    <cellStyle name="Normal 4 4 2 3 3 5" xfId="10280" xr:uid="{32A91E75-DE51-4F5B-BED4-8C806C1E13C5}"/>
    <cellStyle name="Normal 4 4 2 3 3 6" xfId="18721" xr:uid="{309BC9D6-F3EC-4E1D-A156-EDA91BC131EC}"/>
    <cellStyle name="Normal 4 4 2 3 3 7" xfId="27161" xr:uid="{576D5DA8-E1B5-4284-AE35-0AF6C712628E}"/>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1D0FFB62-CDAC-4EEE-80D5-CA1D55A589A2}"/>
    <cellStyle name="Normal 4 4 2 3 4 2 2 3" xfId="25496" xr:uid="{B0F52845-8820-4883-A107-CB19F18E6E67}"/>
    <cellStyle name="Normal 4 4 2 3 4 2 2 4" xfId="33936" xr:uid="{8412BFB1-257A-4E39-9A4D-9A32070B833B}"/>
    <cellStyle name="Normal 4 4 2 3 4 2 3" xfId="12838" xr:uid="{1685A688-04FC-4C04-BA85-171B4E74BE05}"/>
    <cellStyle name="Normal 4 4 2 3 4 2 4" xfId="21279" xr:uid="{E88F5D06-34FA-44D2-BDB8-128BD714CC11}"/>
    <cellStyle name="Normal 4 4 2 3 4 2 5" xfId="29719" xr:uid="{12E6738F-5751-4C01-9264-C7791FF7485C}"/>
    <cellStyle name="Normal 4 4 2 3 4 3" xfId="5584" xr:uid="{00000000-0005-0000-0000-000032150000}"/>
    <cellStyle name="Normal 4 4 2 3 4 3 2" xfId="14910" xr:uid="{2F5BCDE9-CE83-4B60-A23C-4E19C36E9EDC}"/>
    <cellStyle name="Normal 4 4 2 3 4 3 3" xfId="23351" xr:uid="{B10560B9-2109-4A24-958F-9C20B2933BAB}"/>
    <cellStyle name="Normal 4 4 2 3 4 3 4" xfId="31791" xr:uid="{0DFB81ED-71B5-4533-BB62-4A443B2025B7}"/>
    <cellStyle name="Normal 4 4 2 3 4 4" xfId="10693" xr:uid="{9C783576-6683-4E98-A8FE-E1899244DAE4}"/>
    <cellStyle name="Normal 4 4 2 3 4 5" xfId="19134" xr:uid="{A0FC495F-C3FD-4CBE-87E7-07424BDD7453}"/>
    <cellStyle name="Normal 4 4 2 3 4 6" xfId="27574" xr:uid="{5DFDF86F-4D4D-4F0A-BF25-F3CAA37DC40C}"/>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D30BCBA6-17D7-46D9-BF44-2780D1B628C6}"/>
    <cellStyle name="Normal 4 4 2 3 5 2 2 3" xfId="25909" xr:uid="{240C0B21-DCA3-4EA6-BF28-D0EA1F749593}"/>
    <cellStyle name="Normal 4 4 2 3 5 2 2 4" xfId="34349" xr:uid="{0C25548E-9F9A-46AF-B06D-5E34F6E07D6D}"/>
    <cellStyle name="Normal 4 4 2 3 5 2 3" xfId="13251" xr:uid="{C6C9AAC5-88ED-4442-A61B-CFBFB8D66FDF}"/>
    <cellStyle name="Normal 4 4 2 3 5 2 4" xfId="21692" xr:uid="{461391B0-244C-4EF6-A66E-D504A1B9F6BE}"/>
    <cellStyle name="Normal 4 4 2 3 5 2 5" xfId="30132" xr:uid="{1738ADAF-24C1-45E1-9473-2F8E73B700DB}"/>
    <cellStyle name="Normal 4 4 2 3 5 3" xfId="5997" xr:uid="{00000000-0005-0000-0000-000036150000}"/>
    <cellStyle name="Normal 4 4 2 3 5 3 2" xfId="15323" xr:uid="{9719BC58-F22E-4639-9AAB-370AAE46EE50}"/>
    <cellStyle name="Normal 4 4 2 3 5 3 3" xfId="23764" xr:uid="{196A6A36-F556-4087-8FD9-9B2DEEE222A7}"/>
    <cellStyle name="Normal 4 4 2 3 5 3 4" xfId="32204" xr:uid="{7B2C92ED-8E16-4B22-92CA-BD1B2CA1E66E}"/>
    <cellStyle name="Normal 4 4 2 3 5 4" xfId="11106" xr:uid="{65715D0D-A824-4B0B-8120-324FC4F42F10}"/>
    <cellStyle name="Normal 4 4 2 3 5 5" xfId="19547" xr:uid="{4BD726A4-BF77-4789-B610-24C4E8EC768C}"/>
    <cellStyle name="Normal 4 4 2 3 5 6" xfId="27987" xr:uid="{C3B37866-B282-4CE2-9A9A-87CC997C600D}"/>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0D36A115-C3F3-421A-BBBB-9DFC2C26ECE3}"/>
    <cellStyle name="Normal 4 4 2 3 6 2 2 3" xfId="26322" xr:uid="{A90AF740-2F4F-4EF5-A30C-110DA1252A96}"/>
    <cellStyle name="Normal 4 4 2 3 6 2 2 4" xfId="34762" xr:uid="{EE625178-8E82-4F1E-B88D-604A620D214A}"/>
    <cellStyle name="Normal 4 4 2 3 6 2 3" xfId="13664" xr:uid="{0F29C6B5-F091-4E65-8E91-3805FE1E7317}"/>
    <cellStyle name="Normal 4 4 2 3 6 2 4" xfId="22105" xr:uid="{429AC1E2-0B10-4181-B6E6-9B7BF50E30BD}"/>
    <cellStyle name="Normal 4 4 2 3 6 2 5" xfId="30545" xr:uid="{B0F392B5-EA61-4598-B03D-8E0C2FFFE52E}"/>
    <cellStyle name="Normal 4 4 2 3 6 3" xfId="6410" xr:uid="{00000000-0005-0000-0000-00003A150000}"/>
    <cellStyle name="Normal 4 4 2 3 6 3 2" xfId="15736" xr:uid="{A4D2E3FD-B09E-4EBB-B95F-224F2AE1FC68}"/>
    <cellStyle name="Normal 4 4 2 3 6 3 3" xfId="24177" xr:uid="{89C0CF21-C96B-46C8-9CD6-BADAEBEDBCB8}"/>
    <cellStyle name="Normal 4 4 2 3 6 3 4" xfId="32617" xr:uid="{34A39755-0B30-4D2F-9F4D-3F2575E6982D}"/>
    <cellStyle name="Normal 4 4 2 3 6 4" xfId="11519" xr:uid="{11E37B39-1952-4F2E-A2A5-259D45BC1712}"/>
    <cellStyle name="Normal 4 4 2 3 6 5" xfId="19960" xr:uid="{6445ECF8-3DB1-4005-8722-A40701C63CFA}"/>
    <cellStyle name="Normal 4 4 2 3 6 6" xfId="28400" xr:uid="{E8D27B92-8FB4-49DB-AF06-7726A3E97361}"/>
    <cellStyle name="Normal 4 4 2 3 7" xfId="2540" xr:uid="{00000000-0005-0000-0000-00003B150000}"/>
    <cellStyle name="Normal 4 4 2 3 7 2" xfId="6823" xr:uid="{00000000-0005-0000-0000-00003C150000}"/>
    <cellStyle name="Normal 4 4 2 3 7 2 2" xfId="16149" xr:uid="{318E62AF-49AA-4AF9-93E7-4D21710A73CF}"/>
    <cellStyle name="Normal 4 4 2 3 7 2 3" xfId="24590" xr:uid="{54B43AD6-CBB2-4953-8AAA-B989D9BB333A}"/>
    <cellStyle name="Normal 4 4 2 3 7 2 4" xfId="33030" xr:uid="{9EEBD513-3784-4F10-9D20-3C11CD7836A3}"/>
    <cellStyle name="Normal 4 4 2 3 7 3" xfId="11932" xr:uid="{BA35E477-ED29-4998-93F9-9ADA08D84B46}"/>
    <cellStyle name="Normal 4 4 2 3 7 4" xfId="20373" xr:uid="{032F997F-52AD-4C5C-AC9D-5993EBABFBBF}"/>
    <cellStyle name="Normal 4 4 2 3 7 5" xfId="28813" xr:uid="{25837812-C326-417A-84FF-854997C44031}"/>
    <cellStyle name="Normal 4 4 2 3 8" xfId="4758" xr:uid="{00000000-0005-0000-0000-00003D150000}"/>
    <cellStyle name="Normal 4 4 2 3 8 2" xfId="14084" xr:uid="{E7032C55-3638-49A8-A60B-058F95E7E086}"/>
    <cellStyle name="Normal 4 4 2 3 8 3" xfId="22525" xr:uid="{1F936146-5ADA-4BB9-8D7C-4829C940A862}"/>
    <cellStyle name="Normal 4 4 2 3 8 4" xfId="30965" xr:uid="{6A0E7AE3-CBA4-46A7-AE94-23BDE552EF5C}"/>
    <cellStyle name="Normal 4 4 2 3 9" xfId="8884" xr:uid="{CBA8CCC0-D2E2-46C8-AC83-39734599F615}"/>
    <cellStyle name="Normal 4 4 2 4" xfId="386" xr:uid="{00000000-0005-0000-0000-00003E150000}"/>
    <cellStyle name="Normal 4 4 2 4 10" xfId="18310" xr:uid="{4B402765-BEE3-4E81-9A92-558D0FB5F432}"/>
    <cellStyle name="Normal 4 4 2 4 11" xfId="26750" xr:uid="{D7D40507-EC65-4BFD-ADEC-979128724DFD}"/>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3EE5A171-30CE-47C2-9BE6-D4A985F2DC01}"/>
    <cellStyle name="Normal 4 4 2 4 2 2 2 3" xfId="25085" xr:uid="{A9548211-5F55-46F3-8647-E6F86DCE4640}"/>
    <cellStyle name="Normal 4 4 2 4 2 2 2 4" xfId="33525" xr:uid="{95BAE9BE-B0D3-40D8-AED7-F44288BD43FB}"/>
    <cellStyle name="Normal 4 4 2 4 2 2 3" xfId="12427" xr:uid="{64661210-1613-4DCB-94B0-5B545CB8383C}"/>
    <cellStyle name="Normal 4 4 2 4 2 2 4" xfId="20868" xr:uid="{AA59BC8B-4E6C-46FB-BEC9-39CFBA90C6EB}"/>
    <cellStyle name="Normal 4 4 2 4 2 2 5" xfId="29308" xr:uid="{01F2AD27-249A-494F-8B3E-D3635D294535}"/>
    <cellStyle name="Normal 4 4 2 4 2 3" xfId="5173" xr:uid="{00000000-0005-0000-0000-000042150000}"/>
    <cellStyle name="Normal 4 4 2 4 2 3 2" xfId="14499" xr:uid="{8480FBB2-E009-4E56-BD03-D18126F98DE5}"/>
    <cellStyle name="Normal 4 4 2 4 2 3 3" xfId="22940" xr:uid="{DAF9E184-CB4C-412C-865F-0567CC89D507}"/>
    <cellStyle name="Normal 4 4 2 4 2 3 4" xfId="31380" xr:uid="{7576E416-BCAE-4634-8BC4-9A477DB11569}"/>
    <cellStyle name="Normal 4 4 2 4 2 4" xfId="9413" xr:uid="{4DC092EA-7C69-4E02-9FE8-33F62D070F54}"/>
    <cellStyle name="Normal 4 4 2 4 2 5" xfId="10282" xr:uid="{91C9C031-7E89-471D-81EB-1639E26C1BBB}"/>
    <cellStyle name="Normal 4 4 2 4 2 6" xfId="18723" xr:uid="{1B75B736-6881-4866-B39C-9BAFC694708F}"/>
    <cellStyle name="Normal 4 4 2 4 2 7" xfId="27163" xr:uid="{59A61D8B-0D86-4F90-A142-07D977443CB2}"/>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D1573A52-4E18-43D2-A6CE-9CF62551F349}"/>
    <cellStyle name="Normal 4 4 2 4 3 2 2 3" xfId="25498" xr:uid="{ABB1B11A-CE64-4470-93C7-71323942D693}"/>
    <cellStyle name="Normal 4 4 2 4 3 2 2 4" xfId="33938" xr:uid="{772A101A-7ABE-46F8-BA8D-E60B4A73FEA3}"/>
    <cellStyle name="Normal 4 4 2 4 3 2 3" xfId="12840" xr:uid="{BE8A1260-A41C-4606-88FB-809C21779D3B}"/>
    <cellStyle name="Normal 4 4 2 4 3 2 4" xfId="21281" xr:uid="{20F00942-5BE8-4C71-A70A-B9E690E2ECF6}"/>
    <cellStyle name="Normal 4 4 2 4 3 2 5" xfId="29721" xr:uid="{77D20D15-935D-4B15-8F28-4358B289361D}"/>
    <cellStyle name="Normal 4 4 2 4 3 3" xfId="5586" xr:uid="{00000000-0005-0000-0000-000046150000}"/>
    <cellStyle name="Normal 4 4 2 4 3 3 2" xfId="14912" xr:uid="{FD769A66-2094-4ADD-B430-85573176CA77}"/>
    <cellStyle name="Normal 4 4 2 4 3 3 3" xfId="23353" xr:uid="{592E4472-5526-4DC9-A668-BC1FED711C6B}"/>
    <cellStyle name="Normal 4 4 2 4 3 3 4" xfId="31793" xr:uid="{BA849ACB-BE11-42C4-A95B-1DEB33F44F6B}"/>
    <cellStyle name="Normal 4 4 2 4 3 4" xfId="10695" xr:uid="{FEBB4128-A92C-4285-B907-02430277E6DC}"/>
    <cellStyle name="Normal 4 4 2 4 3 5" xfId="19136" xr:uid="{BE487267-FC20-4282-9BC4-FB5EA7C1B690}"/>
    <cellStyle name="Normal 4 4 2 4 3 6" xfId="27576" xr:uid="{4D1555FF-1962-4F8E-8B18-61EE58710008}"/>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013A25C5-D759-42BE-9DFE-85F0B5FF16B1}"/>
    <cellStyle name="Normal 4 4 2 4 4 2 2 3" xfId="25911" xr:uid="{39CA3D00-AF45-472B-9002-C4E12F5D2E74}"/>
    <cellStyle name="Normal 4 4 2 4 4 2 2 4" xfId="34351" xr:uid="{C09D555D-29C0-4E65-8916-71DD7927ADD9}"/>
    <cellStyle name="Normal 4 4 2 4 4 2 3" xfId="13253" xr:uid="{41D5F996-7F9C-4709-954E-35CEC2B1565D}"/>
    <cellStyle name="Normal 4 4 2 4 4 2 4" xfId="21694" xr:uid="{EC31B9AE-8123-4E7B-8C36-377AD723BA12}"/>
    <cellStyle name="Normal 4 4 2 4 4 2 5" xfId="30134" xr:uid="{C36886A5-27B6-473F-98E0-9C2B6FDF8E88}"/>
    <cellStyle name="Normal 4 4 2 4 4 3" xfId="5999" xr:uid="{00000000-0005-0000-0000-00004A150000}"/>
    <cellStyle name="Normal 4 4 2 4 4 3 2" xfId="15325" xr:uid="{5F491CBE-54EE-498A-B30B-064058655607}"/>
    <cellStyle name="Normal 4 4 2 4 4 3 3" xfId="23766" xr:uid="{5DC4A17C-079E-489A-91A0-64D56A89BF92}"/>
    <cellStyle name="Normal 4 4 2 4 4 3 4" xfId="32206" xr:uid="{C48EE887-8524-4E76-9449-2BD6789493DF}"/>
    <cellStyle name="Normal 4 4 2 4 4 4" xfId="11108" xr:uid="{AB2048E8-92B5-4A7F-967A-2EAFD2DD4AC7}"/>
    <cellStyle name="Normal 4 4 2 4 4 5" xfId="19549" xr:uid="{5E994365-9EB5-400E-B8DB-65D6BEBA3AAA}"/>
    <cellStyle name="Normal 4 4 2 4 4 6" xfId="27989" xr:uid="{D033315C-515E-4AD6-9BC7-3B15546C9592}"/>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55FF66E5-E5A5-410D-9415-34A29C06151A}"/>
    <cellStyle name="Normal 4 4 2 4 5 2 2 3" xfId="26324" xr:uid="{B6CC475C-50E2-4F64-B902-F4E87CA4E873}"/>
    <cellStyle name="Normal 4 4 2 4 5 2 2 4" xfId="34764" xr:uid="{5AED6BCC-C893-466C-BB42-5D1F4E5578DB}"/>
    <cellStyle name="Normal 4 4 2 4 5 2 3" xfId="13666" xr:uid="{3FC5ACED-C98C-46D0-BFD9-9CDA077FBA72}"/>
    <cellStyle name="Normal 4 4 2 4 5 2 4" xfId="22107" xr:uid="{A96A61C4-1BFB-45F9-92F5-EF467A128CF4}"/>
    <cellStyle name="Normal 4 4 2 4 5 2 5" xfId="30547" xr:uid="{EBFBADEA-9856-4A9F-ABDC-8349A188AB4B}"/>
    <cellStyle name="Normal 4 4 2 4 5 3" xfId="6412" xr:uid="{00000000-0005-0000-0000-00004E150000}"/>
    <cellStyle name="Normal 4 4 2 4 5 3 2" xfId="15738" xr:uid="{EC5FE8B7-FA5D-46A3-8BC2-DD1F835CE18E}"/>
    <cellStyle name="Normal 4 4 2 4 5 3 3" xfId="24179" xr:uid="{71E3564F-C126-4642-BF68-72B7055289EF}"/>
    <cellStyle name="Normal 4 4 2 4 5 3 4" xfId="32619" xr:uid="{3084E1B1-823D-41BE-BCBC-8B5D81223A89}"/>
    <cellStyle name="Normal 4 4 2 4 5 4" xfId="11521" xr:uid="{50D0B098-A76A-494D-978E-7A6A4ACD86C7}"/>
    <cellStyle name="Normal 4 4 2 4 5 5" xfId="19962" xr:uid="{5558577C-65D0-478B-8E02-40B74A50CDED}"/>
    <cellStyle name="Normal 4 4 2 4 5 6" xfId="28402" xr:uid="{F7C6867A-8E6F-4B6E-8FDD-CEEEA4D62577}"/>
    <cellStyle name="Normal 4 4 2 4 6" xfId="2542" xr:uid="{00000000-0005-0000-0000-00004F150000}"/>
    <cellStyle name="Normal 4 4 2 4 6 2" xfId="6825" xr:uid="{00000000-0005-0000-0000-000050150000}"/>
    <cellStyle name="Normal 4 4 2 4 6 2 2" xfId="16151" xr:uid="{AEF0B2F1-61A0-44D1-BF74-BE3373A1BF24}"/>
    <cellStyle name="Normal 4 4 2 4 6 2 3" xfId="24592" xr:uid="{E2F7D439-6A4C-4501-B47A-32F56CF1D2D9}"/>
    <cellStyle name="Normal 4 4 2 4 6 2 4" xfId="33032" xr:uid="{CC76C269-FE7B-4A5A-9442-3E3A608CEC74}"/>
    <cellStyle name="Normal 4 4 2 4 6 3" xfId="11934" xr:uid="{F8F73773-E358-497C-9E2D-2D97053FEE4D}"/>
    <cellStyle name="Normal 4 4 2 4 6 4" xfId="20375" xr:uid="{FC787445-4B58-4AAD-997D-C35457F59208}"/>
    <cellStyle name="Normal 4 4 2 4 6 5" xfId="28815" xr:uid="{266BBB17-2E69-447B-A0C4-3B4E78116E86}"/>
    <cellStyle name="Normal 4 4 2 4 7" xfId="4760" xr:uid="{00000000-0005-0000-0000-000051150000}"/>
    <cellStyle name="Normal 4 4 2 4 7 2" xfId="14086" xr:uid="{AE1E35CE-EBCE-44B0-9F48-14B7129DE6D8}"/>
    <cellStyle name="Normal 4 4 2 4 7 3" xfId="22527" xr:uid="{BFF9628D-F262-4D28-806C-4CD60DFB3B21}"/>
    <cellStyle name="Normal 4 4 2 4 7 4" xfId="30967" xr:uid="{57EC36FC-3AC1-4B79-95E3-C60E54025948}"/>
    <cellStyle name="Normal 4 4 2 4 8" xfId="8988" xr:uid="{F852E7B0-7ACD-4401-B3B6-BE989A5C8AD5}"/>
    <cellStyle name="Normal 4 4 2 4 9" xfId="9869" xr:uid="{F8D509CB-DFF0-4038-A02A-18E82FF07134}"/>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08C3D5EE-03DF-468F-AA5E-C8D5A0F078FC}"/>
    <cellStyle name="Normal 4 4 2 5 2 2 3" xfId="25078" xr:uid="{D967C891-BD70-4B08-925C-8B1382A30D9E}"/>
    <cellStyle name="Normal 4 4 2 5 2 2 4" xfId="33518" xr:uid="{A88C458F-C358-44BA-A1C6-D20CEE4B3734}"/>
    <cellStyle name="Normal 4 4 2 5 2 3" xfId="12420" xr:uid="{BD27C425-3916-49CE-B859-CBEBDF588F4C}"/>
    <cellStyle name="Normal 4 4 2 5 2 4" xfId="20861" xr:uid="{A29A0429-F1F9-4820-8242-C0EC4D82A54A}"/>
    <cellStyle name="Normal 4 4 2 5 2 5" xfId="29301" xr:uid="{73DFBC94-D93A-406A-94EC-C547C2EC3A22}"/>
    <cellStyle name="Normal 4 4 2 5 3" xfId="5166" xr:uid="{00000000-0005-0000-0000-000055150000}"/>
    <cellStyle name="Normal 4 4 2 5 3 2" xfId="14492" xr:uid="{2E8FD051-8CDA-48A5-B34F-F10E2F1735CD}"/>
    <cellStyle name="Normal 4 4 2 5 3 3" xfId="22933" xr:uid="{5E527D67-CF48-4F93-90D1-67F2A3C380DE}"/>
    <cellStyle name="Normal 4 4 2 5 3 4" xfId="31373" xr:uid="{3B9EBD4D-8AB2-4EAF-8C64-881CD772DF2D}"/>
    <cellStyle name="Normal 4 4 2 5 4" xfId="9205" xr:uid="{A63DE01D-3EC8-40FC-A47E-E0EA001EED52}"/>
    <cellStyle name="Normal 4 4 2 5 5" xfId="10275" xr:uid="{14E67791-3841-4000-9475-C30668F3231D}"/>
    <cellStyle name="Normal 4 4 2 5 6" xfId="18716" xr:uid="{AFE55F41-08A8-4B1A-8C63-F28FA0A856F6}"/>
    <cellStyle name="Normal 4 4 2 5 7" xfId="27156" xr:uid="{4E9960BD-2004-46A1-BBE7-23C93D056942}"/>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76261F15-96E5-410F-8581-8CD3D6D3A8E1}"/>
    <cellStyle name="Normal 4 4 2 6 2 2 3" xfId="25491" xr:uid="{6A80045C-F828-4175-AF24-F8DC6D469681}"/>
    <cellStyle name="Normal 4 4 2 6 2 2 4" xfId="33931" xr:uid="{35A9120F-C7B6-4043-86B5-8C661FEE9F81}"/>
    <cellStyle name="Normal 4 4 2 6 2 3" xfId="12833" xr:uid="{6299DC49-2FF0-4411-955A-75BE0C4E2A14}"/>
    <cellStyle name="Normal 4 4 2 6 2 4" xfId="21274" xr:uid="{64C7FB37-E3F2-4B1E-9FDD-62DB5FACF785}"/>
    <cellStyle name="Normal 4 4 2 6 2 5" xfId="29714" xr:uid="{D86C5140-3109-4BFA-9B1C-831BD5BB25AD}"/>
    <cellStyle name="Normal 4 4 2 6 3" xfId="5579" xr:uid="{00000000-0005-0000-0000-000059150000}"/>
    <cellStyle name="Normal 4 4 2 6 3 2" xfId="14905" xr:uid="{6D74B996-B75C-4923-8BC4-CD77823376CC}"/>
    <cellStyle name="Normal 4 4 2 6 3 3" xfId="23346" xr:uid="{45BCF7F2-9D66-4454-ACB1-A9A74404E81A}"/>
    <cellStyle name="Normal 4 4 2 6 3 4" xfId="31786" xr:uid="{FDD5612A-E1C5-4ECF-AED5-27808BD2CFAA}"/>
    <cellStyle name="Normal 4 4 2 6 4" xfId="10688" xr:uid="{F0FFE9B0-7D30-4EA2-A73B-0D68EF1B693B}"/>
    <cellStyle name="Normal 4 4 2 6 5" xfId="19129" xr:uid="{6BE9018E-69B7-462F-8293-4F4EADAFBC7D}"/>
    <cellStyle name="Normal 4 4 2 6 6" xfId="27569" xr:uid="{255C1731-DAFD-4E6D-8D7E-8E792FF4886E}"/>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CF89AF5C-0788-491C-A4F0-8BB0A6CD6C82}"/>
    <cellStyle name="Normal 4 4 2 7 2 2 3" xfId="25904" xr:uid="{73B7899B-1D71-4DD7-A382-42DE6FB69328}"/>
    <cellStyle name="Normal 4 4 2 7 2 2 4" xfId="34344" xr:uid="{E9BE5CF0-C617-4384-94B6-53AD02310574}"/>
    <cellStyle name="Normal 4 4 2 7 2 3" xfId="13246" xr:uid="{462394E8-6BE2-4F3B-B1A2-FBDE05CB5D39}"/>
    <cellStyle name="Normal 4 4 2 7 2 4" xfId="21687" xr:uid="{7C5C1BB6-A733-4802-9166-7C6F3342BAF4}"/>
    <cellStyle name="Normal 4 4 2 7 2 5" xfId="30127" xr:uid="{E6D7A6D3-2AF9-465D-9F09-C15EA6B0EC4F}"/>
    <cellStyle name="Normal 4 4 2 7 3" xfId="5992" xr:uid="{00000000-0005-0000-0000-00005D150000}"/>
    <cellStyle name="Normal 4 4 2 7 3 2" xfId="15318" xr:uid="{09185447-DD13-4499-8EDF-8A98B01C9CF8}"/>
    <cellStyle name="Normal 4 4 2 7 3 3" xfId="23759" xr:uid="{F6929EA7-3808-4503-A6D6-25076D90A7EA}"/>
    <cellStyle name="Normal 4 4 2 7 3 4" xfId="32199" xr:uid="{E7C17243-795C-4105-AC7E-196D198A1EB1}"/>
    <cellStyle name="Normal 4 4 2 7 4" xfId="11101" xr:uid="{1BB24B9D-D272-43B8-9E96-B221E9AF9D56}"/>
    <cellStyle name="Normal 4 4 2 7 5" xfId="19542" xr:uid="{28062448-B70B-4C8B-901A-5754F9151A56}"/>
    <cellStyle name="Normal 4 4 2 7 6" xfId="27982" xr:uid="{7D0A6833-0647-4C0E-9FE3-04A00D4AD642}"/>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33350C0B-078F-41ED-B542-3A018C78DEF7}"/>
    <cellStyle name="Normal 4 4 2 8 2 2 3" xfId="26317" xr:uid="{5F0F4814-856E-4FEB-9758-DCE77FC1F9D4}"/>
    <cellStyle name="Normal 4 4 2 8 2 2 4" xfId="34757" xr:uid="{AFF3110A-3AFB-42C0-9326-3CDC8175ABF7}"/>
    <cellStyle name="Normal 4 4 2 8 2 3" xfId="13659" xr:uid="{0DEDF75C-C95D-4A54-84BB-B8D936A0D198}"/>
    <cellStyle name="Normal 4 4 2 8 2 4" xfId="22100" xr:uid="{BB446F65-38D3-4DD4-82CB-6A1ABAA9E7E1}"/>
    <cellStyle name="Normal 4 4 2 8 2 5" xfId="30540" xr:uid="{EE230036-AF78-40F3-9102-2A36B5433CBA}"/>
    <cellStyle name="Normal 4 4 2 8 3" xfId="6405" xr:uid="{00000000-0005-0000-0000-000061150000}"/>
    <cellStyle name="Normal 4 4 2 8 3 2" xfId="15731" xr:uid="{EFD6E306-72D8-4896-B0CE-FA98B94D466F}"/>
    <cellStyle name="Normal 4 4 2 8 3 3" xfId="24172" xr:uid="{BF5A5606-E382-4DFC-AB8E-88757F546A83}"/>
    <cellStyle name="Normal 4 4 2 8 3 4" xfId="32612" xr:uid="{DAAE2813-110E-42BE-9FE0-40DA61C94FBF}"/>
    <cellStyle name="Normal 4 4 2 8 4" xfId="11514" xr:uid="{9AB177BD-4846-4BF1-9A38-61255DF07CE1}"/>
    <cellStyle name="Normal 4 4 2 8 5" xfId="19955" xr:uid="{8092F9E5-C3F4-4E5E-AD3D-6F3FC0EB483A}"/>
    <cellStyle name="Normal 4 4 2 8 6" xfId="28395" xr:uid="{C627984B-EFA1-42F9-A5A5-33877B51B60E}"/>
    <cellStyle name="Normal 4 4 2 9" xfId="2535" xr:uid="{00000000-0005-0000-0000-000062150000}"/>
    <cellStyle name="Normal 4 4 2 9 2" xfId="6818" xr:uid="{00000000-0005-0000-0000-000063150000}"/>
    <cellStyle name="Normal 4 4 2 9 2 2" xfId="16144" xr:uid="{337C57F8-2060-41E6-A596-73556F95E9CF}"/>
    <cellStyle name="Normal 4 4 2 9 2 3" xfId="24585" xr:uid="{51E4E52E-C4E9-4CDA-B7A9-7040EA954D67}"/>
    <cellStyle name="Normal 4 4 2 9 2 4" xfId="33025" xr:uid="{1A1E4584-4779-48E1-B441-CF07E17575F0}"/>
    <cellStyle name="Normal 4 4 2 9 3" xfId="11927" xr:uid="{BF733BD9-BC26-4F0B-A7EA-456298E76114}"/>
    <cellStyle name="Normal 4 4 2 9 4" xfId="20368" xr:uid="{F58DC92C-7DA3-4FAC-9CFF-297FE6ABDC3F}"/>
    <cellStyle name="Normal 4 4 2 9 5" xfId="28808" xr:uid="{5A8041BB-FF10-4197-9967-1AAF3390EF7D}"/>
    <cellStyle name="Normal 4 4 3" xfId="387" xr:uid="{00000000-0005-0000-0000-000064150000}"/>
    <cellStyle name="Normal 4 4 3 10" xfId="8823" xr:uid="{E623F102-F69B-4FD0-BEDA-A1480AF4D892}"/>
    <cellStyle name="Normal 4 4 3 11" xfId="9870" xr:uid="{771CB6CD-8465-4F62-8C47-62A65587CBFA}"/>
    <cellStyle name="Normal 4 4 3 12" xfId="18311" xr:uid="{87E9CFA0-830B-40FA-9AAD-C90FD2BF676F}"/>
    <cellStyle name="Normal 4 4 3 13" xfId="26751" xr:uid="{6B388989-6F0F-4981-9E01-CFF113DEE8BC}"/>
    <cellStyle name="Normal 4 4 3 2" xfId="388" xr:uid="{00000000-0005-0000-0000-000065150000}"/>
    <cellStyle name="Normal 4 4 3 2 10" xfId="9871" xr:uid="{36065EF6-EF9E-4188-9CFA-5C969180DD76}"/>
    <cellStyle name="Normal 4 4 3 2 11" xfId="18312" xr:uid="{E9EE19DD-B8EF-4D56-8A03-B1650B48E3CC}"/>
    <cellStyle name="Normal 4 4 3 2 12" xfId="26752" xr:uid="{23512703-984F-4DFF-ACFB-2C5BAD5CB3AD}"/>
    <cellStyle name="Normal 4 4 3 2 2" xfId="389" xr:uid="{00000000-0005-0000-0000-000066150000}"/>
    <cellStyle name="Normal 4 4 3 2 2 10" xfId="18313" xr:uid="{F39CF563-B462-4A9C-BB94-28001479C295}"/>
    <cellStyle name="Normal 4 4 3 2 2 11" xfId="26753" xr:uid="{7A4D50C8-FC9E-4157-834A-7CBFB6CE18B8}"/>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141F088F-8BCD-44E1-AEBC-389069A87FDB}"/>
    <cellStyle name="Normal 4 4 3 2 2 2 2 2 3" xfId="25088" xr:uid="{FC4619A5-E519-4E36-AEB9-3BB07BCDD41D}"/>
    <cellStyle name="Normal 4 4 3 2 2 2 2 2 4" xfId="33528" xr:uid="{51108CFD-D6BC-4D85-A170-FAED4169238A}"/>
    <cellStyle name="Normal 4 4 3 2 2 2 2 3" xfId="12430" xr:uid="{DE8797D4-7519-48E0-A1C2-CC8A40480EAF}"/>
    <cellStyle name="Normal 4 4 3 2 2 2 2 4" xfId="20871" xr:uid="{6453428C-C6D4-48B3-BC13-B476D505D4ED}"/>
    <cellStyle name="Normal 4 4 3 2 2 2 2 5" xfId="29311" xr:uid="{2E302A4A-1DC9-4973-9D99-F351CB9DC49E}"/>
    <cellStyle name="Normal 4 4 3 2 2 2 3" xfId="5176" xr:uid="{00000000-0005-0000-0000-00006A150000}"/>
    <cellStyle name="Normal 4 4 3 2 2 2 3 2" xfId="14502" xr:uid="{87A52EB8-B60E-4A48-A951-17EEEA467E12}"/>
    <cellStyle name="Normal 4 4 3 2 2 2 3 3" xfId="22943" xr:uid="{053E22DA-0893-491E-8B69-F2B80FF377D1}"/>
    <cellStyle name="Normal 4 4 3 2 2 2 3 4" xfId="31383" xr:uid="{2BD5C9AE-D85A-402E-9935-94D84112E4A0}"/>
    <cellStyle name="Normal 4 4 3 2 2 2 4" xfId="9558" xr:uid="{8C9519E6-5920-473D-9749-EC61E4877632}"/>
    <cellStyle name="Normal 4 4 3 2 2 2 5" xfId="10285" xr:uid="{FCBC563D-562C-4ED6-B31B-EC9E284DE9B7}"/>
    <cellStyle name="Normal 4 4 3 2 2 2 6" xfId="18726" xr:uid="{E21ABAD4-2A80-47DD-8146-8464ECE13F21}"/>
    <cellStyle name="Normal 4 4 3 2 2 2 7" xfId="27166" xr:uid="{88902C5A-C36F-4E15-AAE7-23933D4765CE}"/>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D2C09BF9-A635-42D8-94C2-74FBC71965DD}"/>
    <cellStyle name="Normal 4 4 3 2 2 3 2 2 3" xfId="25501" xr:uid="{D7BE791E-8378-4B3E-81F2-C80932456656}"/>
    <cellStyle name="Normal 4 4 3 2 2 3 2 2 4" xfId="33941" xr:uid="{DB29E40A-DA8B-40E9-B16A-BB3EB22E5CF8}"/>
    <cellStyle name="Normal 4 4 3 2 2 3 2 3" xfId="12843" xr:uid="{3D4F861D-CABF-41F3-893D-512EFC94CDC2}"/>
    <cellStyle name="Normal 4 4 3 2 2 3 2 4" xfId="21284" xr:uid="{1CBD04FA-4700-4D1A-AC15-1C34F338E25F}"/>
    <cellStyle name="Normal 4 4 3 2 2 3 2 5" xfId="29724" xr:uid="{3A644E49-C1E8-4834-92B9-B0AFF4298C79}"/>
    <cellStyle name="Normal 4 4 3 2 2 3 3" xfId="5589" xr:uid="{00000000-0005-0000-0000-00006E150000}"/>
    <cellStyle name="Normal 4 4 3 2 2 3 3 2" xfId="14915" xr:uid="{AFF4F6AC-33D8-442D-8FDB-EE2E4E3CE93B}"/>
    <cellStyle name="Normal 4 4 3 2 2 3 3 3" xfId="23356" xr:uid="{F19255BE-4FA5-4FA8-8D04-2FA07B9B2A0F}"/>
    <cellStyle name="Normal 4 4 3 2 2 3 3 4" xfId="31796" xr:uid="{1F35E60D-086F-4B6C-83FF-474FEF4CFCA3}"/>
    <cellStyle name="Normal 4 4 3 2 2 3 4" xfId="10698" xr:uid="{A8644375-A6C4-4FBF-ADFD-C94478045201}"/>
    <cellStyle name="Normal 4 4 3 2 2 3 5" xfId="19139" xr:uid="{D4BFAF18-14B9-43BB-838E-6F8C4A4D8178}"/>
    <cellStyle name="Normal 4 4 3 2 2 3 6" xfId="27579" xr:uid="{6008FE75-3CF0-45B0-B7C0-688EB3C7DAD2}"/>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E6BB7BE8-74EB-4B38-830A-0FA42FB6205E}"/>
    <cellStyle name="Normal 4 4 3 2 2 4 2 2 3" xfId="25914" xr:uid="{9B72BC85-B49C-40F1-9A76-B27D15AB9DDD}"/>
    <cellStyle name="Normal 4 4 3 2 2 4 2 2 4" xfId="34354" xr:uid="{E4ABF8AF-FAEA-420A-AB11-31E3638800D9}"/>
    <cellStyle name="Normal 4 4 3 2 2 4 2 3" xfId="13256" xr:uid="{BF98652E-7581-4529-9263-C192B779A324}"/>
    <cellStyle name="Normal 4 4 3 2 2 4 2 4" xfId="21697" xr:uid="{4DDEC14D-9B13-4C84-8234-98390EB99E13}"/>
    <cellStyle name="Normal 4 4 3 2 2 4 2 5" xfId="30137" xr:uid="{6E9A7211-E683-4533-8EF9-3E39AD691BBB}"/>
    <cellStyle name="Normal 4 4 3 2 2 4 3" xfId="6002" xr:uid="{00000000-0005-0000-0000-000072150000}"/>
    <cellStyle name="Normal 4 4 3 2 2 4 3 2" xfId="15328" xr:uid="{B3D03F12-BFB4-4559-8B61-D789444A1E7F}"/>
    <cellStyle name="Normal 4 4 3 2 2 4 3 3" xfId="23769" xr:uid="{FA5D5F4D-0203-4719-A840-C898E05007F3}"/>
    <cellStyle name="Normal 4 4 3 2 2 4 3 4" xfId="32209" xr:uid="{F9594065-0C97-48DA-8C32-DCCC67831E3E}"/>
    <cellStyle name="Normal 4 4 3 2 2 4 4" xfId="11111" xr:uid="{03E7AF3F-75D5-4A35-BEE8-98BCDDB693AD}"/>
    <cellStyle name="Normal 4 4 3 2 2 4 5" xfId="19552" xr:uid="{451FEED5-A69C-4169-A20F-EC139300E968}"/>
    <cellStyle name="Normal 4 4 3 2 2 4 6" xfId="27992" xr:uid="{373AED58-ED5A-4E50-85DF-C695075B8F6B}"/>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82A7BE6E-5151-4EF2-878E-261DF4A2C474}"/>
    <cellStyle name="Normal 4 4 3 2 2 5 2 2 3" xfId="26327" xr:uid="{D3536D43-C81A-4DA7-9C57-D2C2CC358E76}"/>
    <cellStyle name="Normal 4 4 3 2 2 5 2 2 4" xfId="34767" xr:uid="{9D26E5C2-F700-479D-B4F1-B553D7CB9E39}"/>
    <cellStyle name="Normal 4 4 3 2 2 5 2 3" xfId="13669" xr:uid="{60B3E53E-6222-4864-8901-60CEA37C7A8E}"/>
    <cellStyle name="Normal 4 4 3 2 2 5 2 4" xfId="22110" xr:uid="{DEE6091F-EA12-46E9-897D-094D144568E8}"/>
    <cellStyle name="Normal 4 4 3 2 2 5 2 5" xfId="30550" xr:uid="{F25BC124-8D96-438B-AE9B-69E0EB45190D}"/>
    <cellStyle name="Normal 4 4 3 2 2 5 3" xfId="6415" xr:uid="{00000000-0005-0000-0000-000076150000}"/>
    <cellStyle name="Normal 4 4 3 2 2 5 3 2" xfId="15741" xr:uid="{0013C5BF-415E-4CAC-9805-5C0D857631B2}"/>
    <cellStyle name="Normal 4 4 3 2 2 5 3 3" xfId="24182" xr:uid="{D66C090D-5941-410E-90B4-58CA573A7E23}"/>
    <cellStyle name="Normal 4 4 3 2 2 5 3 4" xfId="32622" xr:uid="{4F84B96C-BC8C-4C4B-8ABC-0AA0746AADE2}"/>
    <cellStyle name="Normal 4 4 3 2 2 5 4" xfId="11524" xr:uid="{8A4224F9-CBFC-4ACC-A43D-B41AB157B43B}"/>
    <cellStyle name="Normal 4 4 3 2 2 5 5" xfId="19965" xr:uid="{69015A0F-DA54-4582-A019-1167A754467E}"/>
    <cellStyle name="Normal 4 4 3 2 2 5 6" xfId="28405" xr:uid="{85A2EFF5-5E55-467D-A08D-0E4391E8FEC2}"/>
    <cellStyle name="Normal 4 4 3 2 2 6" xfId="2545" xr:uid="{00000000-0005-0000-0000-000077150000}"/>
    <cellStyle name="Normal 4 4 3 2 2 6 2" xfId="6828" xr:uid="{00000000-0005-0000-0000-000078150000}"/>
    <cellStyle name="Normal 4 4 3 2 2 6 2 2" xfId="16154" xr:uid="{860DF422-4F82-4C2B-826C-164EECE7B494}"/>
    <cellStyle name="Normal 4 4 3 2 2 6 2 3" xfId="24595" xr:uid="{7FA33FC6-990B-4BA5-A48B-18FB273CF6B1}"/>
    <cellStyle name="Normal 4 4 3 2 2 6 2 4" xfId="33035" xr:uid="{EB1DC486-BF31-4BC7-95ED-968769793D63}"/>
    <cellStyle name="Normal 4 4 3 2 2 6 3" xfId="11937" xr:uid="{25D42D3E-DFF8-43AF-AB2F-7C8E678B4F08}"/>
    <cellStyle name="Normal 4 4 3 2 2 6 4" xfId="20378" xr:uid="{032FFC12-62DC-452D-AF14-E1A424EEBAE9}"/>
    <cellStyle name="Normal 4 4 3 2 2 6 5" xfId="28818" xr:uid="{A782D7BF-DFBF-4F26-86E5-675C9978A899}"/>
    <cellStyle name="Normal 4 4 3 2 2 7" xfId="4763" xr:uid="{00000000-0005-0000-0000-000079150000}"/>
    <cellStyle name="Normal 4 4 3 2 2 7 2" xfId="14089" xr:uid="{9596C0BF-AC02-405B-B405-C9C84D81CFF9}"/>
    <cellStyle name="Normal 4 4 3 2 2 7 3" xfId="22530" xr:uid="{AEBF63EF-43C4-4B9C-9C6B-C62A600AE6ED}"/>
    <cellStyle name="Normal 4 4 3 2 2 7 4" xfId="30970" xr:uid="{16ED6510-4C01-46EB-8F33-77C32CF9B5BA}"/>
    <cellStyle name="Normal 4 4 3 2 2 8" xfId="9133" xr:uid="{37002A66-D58A-4EF9-8D22-8F1A3EE99E08}"/>
    <cellStyle name="Normal 4 4 3 2 2 9" xfId="9872" xr:uid="{529B0DF9-7D02-4C7E-A2D2-6E180519E966}"/>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6F47A01B-7759-48CF-B7D1-CA2D4761506B}"/>
    <cellStyle name="Normal 4 4 3 2 3 2 2 3" xfId="25087" xr:uid="{590B0938-1E3C-49E3-8810-C14A07B022C8}"/>
    <cellStyle name="Normal 4 4 3 2 3 2 2 4" xfId="33527" xr:uid="{D987B8A3-7914-4888-B6AD-A8E62837DD4D}"/>
    <cellStyle name="Normal 4 4 3 2 3 2 3" xfId="12429" xr:uid="{E01F3076-2AA6-4F87-8523-CDEC4B39BBC8}"/>
    <cellStyle name="Normal 4 4 3 2 3 2 4" xfId="20870" xr:uid="{EE087675-AC89-49FC-BB61-A2C1B345FAF4}"/>
    <cellStyle name="Normal 4 4 3 2 3 2 5" xfId="29310" xr:uid="{056B282C-FD4C-4FD2-9348-8B4296A9209E}"/>
    <cellStyle name="Normal 4 4 3 2 3 3" xfId="5175" xr:uid="{00000000-0005-0000-0000-00007D150000}"/>
    <cellStyle name="Normal 4 4 3 2 3 3 2" xfId="14501" xr:uid="{996BF6F5-5D33-40B7-8B18-98A6829E9180}"/>
    <cellStyle name="Normal 4 4 3 2 3 3 3" xfId="22942" xr:uid="{EC87D47E-D7D3-4A14-9E4B-B895EAE91F17}"/>
    <cellStyle name="Normal 4 4 3 2 3 3 4" xfId="31382" xr:uid="{497E7519-72D7-435F-85DC-BCCDF731479A}"/>
    <cellStyle name="Normal 4 4 3 2 3 4" xfId="9351" xr:uid="{51AD2B95-755A-411D-AA40-98381F5D8294}"/>
    <cellStyle name="Normal 4 4 3 2 3 5" xfId="10284" xr:uid="{40F491CD-B214-4251-984F-E961FA082594}"/>
    <cellStyle name="Normal 4 4 3 2 3 6" xfId="18725" xr:uid="{7FBE0BBB-748E-4520-B929-BA87261A9A4C}"/>
    <cellStyle name="Normal 4 4 3 2 3 7" xfId="27165" xr:uid="{05E33AAC-13D1-4961-8F37-46A251863532}"/>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C6AC60B7-BBBA-4363-8FE5-73AAAEFF2C97}"/>
    <cellStyle name="Normal 4 4 3 2 4 2 2 3" xfId="25500" xr:uid="{3535BAAF-2B3D-489A-AD42-3793ED795301}"/>
    <cellStyle name="Normal 4 4 3 2 4 2 2 4" xfId="33940" xr:uid="{57B46FDA-AECB-47A2-B3BD-CEEDD2A835EA}"/>
    <cellStyle name="Normal 4 4 3 2 4 2 3" xfId="12842" xr:uid="{1B33152E-9855-4AE5-830A-96C8E2BF4BF8}"/>
    <cellStyle name="Normal 4 4 3 2 4 2 4" xfId="21283" xr:uid="{203EC767-8B41-415C-9A10-DB308CEF4625}"/>
    <cellStyle name="Normal 4 4 3 2 4 2 5" xfId="29723" xr:uid="{FD616C91-1B3B-4410-9AC0-C745ED9DEF1F}"/>
    <cellStyle name="Normal 4 4 3 2 4 3" xfId="5588" xr:uid="{00000000-0005-0000-0000-000081150000}"/>
    <cellStyle name="Normal 4 4 3 2 4 3 2" xfId="14914" xr:uid="{ECF24AA8-F8C4-4FED-A5F5-0E07F6ADB6EF}"/>
    <cellStyle name="Normal 4 4 3 2 4 3 3" xfId="23355" xr:uid="{836559F9-F8B2-43A0-958C-8F1F3266A3B1}"/>
    <cellStyle name="Normal 4 4 3 2 4 3 4" xfId="31795" xr:uid="{AD07A07B-E4C2-4133-A714-590BE491D096}"/>
    <cellStyle name="Normal 4 4 3 2 4 4" xfId="10697" xr:uid="{260F62B7-A120-421B-8B5D-821BCCB8955C}"/>
    <cellStyle name="Normal 4 4 3 2 4 5" xfId="19138" xr:uid="{F8E83DD2-BD3A-4BE9-BA9A-AC3BABF19CD3}"/>
    <cellStyle name="Normal 4 4 3 2 4 6" xfId="27578" xr:uid="{F52F9CC6-AD02-4E5E-90D0-20E3276FAB2E}"/>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4DA70FB0-2E9E-4436-8CDD-FE60E0FBD622}"/>
    <cellStyle name="Normal 4 4 3 2 5 2 2 3" xfId="25913" xr:uid="{B94BE49B-673A-4E75-B9D2-18AF5FEE3150}"/>
    <cellStyle name="Normal 4 4 3 2 5 2 2 4" xfId="34353" xr:uid="{261271F4-6F64-4DD6-AA77-232ED9CBFF0A}"/>
    <cellStyle name="Normal 4 4 3 2 5 2 3" xfId="13255" xr:uid="{2663BCA0-BDDD-40D5-B15E-199DE6A9B588}"/>
    <cellStyle name="Normal 4 4 3 2 5 2 4" xfId="21696" xr:uid="{7D583057-DE94-45CE-8C89-A881ED0C8EB4}"/>
    <cellStyle name="Normal 4 4 3 2 5 2 5" xfId="30136" xr:uid="{D045345C-FC04-4491-AF8A-EB198F8882B3}"/>
    <cellStyle name="Normal 4 4 3 2 5 3" xfId="6001" xr:uid="{00000000-0005-0000-0000-000085150000}"/>
    <cellStyle name="Normal 4 4 3 2 5 3 2" xfId="15327" xr:uid="{C36CD8C7-9B39-4FE0-881A-2D4976E588D8}"/>
    <cellStyle name="Normal 4 4 3 2 5 3 3" xfId="23768" xr:uid="{A9ED0C34-56A4-46C7-9664-28EFCAC88612}"/>
    <cellStyle name="Normal 4 4 3 2 5 3 4" xfId="32208" xr:uid="{8537AF16-4184-47FC-96E3-3D6F9B27103F}"/>
    <cellStyle name="Normal 4 4 3 2 5 4" xfId="11110" xr:uid="{DBA9D966-BA18-47CF-8EDD-13A49F32EE0D}"/>
    <cellStyle name="Normal 4 4 3 2 5 5" xfId="19551" xr:uid="{77E99E93-9084-4436-A7EC-AB909F1E7BBE}"/>
    <cellStyle name="Normal 4 4 3 2 5 6" xfId="27991" xr:uid="{F40D56DE-5352-46A3-A18F-A367EEF41919}"/>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FA0B7FA4-D13C-41F2-979C-50AA544C83D6}"/>
    <cellStyle name="Normal 4 4 3 2 6 2 2 3" xfId="26326" xr:uid="{677CF1CA-083D-4BE3-A9A9-892EC654344B}"/>
    <cellStyle name="Normal 4 4 3 2 6 2 2 4" xfId="34766" xr:uid="{E6B60D4C-CB77-4852-ADE4-B189ED7D1C21}"/>
    <cellStyle name="Normal 4 4 3 2 6 2 3" xfId="13668" xr:uid="{FB2BBB8E-884D-4A4B-B74B-4EA8CDFB1E9A}"/>
    <cellStyle name="Normal 4 4 3 2 6 2 4" xfId="22109" xr:uid="{FE86F431-C0D3-4720-B74A-A2F0597AEA6F}"/>
    <cellStyle name="Normal 4 4 3 2 6 2 5" xfId="30549" xr:uid="{5DA30BE3-AC8B-4F92-BCE2-F7324B423702}"/>
    <cellStyle name="Normal 4 4 3 2 6 3" xfId="6414" xr:uid="{00000000-0005-0000-0000-000089150000}"/>
    <cellStyle name="Normal 4 4 3 2 6 3 2" xfId="15740" xr:uid="{402DB6E8-4D74-4D91-8284-50F8E0F60835}"/>
    <cellStyle name="Normal 4 4 3 2 6 3 3" xfId="24181" xr:uid="{7E16BBB1-EF35-4B23-BF81-E3B307665DDE}"/>
    <cellStyle name="Normal 4 4 3 2 6 3 4" xfId="32621" xr:uid="{A27446F0-58C9-4598-893A-B4A8BC1A888C}"/>
    <cellStyle name="Normal 4 4 3 2 6 4" xfId="11523" xr:uid="{1BAFDEB9-201B-4BDE-AC95-B293A59C2E58}"/>
    <cellStyle name="Normal 4 4 3 2 6 5" xfId="19964" xr:uid="{F4B2ADB3-52CF-4FF4-9995-1E77DCA6EAD1}"/>
    <cellStyle name="Normal 4 4 3 2 6 6" xfId="28404" xr:uid="{2C4FCF0C-3A69-4CFF-BCE2-18ACF601544B}"/>
    <cellStyle name="Normal 4 4 3 2 7" xfId="2544" xr:uid="{00000000-0005-0000-0000-00008A150000}"/>
    <cellStyle name="Normal 4 4 3 2 7 2" xfId="6827" xr:uid="{00000000-0005-0000-0000-00008B150000}"/>
    <cellStyle name="Normal 4 4 3 2 7 2 2" xfId="16153" xr:uid="{9A529D69-B0FB-4164-B740-542485F6EFB8}"/>
    <cellStyle name="Normal 4 4 3 2 7 2 3" xfId="24594" xr:uid="{16A88C6E-3218-4C04-B0AF-994F34EE3C72}"/>
    <cellStyle name="Normal 4 4 3 2 7 2 4" xfId="33034" xr:uid="{94A16427-2ED7-46EE-8DB8-E2E2F656CAB4}"/>
    <cellStyle name="Normal 4 4 3 2 7 3" xfId="11936" xr:uid="{C3E4AAC5-7D87-4DAA-ACC8-63F10271F5F8}"/>
    <cellStyle name="Normal 4 4 3 2 7 4" xfId="20377" xr:uid="{F2F45956-1A4A-4D14-824F-6840EC77FF42}"/>
    <cellStyle name="Normal 4 4 3 2 7 5" xfId="28817" xr:uid="{598148EE-25AB-4021-BB0D-E98D00481D68}"/>
    <cellStyle name="Normal 4 4 3 2 8" xfId="4762" xr:uid="{00000000-0005-0000-0000-00008C150000}"/>
    <cellStyle name="Normal 4 4 3 2 8 2" xfId="14088" xr:uid="{CCE8AE28-4FBA-415D-AEF9-BBC5FD9A3B76}"/>
    <cellStyle name="Normal 4 4 3 2 8 3" xfId="22529" xr:uid="{0767F791-A47B-48C4-972E-2AE8802A8AF6}"/>
    <cellStyle name="Normal 4 4 3 2 8 4" xfId="30969" xr:uid="{87A2FEA6-FC51-4535-95DF-F2F6904151D4}"/>
    <cellStyle name="Normal 4 4 3 2 9" xfId="8926" xr:uid="{821D1F47-EF8D-4C64-BA70-5606A81A57B5}"/>
    <cellStyle name="Normal 4 4 3 3" xfId="390" xr:uid="{00000000-0005-0000-0000-00008D150000}"/>
    <cellStyle name="Normal 4 4 3 3 10" xfId="18314" xr:uid="{A9D270D7-E158-4386-8EDB-CB9E906F456D}"/>
    <cellStyle name="Normal 4 4 3 3 11" xfId="26754" xr:uid="{22041A28-EA30-464E-A406-A6712DB3CA21}"/>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F5103864-C3BB-41C2-931C-6B7D526658B3}"/>
    <cellStyle name="Normal 4 4 3 3 2 2 2 3" xfId="25089" xr:uid="{2A82EA34-E2F2-43B3-B2F9-BEE4250C26DF}"/>
    <cellStyle name="Normal 4 4 3 3 2 2 2 4" xfId="33529" xr:uid="{9D7DC8BD-7258-41A8-A837-428C68A4028B}"/>
    <cellStyle name="Normal 4 4 3 3 2 2 3" xfId="12431" xr:uid="{1DC5F395-CAC2-4863-B4D1-C5F0C59E3906}"/>
    <cellStyle name="Normal 4 4 3 3 2 2 4" xfId="20872" xr:uid="{6F618710-ED4C-440E-8801-27D5619D9EC2}"/>
    <cellStyle name="Normal 4 4 3 3 2 2 5" xfId="29312" xr:uid="{1323EFE9-5E7D-472D-BB21-26EAF181F6F5}"/>
    <cellStyle name="Normal 4 4 3 3 2 3" xfId="5177" xr:uid="{00000000-0005-0000-0000-000091150000}"/>
    <cellStyle name="Normal 4 4 3 3 2 3 2" xfId="14503" xr:uid="{B3B34245-414A-4419-89DD-E714D4FE38F7}"/>
    <cellStyle name="Normal 4 4 3 3 2 3 3" xfId="22944" xr:uid="{543D21E9-220E-4563-B42B-B8FF145BE317}"/>
    <cellStyle name="Normal 4 4 3 3 2 3 4" xfId="31384" xr:uid="{2BACB521-2C23-4E27-813A-8341C364F7C6}"/>
    <cellStyle name="Normal 4 4 3 3 2 4" xfId="9455" xr:uid="{E39EB3A2-D99A-426C-AFEC-E4C90C85BE02}"/>
    <cellStyle name="Normal 4 4 3 3 2 5" xfId="10286" xr:uid="{1EDE224D-590F-4BD5-9DA4-40068E48511F}"/>
    <cellStyle name="Normal 4 4 3 3 2 6" xfId="18727" xr:uid="{7D372369-9E3E-4C40-A5B0-7BD46B76D411}"/>
    <cellStyle name="Normal 4 4 3 3 2 7" xfId="27167" xr:uid="{66897E9C-2C6D-48F9-AD5D-3A75B054A8D4}"/>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A70C79E0-18F5-4B49-BBDA-2919A917FFCC}"/>
    <cellStyle name="Normal 4 4 3 3 3 2 2 3" xfId="25502" xr:uid="{E448730E-1B90-4EFE-8F91-3067B70A90DB}"/>
    <cellStyle name="Normal 4 4 3 3 3 2 2 4" xfId="33942" xr:uid="{44EF66DF-6443-4F50-A0F7-F76924C84200}"/>
    <cellStyle name="Normal 4 4 3 3 3 2 3" xfId="12844" xr:uid="{1FFBF310-C6C6-4F7E-B395-664E4EA69081}"/>
    <cellStyle name="Normal 4 4 3 3 3 2 4" xfId="21285" xr:uid="{EA75372F-B344-4744-ACA2-31CA8AD78C2B}"/>
    <cellStyle name="Normal 4 4 3 3 3 2 5" xfId="29725" xr:uid="{D0789878-369B-4C8A-B294-97328FE87C92}"/>
    <cellStyle name="Normal 4 4 3 3 3 3" xfId="5590" xr:uid="{00000000-0005-0000-0000-000095150000}"/>
    <cellStyle name="Normal 4 4 3 3 3 3 2" xfId="14916" xr:uid="{092D250D-DFB2-4DC1-ADF2-7C4AE5EFFB5B}"/>
    <cellStyle name="Normal 4 4 3 3 3 3 3" xfId="23357" xr:uid="{BEED2401-D24C-43BE-8256-5E0A200AF9A2}"/>
    <cellStyle name="Normal 4 4 3 3 3 3 4" xfId="31797" xr:uid="{9E7A0156-E0E6-4F9A-B448-EFBE58E4FB09}"/>
    <cellStyle name="Normal 4 4 3 3 3 4" xfId="10699" xr:uid="{6AD3C601-67D0-4A59-8CAF-D12831CEEF43}"/>
    <cellStyle name="Normal 4 4 3 3 3 5" xfId="19140" xr:uid="{C9930F34-122B-41B5-B1D4-31D6568E969E}"/>
    <cellStyle name="Normal 4 4 3 3 3 6" xfId="27580" xr:uid="{003EDE3C-FE8F-4375-9CA9-A2CA681A6895}"/>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3367CACB-5760-478B-9FE3-22562A3E0DFF}"/>
    <cellStyle name="Normal 4 4 3 3 4 2 2 3" xfId="25915" xr:uid="{000C3571-587F-421E-96AF-5617444C380C}"/>
    <cellStyle name="Normal 4 4 3 3 4 2 2 4" xfId="34355" xr:uid="{2F0A7DD9-AA70-4639-8443-F523D74B9759}"/>
    <cellStyle name="Normal 4 4 3 3 4 2 3" xfId="13257" xr:uid="{4D5CD5D0-323C-4999-9D7F-6AC77102F02A}"/>
    <cellStyle name="Normal 4 4 3 3 4 2 4" xfId="21698" xr:uid="{4D0603A0-BB17-4303-9085-8DD6B957C1C7}"/>
    <cellStyle name="Normal 4 4 3 3 4 2 5" xfId="30138" xr:uid="{785E6177-6FF8-412B-B79D-113CB2D44857}"/>
    <cellStyle name="Normal 4 4 3 3 4 3" xfId="6003" xr:uid="{00000000-0005-0000-0000-000099150000}"/>
    <cellStyle name="Normal 4 4 3 3 4 3 2" xfId="15329" xr:uid="{15D949B4-C86C-4870-9C29-D64C3E1E22AD}"/>
    <cellStyle name="Normal 4 4 3 3 4 3 3" xfId="23770" xr:uid="{0A0FC0AD-AADD-4A15-8E28-64AFB298F6B3}"/>
    <cellStyle name="Normal 4 4 3 3 4 3 4" xfId="32210" xr:uid="{284BF074-B723-4C20-974D-04432E2AA6FB}"/>
    <cellStyle name="Normal 4 4 3 3 4 4" xfId="11112" xr:uid="{B6FA7F46-74AF-4838-89DB-36B1B63B19B4}"/>
    <cellStyle name="Normal 4 4 3 3 4 5" xfId="19553" xr:uid="{47936FB1-9B6C-4DC2-809B-308767868E62}"/>
    <cellStyle name="Normal 4 4 3 3 4 6" xfId="27993" xr:uid="{7EEC3C82-AD89-434C-95BF-CD6756389142}"/>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047CC377-89A5-466C-BE77-D2103BEAA253}"/>
    <cellStyle name="Normal 4 4 3 3 5 2 2 3" xfId="26328" xr:uid="{14A6CBE8-7D8A-48B5-9017-275E704BB017}"/>
    <cellStyle name="Normal 4 4 3 3 5 2 2 4" xfId="34768" xr:uid="{252723BE-6EB4-4577-B284-421DDEDC1AE2}"/>
    <cellStyle name="Normal 4 4 3 3 5 2 3" xfId="13670" xr:uid="{30457852-23AE-4D44-8169-72ABFAB27A0E}"/>
    <cellStyle name="Normal 4 4 3 3 5 2 4" xfId="22111" xr:uid="{89CC7BCB-9AD3-486B-B9FD-3894029C9B5A}"/>
    <cellStyle name="Normal 4 4 3 3 5 2 5" xfId="30551" xr:uid="{B3FCDB47-C8D7-4A20-B81C-7F211706F721}"/>
    <cellStyle name="Normal 4 4 3 3 5 3" xfId="6416" xr:uid="{00000000-0005-0000-0000-00009D150000}"/>
    <cellStyle name="Normal 4 4 3 3 5 3 2" xfId="15742" xr:uid="{5BC40076-8ED6-4343-BC1B-74282B7EEC62}"/>
    <cellStyle name="Normal 4 4 3 3 5 3 3" xfId="24183" xr:uid="{B74E9F42-D71F-46ED-8ACA-FA993C6F5285}"/>
    <cellStyle name="Normal 4 4 3 3 5 3 4" xfId="32623" xr:uid="{D6C5E148-2797-4ACE-85F4-E724988CC365}"/>
    <cellStyle name="Normal 4 4 3 3 5 4" xfId="11525" xr:uid="{6F88F66B-6A82-4192-911F-6F12EB6ED871}"/>
    <cellStyle name="Normal 4 4 3 3 5 5" xfId="19966" xr:uid="{701C37CE-C3DF-4D77-9DCE-A83819944F6D}"/>
    <cellStyle name="Normal 4 4 3 3 5 6" xfId="28406" xr:uid="{5500639C-55BC-44C8-AF72-2A081C22D7D6}"/>
    <cellStyle name="Normal 4 4 3 3 6" xfId="2546" xr:uid="{00000000-0005-0000-0000-00009E150000}"/>
    <cellStyle name="Normal 4 4 3 3 6 2" xfId="6829" xr:uid="{00000000-0005-0000-0000-00009F150000}"/>
    <cellStyle name="Normal 4 4 3 3 6 2 2" xfId="16155" xr:uid="{71F9B6B7-27EE-4FF2-8DD8-0353E355E830}"/>
    <cellStyle name="Normal 4 4 3 3 6 2 3" xfId="24596" xr:uid="{D2FAE7C3-727A-4547-89A4-C5CFB045A581}"/>
    <cellStyle name="Normal 4 4 3 3 6 2 4" xfId="33036" xr:uid="{66A8D481-F306-4A93-8989-5633FC4C159C}"/>
    <cellStyle name="Normal 4 4 3 3 6 3" xfId="11938" xr:uid="{6BBA5429-EB20-42E2-A0E8-CC7E27262954}"/>
    <cellStyle name="Normal 4 4 3 3 6 4" xfId="20379" xr:uid="{E6212865-B690-4E49-B793-7A23024A2529}"/>
    <cellStyle name="Normal 4 4 3 3 6 5" xfId="28819" xr:uid="{041722CB-ED69-4234-88FF-5BF8D9EF5CE1}"/>
    <cellStyle name="Normal 4 4 3 3 7" xfId="4764" xr:uid="{00000000-0005-0000-0000-0000A0150000}"/>
    <cellStyle name="Normal 4 4 3 3 7 2" xfId="14090" xr:uid="{4E2E24E8-F656-4914-B77D-3445E2E3757D}"/>
    <cellStyle name="Normal 4 4 3 3 7 3" xfId="22531" xr:uid="{265D2261-E07B-45D3-BB25-D0B2E5C00A4C}"/>
    <cellStyle name="Normal 4 4 3 3 7 4" xfId="30971" xr:uid="{67B417D4-D887-4E30-A05C-39A84C62C2EB}"/>
    <cellStyle name="Normal 4 4 3 3 8" xfId="9030" xr:uid="{F975DAAD-4546-4770-9976-5C5C66DA227B}"/>
    <cellStyle name="Normal 4 4 3 3 9" xfId="9873" xr:uid="{17311301-002C-4FC6-B2F9-CB898CD85FD4}"/>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71403AD6-BA3E-42A7-9698-8D5C0B9F9827}"/>
    <cellStyle name="Normal 4 4 3 4 2 2 3" xfId="25086" xr:uid="{2E665427-D75F-40EB-9684-AA5863DE0921}"/>
    <cellStyle name="Normal 4 4 3 4 2 2 4" xfId="33526" xr:uid="{33FA2B86-598A-45C3-B136-9FA05649F987}"/>
    <cellStyle name="Normal 4 4 3 4 2 3" xfId="12428" xr:uid="{0BCE2E16-56DC-44CA-912F-FCF4FAF4CF98}"/>
    <cellStyle name="Normal 4 4 3 4 2 4" xfId="20869" xr:uid="{84E1097D-AB0E-4759-BA3C-69A28D5543B7}"/>
    <cellStyle name="Normal 4 4 3 4 2 5" xfId="29309" xr:uid="{43443FE5-9799-4C8F-BECD-00216304D313}"/>
    <cellStyle name="Normal 4 4 3 4 3" xfId="5174" xr:uid="{00000000-0005-0000-0000-0000A4150000}"/>
    <cellStyle name="Normal 4 4 3 4 3 2" xfId="14500" xr:uid="{FFAE1405-0508-4F47-BD47-B358410F6FC1}"/>
    <cellStyle name="Normal 4 4 3 4 3 3" xfId="22941" xr:uid="{33645307-051A-4C0B-A0DC-A27F20F87DED}"/>
    <cellStyle name="Normal 4 4 3 4 3 4" xfId="31381" xr:uid="{20639B86-4D65-4F78-9A6B-D0F4EEFDD722}"/>
    <cellStyle name="Normal 4 4 3 4 4" xfId="9248" xr:uid="{6C5F877B-48E6-47C2-B849-E53F373D5A86}"/>
    <cellStyle name="Normal 4 4 3 4 5" xfId="10283" xr:uid="{C1084620-A112-4454-988F-F6F0675B7D5E}"/>
    <cellStyle name="Normal 4 4 3 4 6" xfId="18724" xr:uid="{126A9D27-855F-4310-B2C5-062624B733E2}"/>
    <cellStyle name="Normal 4 4 3 4 7" xfId="27164" xr:uid="{061BDA79-329B-4DDD-85DA-AD28572F37DE}"/>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5DDF1BB3-3033-49DD-8F4F-EDA4BD7E7DDB}"/>
    <cellStyle name="Normal 4 4 3 5 2 2 3" xfId="25499" xr:uid="{18760B62-C406-4A86-B450-07372C15A4CB}"/>
    <cellStyle name="Normal 4 4 3 5 2 2 4" xfId="33939" xr:uid="{F3F5CDA2-851F-49DB-9496-E893A170BF18}"/>
    <cellStyle name="Normal 4 4 3 5 2 3" xfId="12841" xr:uid="{7637CA16-660E-430D-BD05-01CC4160EAA8}"/>
    <cellStyle name="Normal 4 4 3 5 2 4" xfId="21282" xr:uid="{75898C8D-7F7E-4639-9965-3233EE2AB371}"/>
    <cellStyle name="Normal 4 4 3 5 2 5" xfId="29722" xr:uid="{9A6FB952-C90A-48F7-9DE1-F325BE5F551E}"/>
    <cellStyle name="Normal 4 4 3 5 3" xfId="5587" xr:uid="{00000000-0005-0000-0000-0000A8150000}"/>
    <cellStyle name="Normal 4 4 3 5 3 2" xfId="14913" xr:uid="{5FD2431B-618C-4D0B-8D51-12647752D554}"/>
    <cellStyle name="Normal 4 4 3 5 3 3" xfId="23354" xr:uid="{57B98632-60E7-47B8-AD11-460AE8BA9DC5}"/>
    <cellStyle name="Normal 4 4 3 5 3 4" xfId="31794" xr:uid="{AABA29FF-C2A6-420F-90B2-669132073255}"/>
    <cellStyle name="Normal 4 4 3 5 4" xfId="10696" xr:uid="{40F458A7-86E1-498C-ADF7-1C39E511EBD2}"/>
    <cellStyle name="Normal 4 4 3 5 5" xfId="19137" xr:uid="{E63C92E5-A1E8-4253-BFE9-5EAB6BD92253}"/>
    <cellStyle name="Normal 4 4 3 5 6" xfId="27577" xr:uid="{81243F32-E35E-420D-BCCA-3FE7E28C1BBA}"/>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4D34FFEF-C96B-4929-B7D1-E78E86777281}"/>
    <cellStyle name="Normal 4 4 3 6 2 2 3" xfId="25912" xr:uid="{30B03FD2-A225-4C15-B908-5F0F84ED32F4}"/>
    <cellStyle name="Normal 4 4 3 6 2 2 4" xfId="34352" xr:uid="{888A0560-B8EC-4DB4-BFFD-682F55516F7D}"/>
    <cellStyle name="Normal 4 4 3 6 2 3" xfId="13254" xr:uid="{B72AD1EF-1A4F-4A64-A456-D044AD2BA9D9}"/>
    <cellStyle name="Normal 4 4 3 6 2 4" xfId="21695" xr:uid="{024B86BF-C52A-4664-B805-925B3CD31450}"/>
    <cellStyle name="Normal 4 4 3 6 2 5" xfId="30135" xr:uid="{84112B8F-B278-4656-8E2E-FC9091F5D388}"/>
    <cellStyle name="Normal 4 4 3 6 3" xfId="6000" xr:uid="{00000000-0005-0000-0000-0000AC150000}"/>
    <cellStyle name="Normal 4 4 3 6 3 2" xfId="15326" xr:uid="{319F7F71-E345-4EE2-AAE0-5467AC4EE1E7}"/>
    <cellStyle name="Normal 4 4 3 6 3 3" xfId="23767" xr:uid="{74D743FB-5EBF-42D3-8CB5-38E690E80C14}"/>
    <cellStyle name="Normal 4 4 3 6 3 4" xfId="32207" xr:uid="{5F00DB7E-1F91-46AC-A557-4B3358A3C0CD}"/>
    <cellStyle name="Normal 4 4 3 6 4" xfId="11109" xr:uid="{4049AE5E-1FE4-4A44-9FC4-10C759C30554}"/>
    <cellStyle name="Normal 4 4 3 6 5" xfId="19550" xr:uid="{440C136B-2A6E-4426-A31B-3E3EB799F994}"/>
    <cellStyle name="Normal 4 4 3 6 6" xfId="27990" xr:uid="{00849FAE-F92A-40BE-BA30-CF4F10066D29}"/>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5A57D6BA-004C-48D5-A432-B308AE475F72}"/>
    <cellStyle name="Normal 4 4 3 7 2 2 3" xfId="26325" xr:uid="{763D5AB4-B74F-4EF1-821D-C402BD2DD2AC}"/>
    <cellStyle name="Normal 4 4 3 7 2 2 4" xfId="34765" xr:uid="{8F57C614-F69D-48C8-98FF-85EF7945A563}"/>
    <cellStyle name="Normal 4 4 3 7 2 3" xfId="13667" xr:uid="{DB50292C-E88C-4ADC-A12B-CEF39364ADE1}"/>
    <cellStyle name="Normal 4 4 3 7 2 4" xfId="22108" xr:uid="{99CB9908-6BAE-4A02-B750-19E09AE85501}"/>
    <cellStyle name="Normal 4 4 3 7 2 5" xfId="30548" xr:uid="{E1ACA2F3-552E-4909-9D4D-C8252022EE00}"/>
    <cellStyle name="Normal 4 4 3 7 3" xfId="6413" xr:uid="{00000000-0005-0000-0000-0000B0150000}"/>
    <cellStyle name="Normal 4 4 3 7 3 2" xfId="15739" xr:uid="{2595121F-179B-4F51-9E86-C0B407785F3B}"/>
    <cellStyle name="Normal 4 4 3 7 3 3" xfId="24180" xr:uid="{686135CC-D6BA-47D8-B084-F2FD411D1D3F}"/>
    <cellStyle name="Normal 4 4 3 7 3 4" xfId="32620" xr:uid="{4F6D5F62-8E81-4D98-A8ED-CABD9D6404B5}"/>
    <cellStyle name="Normal 4 4 3 7 4" xfId="11522" xr:uid="{884D6C0B-BBA8-43B2-A3B3-676E49667D7A}"/>
    <cellStyle name="Normal 4 4 3 7 5" xfId="19963" xr:uid="{BC846956-1D48-4DE4-97DC-ED84E816E242}"/>
    <cellStyle name="Normal 4 4 3 7 6" xfId="28403" xr:uid="{5803024B-7CAF-41EE-905A-1A0637246F4C}"/>
    <cellStyle name="Normal 4 4 3 8" xfId="2543" xr:uid="{00000000-0005-0000-0000-0000B1150000}"/>
    <cellStyle name="Normal 4 4 3 8 2" xfId="6826" xr:uid="{00000000-0005-0000-0000-0000B2150000}"/>
    <cellStyle name="Normal 4 4 3 8 2 2" xfId="16152" xr:uid="{29BD2DB1-98D9-46A3-993C-1522B80E7B25}"/>
    <cellStyle name="Normal 4 4 3 8 2 3" xfId="24593" xr:uid="{865B78E0-2E04-49C4-9044-98FED9EA8180}"/>
    <cellStyle name="Normal 4 4 3 8 2 4" xfId="33033" xr:uid="{41C04BFB-6E20-4A1D-A2F1-27555A740BD1}"/>
    <cellStyle name="Normal 4 4 3 8 3" xfId="11935" xr:uid="{F868AED7-D655-4C87-8564-9DCC3587F1D3}"/>
    <cellStyle name="Normal 4 4 3 8 4" xfId="20376" xr:uid="{BC4E66BC-29C8-48B5-898F-B5294CFB493A}"/>
    <cellStyle name="Normal 4 4 3 8 5" xfId="28816" xr:uid="{36C44E54-63E6-4207-B510-AC0083D9899F}"/>
    <cellStyle name="Normal 4 4 3 9" xfId="4761" xr:uid="{00000000-0005-0000-0000-0000B3150000}"/>
    <cellStyle name="Normal 4 4 3 9 2" xfId="14087" xr:uid="{7901364C-821F-4792-BDC1-F671AFBDE0A3}"/>
    <cellStyle name="Normal 4 4 3 9 3" xfId="22528" xr:uid="{588BFA07-6F1C-4B06-BBB1-383CC0A64C2F}"/>
    <cellStyle name="Normal 4 4 3 9 4" xfId="30968" xr:uid="{4C6DA433-1514-44A8-8AAE-5E2DD4C405C2}"/>
    <cellStyle name="Normal 4 4 4" xfId="391" xr:uid="{00000000-0005-0000-0000-0000B4150000}"/>
    <cellStyle name="Normal 4 4 4 10" xfId="9874" xr:uid="{7C1BEABB-444C-4AEB-88E3-2681CAACCA60}"/>
    <cellStyle name="Normal 4 4 4 11" xfId="18315" xr:uid="{84C493B1-7614-4C63-8D4C-F9FCD16C1572}"/>
    <cellStyle name="Normal 4 4 4 12" xfId="26755" xr:uid="{4C4DE386-506D-4B54-B963-DAB513C9EFA2}"/>
    <cellStyle name="Normal 4 4 4 2" xfId="392" xr:uid="{00000000-0005-0000-0000-0000B5150000}"/>
    <cellStyle name="Normal 4 4 4 2 10" xfId="18316" xr:uid="{59C7300D-CE34-48A0-9C97-E695EC016DC3}"/>
    <cellStyle name="Normal 4 4 4 2 11" xfId="26756" xr:uid="{A2EDF1A5-B0A5-4831-9A5D-E8F54294E099}"/>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8E8CAD9E-5D72-4353-9673-EF9395F75B19}"/>
    <cellStyle name="Normal 4 4 4 2 2 2 2 3" xfId="25091" xr:uid="{64B6630E-9A2D-4A58-9CA5-6879EEBBDE7C}"/>
    <cellStyle name="Normal 4 4 4 2 2 2 2 4" xfId="33531" xr:uid="{D397FBA8-8887-4AD5-8415-B8B7DBB0054D}"/>
    <cellStyle name="Normal 4 4 4 2 2 2 3" xfId="12433" xr:uid="{4B8E3FC1-FE32-4250-AFB6-56950B80455B}"/>
    <cellStyle name="Normal 4 4 4 2 2 2 4" xfId="20874" xr:uid="{30C4197D-1EE6-4F00-8511-A4B15E981DA5}"/>
    <cellStyle name="Normal 4 4 4 2 2 2 5" xfId="29314" xr:uid="{07122B5E-73E8-4DDC-8D50-A385B114B487}"/>
    <cellStyle name="Normal 4 4 4 2 2 3" xfId="5179" xr:uid="{00000000-0005-0000-0000-0000B9150000}"/>
    <cellStyle name="Normal 4 4 4 2 2 3 2" xfId="14505" xr:uid="{89867FFB-747C-491C-869F-F25A94031D63}"/>
    <cellStyle name="Normal 4 4 4 2 2 3 3" xfId="22946" xr:uid="{3710DCE7-1349-4FAD-A31F-A71812FE4697}"/>
    <cellStyle name="Normal 4 4 4 2 2 3 4" xfId="31386" xr:uid="{817F349F-E18C-47D3-8BD9-BF8C97E0495F}"/>
    <cellStyle name="Normal 4 4 4 2 2 4" xfId="9484" xr:uid="{69910E0C-08C8-41C5-A6FC-61B52F6CD538}"/>
    <cellStyle name="Normal 4 4 4 2 2 5" xfId="10288" xr:uid="{0FB9DAD8-4D72-4AFF-A5E5-D7A7AE60FF75}"/>
    <cellStyle name="Normal 4 4 4 2 2 6" xfId="18729" xr:uid="{D5179982-B6FA-4136-A96A-7D3E324B0924}"/>
    <cellStyle name="Normal 4 4 4 2 2 7" xfId="27169" xr:uid="{4324E292-1A91-463B-A209-18C41EBE9EC9}"/>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5D112C69-F1A6-41F9-866D-99BB0A346B87}"/>
    <cellStyle name="Normal 4 4 4 2 3 2 2 3" xfId="25504" xr:uid="{4C7EDDBA-889A-4AA2-8426-1DE9F9FFA5B1}"/>
    <cellStyle name="Normal 4 4 4 2 3 2 2 4" xfId="33944" xr:uid="{C383943B-01EF-48CF-AACD-9F9084EB3DB4}"/>
    <cellStyle name="Normal 4 4 4 2 3 2 3" xfId="12846" xr:uid="{3F7F2DDD-60E9-464D-BAD6-B08DE7185CAD}"/>
    <cellStyle name="Normal 4 4 4 2 3 2 4" xfId="21287" xr:uid="{F8870A31-E670-4B53-9DAD-BDBEE5B2C03B}"/>
    <cellStyle name="Normal 4 4 4 2 3 2 5" xfId="29727" xr:uid="{ABB3682F-F74A-4C3C-9474-5CCD685AFC8C}"/>
    <cellStyle name="Normal 4 4 4 2 3 3" xfId="5592" xr:uid="{00000000-0005-0000-0000-0000BD150000}"/>
    <cellStyle name="Normal 4 4 4 2 3 3 2" xfId="14918" xr:uid="{C0F3D282-B792-4337-A5E2-445C528EE858}"/>
    <cellStyle name="Normal 4 4 4 2 3 3 3" xfId="23359" xr:uid="{77110550-99BB-480A-961A-837181E2A24C}"/>
    <cellStyle name="Normal 4 4 4 2 3 3 4" xfId="31799" xr:uid="{2318CC33-C33A-4AFB-929C-A6EEAA78B44B}"/>
    <cellStyle name="Normal 4 4 4 2 3 4" xfId="10701" xr:uid="{3210D9ED-2B22-4583-A1CF-8E35A46AAD67}"/>
    <cellStyle name="Normal 4 4 4 2 3 5" xfId="19142" xr:uid="{EE8351FC-BDFE-425E-9CD9-C36554C70271}"/>
    <cellStyle name="Normal 4 4 4 2 3 6" xfId="27582" xr:uid="{055F92E2-04BE-48E0-A781-131C6354C4AD}"/>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8779FA68-6732-4023-B283-5E985392B61B}"/>
    <cellStyle name="Normal 4 4 4 2 4 2 2 3" xfId="25917" xr:uid="{0E487AE5-E627-49ED-9228-3B5B43590001}"/>
    <cellStyle name="Normal 4 4 4 2 4 2 2 4" xfId="34357" xr:uid="{23CE4597-291B-44DF-A3C8-F84DC7739857}"/>
    <cellStyle name="Normal 4 4 4 2 4 2 3" xfId="13259" xr:uid="{8F50C20E-9BB6-4AD8-8261-3B172B440EA1}"/>
    <cellStyle name="Normal 4 4 4 2 4 2 4" xfId="21700" xr:uid="{818DBEA3-8BE9-4FF2-9520-6CD2384F9257}"/>
    <cellStyle name="Normal 4 4 4 2 4 2 5" xfId="30140" xr:uid="{3939B552-1B2F-4135-BAAD-2681F4157468}"/>
    <cellStyle name="Normal 4 4 4 2 4 3" xfId="6005" xr:uid="{00000000-0005-0000-0000-0000C1150000}"/>
    <cellStyle name="Normal 4 4 4 2 4 3 2" xfId="15331" xr:uid="{56E4BF38-7B97-4868-AD72-2FF54CB4721E}"/>
    <cellStyle name="Normal 4 4 4 2 4 3 3" xfId="23772" xr:uid="{C12C974F-421B-45E0-A271-A58B854BFB87}"/>
    <cellStyle name="Normal 4 4 4 2 4 3 4" xfId="32212" xr:uid="{4ACEEA51-C8CC-4708-BDEB-44304C8A2E00}"/>
    <cellStyle name="Normal 4 4 4 2 4 4" xfId="11114" xr:uid="{7F327399-F1FF-445C-8203-068E1F400911}"/>
    <cellStyle name="Normal 4 4 4 2 4 5" xfId="19555" xr:uid="{9D7366FB-B369-418C-83E3-19A1E96B625D}"/>
    <cellStyle name="Normal 4 4 4 2 4 6" xfId="27995" xr:uid="{E605EAC5-94FD-44CA-9660-64FBE3DC1DD0}"/>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A2B4D261-884A-4BE5-8E58-C027AE4F484D}"/>
    <cellStyle name="Normal 4 4 4 2 5 2 2 3" xfId="26330" xr:uid="{D9077157-2352-4FF8-BD97-1D5879A217FE}"/>
    <cellStyle name="Normal 4 4 4 2 5 2 2 4" xfId="34770" xr:uid="{FF7333FA-416B-4535-8E5E-10D427E9ACBB}"/>
    <cellStyle name="Normal 4 4 4 2 5 2 3" xfId="13672" xr:uid="{D061E239-13CE-4E3C-95C7-A556A6C4E747}"/>
    <cellStyle name="Normal 4 4 4 2 5 2 4" xfId="22113" xr:uid="{AAE54CFA-F519-4B84-A360-A97239447B7E}"/>
    <cellStyle name="Normal 4 4 4 2 5 2 5" xfId="30553" xr:uid="{78283345-D78A-4A90-8E09-634A2187823C}"/>
    <cellStyle name="Normal 4 4 4 2 5 3" xfId="6418" xr:uid="{00000000-0005-0000-0000-0000C5150000}"/>
    <cellStyle name="Normal 4 4 4 2 5 3 2" xfId="15744" xr:uid="{5C23FD89-5BD9-4B6B-8DCF-DE4AF491712E}"/>
    <cellStyle name="Normal 4 4 4 2 5 3 3" xfId="24185" xr:uid="{0419EFEB-50B3-45DF-A902-6AC0E7ED7BD4}"/>
    <cellStyle name="Normal 4 4 4 2 5 3 4" xfId="32625" xr:uid="{4E3DC9B6-276E-4341-B760-B61B729BC0A9}"/>
    <cellStyle name="Normal 4 4 4 2 5 4" xfId="11527" xr:uid="{CDDF6EA9-8B8A-44BE-BE57-F4BD447E6FEE}"/>
    <cellStyle name="Normal 4 4 4 2 5 5" xfId="19968" xr:uid="{88E49B32-D375-4CAD-868D-A2E67676E555}"/>
    <cellStyle name="Normal 4 4 4 2 5 6" xfId="28408" xr:uid="{B56CB097-D5A1-4F48-B421-35B9E9715ABB}"/>
    <cellStyle name="Normal 4 4 4 2 6" xfId="2548" xr:uid="{00000000-0005-0000-0000-0000C6150000}"/>
    <cellStyle name="Normal 4 4 4 2 6 2" xfId="6831" xr:uid="{00000000-0005-0000-0000-0000C7150000}"/>
    <cellStyle name="Normal 4 4 4 2 6 2 2" xfId="16157" xr:uid="{28314350-88F7-41E7-9AED-001641E6F044}"/>
    <cellStyle name="Normal 4 4 4 2 6 2 3" xfId="24598" xr:uid="{D8BD6809-7114-4525-9789-53327F2EEE39}"/>
    <cellStyle name="Normal 4 4 4 2 6 2 4" xfId="33038" xr:uid="{C69A6993-5C13-49A6-A78A-002EA56C660E}"/>
    <cellStyle name="Normal 4 4 4 2 6 3" xfId="11940" xr:uid="{484CEEB4-5730-4ECE-9608-7FCC62D07B00}"/>
    <cellStyle name="Normal 4 4 4 2 6 4" xfId="20381" xr:uid="{81EAC3D9-5D98-40DE-8A58-A70302CB9D3D}"/>
    <cellStyle name="Normal 4 4 4 2 6 5" xfId="28821" xr:uid="{E0DC7928-C83D-49C8-9EDC-B14B4D0ABB3A}"/>
    <cellStyle name="Normal 4 4 4 2 7" xfId="4766" xr:uid="{00000000-0005-0000-0000-0000C8150000}"/>
    <cellStyle name="Normal 4 4 4 2 7 2" xfId="14092" xr:uid="{5FE94941-34AD-42C7-9AC1-31CD8A351C03}"/>
    <cellStyle name="Normal 4 4 4 2 7 3" xfId="22533" xr:uid="{1AB89A92-B1A8-4871-A2C8-F475A9824D20}"/>
    <cellStyle name="Normal 4 4 4 2 7 4" xfId="30973" xr:uid="{9C709BF8-4BF8-4423-8C11-D0DE706ABEF8}"/>
    <cellStyle name="Normal 4 4 4 2 8" xfId="9059" xr:uid="{76617FCA-DBA6-4291-BD32-6340A19903F7}"/>
    <cellStyle name="Normal 4 4 4 2 9" xfId="9875" xr:uid="{DBD06AA2-4985-4672-8E34-C31D5B283548}"/>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6E42E360-8EAE-463B-AA30-1CFF9E1FBC1F}"/>
    <cellStyle name="Normal 4 4 4 3 2 2 3" xfId="25090" xr:uid="{BF43C8E5-E01D-494F-884C-299EE370EDEC}"/>
    <cellStyle name="Normal 4 4 4 3 2 2 4" xfId="33530" xr:uid="{0D230E34-FE40-419B-9104-2B3D9B79F307}"/>
    <cellStyle name="Normal 4 4 4 3 2 3" xfId="12432" xr:uid="{DCFA6B5B-320A-483A-9EDD-F3BDD3DE4488}"/>
    <cellStyle name="Normal 4 4 4 3 2 4" xfId="20873" xr:uid="{B97BD514-9D52-4A7A-877D-7DF016EED705}"/>
    <cellStyle name="Normal 4 4 4 3 2 5" xfId="29313" xr:uid="{10935746-7F19-4A6C-836F-D388AD284D84}"/>
    <cellStyle name="Normal 4 4 4 3 3" xfId="5178" xr:uid="{00000000-0005-0000-0000-0000CC150000}"/>
    <cellStyle name="Normal 4 4 4 3 3 2" xfId="14504" xr:uid="{1DA9A671-798E-4A68-9674-7E5008768DEE}"/>
    <cellStyle name="Normal 4 4 4 3 3 3" xfId="22945" xr:uid="{A1F674F8-795B-4B23-9496-0154F60D0C8A}"/>
    <cellStyle name="Normal 4 4 4 3 3 4" xfId="31385" xr:uid="{C0DBFC2F-539F-44E3-BFC7-C7CEB02FEF9F}"/>
    <cellStyle name="Normal 4 4 4 3 4" xfId="9277" xr:uid="{DD01CD29-2559-4BCC-919C-99D1D75C445F}"/>
    <cellStyle name="Normal 4 4 4 3 5" xfId="10287" xr:uid="{BEFD0953-21B4-4F73-B2EF-206444A443FB}"/>
    <cellStyle name="Normal 4 4 4 3 6" xfId="18728" xr:uid="{3C5BE5FF-EDBF-451C-BE27-8BBAF0BA2A50}"/>
    <cellStyle name="Normal 4 4 4 3 7" xfId="27168" xr:uid="{F7CCBB1E-CF59-4C80-8DE4-DA3752DF5C6F}"/>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649F00C6-2196-457D-A15D-79E8F09546A7}"/>
    <cellStyle name="Normal 4 4 4 4 2 2 3" xfId="25503" xr:uid="{87D13C97-4A18-4482-863E-6D82B122B080}"/>
    <cellStyle name="Normal 4 4 4 4 2 2 4" xfId="33943" xr:uid="{D379A4B0-3C66-45EB-8880-FAD893A58454}"/>
    <cellStyle name="Normal 4 4 4 4 2 3" xfId="12845" xr:uid="{228B766B-3C1A-4549-A473-3508C982A078}"/>
    <cellStyle name="Normal 4 4 4 4 2 4" xfId="21286" xr:uid="{773F200C-20B3-4809-9BEA-1DB2D3F132EA}"/>
    <cellStyle name="Normal 4 4 4 4 2 5" xfId="29726" xr:uid="{82BA4856-A80F-4416-BF81-A2564371B765}"/>
    <cellStyle name="Normal 4 4 4 4 3" xfId="5591" xr:uid="{00000000-0005-0000-0000-0000D0150000}"/>
    <cellStyle name="Normal 4 4 4 4 3 2" xfId="14917" xr:uid="{B03B1660-B2CC-4BCA-BCF2-A69974A69689}"/>
    <cellStyle name="Normal 4 4 4 4 3 3" xfId="23358" xr:uid="{D1492082-C1F0-4CD3-AACF-566E3C35E072}"/>
    <cellStyle name="Normal 4 4 4 4 3 4" xfId="31798" xr:uid="{E3AAB439-C920-4714-A57E-A69A26559632}"/>
    <cellStyle name="Normal 4 4 4 4 4" xfId="10700" xr:uid="{E2C33255-F59A-4896-A3D3-78E56D96FD9C}"/>
    <cellStyle name="Normal 4 4 4 4 5" xfId="19141" xr:uid="{7F9CF35C-D559-4AAA-8A43-0508729619B5}"/>
    <cellStyle name="Normal 4 4 4 4 6" xfId="27581" xr:uid="{3B23A5C6-19D6-47AF-BA6B-F43A18D66D01}"/>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90389310-B907-4B71-B276-53D270E4A425}"/>
    <cellStyle name="Normal 4 4 4 5 2 2 3" xfId="25916" xr:uid="{D67488BB-A0C3-40A0-B20A-97DA8D455B46}"/>
    <cellStyle name="Normal 4 4 4 5 2 2 4" xfId="34356" xr:uid="{C31CBC70-87C2-4838-B30C-7D83323783C3}"/>
    <cellStyle name="Normal 4 4 4 5 2 3" xfId="13258" xr:uid="{CDAF4A25-5C22-48B4-93C6-18DC4C6037AB}"/>
    <cellStyle name="Normal 4 4 4 5 2 4" xfId="21699" xr:uid="{825543EB-7916-4F91-AEB2-8C6CFF7C1040}"/>
    <cellStyle name="Normal 4 4 4 5 2 5" xfId="30139" xr:uid="{5C529E88-7040-4F03-96C6-ED063F76CD20}"/>
    <cellStyle name="Normal 4 4 4 5 3" xfId="6004" xr:uid="{00000000-0005-0000-0000-0000D4150000}"/>
    <cellStyle name="Normal 4 4 4 5 3 2" xfId="15330" xr:uid="{E1502788-0642-4939-A275-1D8A84DCEF8C}"/>
    <cellStyle name="Normal 4 4 4 5 3 3" xfId="23771" xr:uid="{CCF10FBA-471B-4BC3-92C7-95C723B9678D}"/>
    <cellStyle name="Normal 4 4 4 5 3 4" xfId="32211" xr:uid="{7F5ACDF2-6398-4BFD-8065-1A02505A6D6B}"/>
    <cellStyle name="Normal 4 4 4 5 4" xfId="11113" xr:uid="{6DDDEE19-24A5-47FB-9ACD-C9E401F973E0}"/>
    <cellStyle name="Normal 4 4 4 5 5" xfId="19554" xr:uid="{B441A71D-4300-497E-8AA0-224C9EE1665A}"/>
    <cellStyle name="Normal 4 4 4 5 6" xfId="27994" xr:uid="{DA8C2710-61AB-4E6D-8DA9-C4A0A69FF421}"/>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88E8F992-F1AB-442A-8E4C-3E997DE6E7A7}"/>
    <cellStyle name="Normal 4 4 4 6 2 2 3" xfId="26329" xr:uid="{10041F26-66F0-4FB5-8BF9-F2ECBCBF0CF0}"/>
    <cellStyle name="Normal 4 4 4 6 2 2 4" xfId="34769" xr:uid="{DC21AC89-3AFC-4FF4-9118-4E56F13A4A12}"/>
    <cellStyle name="Normal 4 4 4 6 2 3" xfId="13671" xr:uid="{B88C912A-F704-449F-BF0F-F0C7FFE8CACC}"/>
    <cellStyle name="Normal 4 4 4 6 2 4" xfId="22112" xr:uid="{9958BA60-35E5-43A0-B004-E33B9EEC8532}"/>
    <cellStyle name="Normal 4 4 4 6 2 5" xfId="30552" xr:uid="{23C271F3-2D26-4CD5-A895-5A472BE98FBB}"/>
    <cellStyle name="Normal 4 4 4 6 3" xfId="6417" xr:uid="{00000000-0005-0000-0000-0000D8150000}"/>
    <cellStyle name="Normal 4 4 4 6 3 2" xfId="15743" xr:uid="{BA2FDE6E-A4EF-4382-AADE-9C990CFD1D95}"/>
    <cellStyle name="Normal 4 4 4 6 3 3" xfId="24184" xr:uid="{E80E57B6-347F-4611-93D8-93DB492035B4}"/>
    <cellStyle name="Normal 4 4 4 6 3 4" xfId="32624" xr:uid="{52B42639-B507-46D1-B826-A77044D7371D}"/>
    <cellStyle name="Normal 4 4 4 6 4" xfId="11526" xr:uid="{91E42D04-0513-4E8A-9F77-957E3EA78602}"/>
    <cellStyle name="Normal 4 4 4 6 5" xfId="19967" xr:uid="{73F8C1FC-AAC0-4350-A3D3-1DE0BA7A7B64}"/>
    <cellStyle name="Normal 4 4 4 6 6" xfId="28407" xr:uid="{C0174528-48F8-403D-9949-24637594F0F8}"/>
    <cellStyle name="Normal 4 4 4 7" xfId="2547" xr:uid="{00000000-0005-0000-0000-0000D9150000}"/>
    <cellStyle name="Normal 4 4 4 7 2" xfId="6830" xr:uid="{00000000-0005-0000-0000-0000DA150000}"/>
    <cellStyle name="Normal 4 4 4 7 2 2" xfId="16156" xr:uid="{CB537156-DCD9-4D8E-8F84-FF2E66C2A1ED}"/>
    <cellStyle name="Normal 4 4 4 7 2 3" xfId="24597" xr:uid="{47C9B8B3-C332-487F-9815-FF603D99C5CF}"/>
    <cellStyle name="Normal 4 4 4 7 2 4" xfId="33037" xr:uid="{5B5D017A-4640-4AE7-98AF-94B2B6798DC1}"/>
    <cellStyle name="Normal 4 4 4 7 3" xfId="11939" xr:uid="{BC93D242-74B6-4D30-A587-7E6631F6AA3E}"/>
    <cellStyle name="Normal 4 4 4 7 4" xfId="20380" xr:uid="{DA8F5DEF-2404-4FEF-977D-23C9BE6FD5E9}"/>
    <cellStyle name="Normal 4 4 4 7 5" xfId="28820" xr:uid="{FA6509FE-60C7-46C4-B1D7-DF69C53CBB05}"/>
    <cellStyle name="Normal 4 4 4 8" xfId="4765" xr:uid="{00000000-0005-0000-0000-0000DB150000}"/>
    <cellStyle name="Normal 4 4 4 8 2" xfId="14091" xr:uid="{B172FC07-1183-4D84-86C2-C851EF0235D8}"/>
    <cellStyle name="Normal 4 4 4 8 3" xfId="22532" xr:uid="{9B7F9EB2-98AF-4F03-A6DF-B9F9FAC4B036}"/>
    <cellStyle name="Normal 4 4 4 8 4" xfId="30972" xr:uid="{12256B09-D055-47EF-9A91-A4145255C0F3}"/>
    <cellStyle name="Normal 4 4 4 9" xfId="8852" xr:uid="{DF4BB962-85B1-44B5-A0FE-735796672772}"/>
    <cellStyle name="Normal 4 4 5" xfId="393" xr:uid="{00000000-0005-0000-0000-0000DC150000}"/>
    <cellStyle name="Normal 4 4 5 10" xfId="18317" xr:uid="{5912AB2D-BB4F-4FE7-9273-D12955159536}"/>
    <cellStyle name="Normal 4 4 5 11" xfId="26757" xr:uid="{67B34872-E2B0-4B19-8E78-185F35CB9DA2}"/>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42FDEB36-0160-4A33-B1E9-98D17E5A7A3E}"/>
    <cellStyle name="Normal 4 4 5 2 2 2 3" xfId="25092" xr:uid="{C2B62C1E-50A7-46E1-A408-604C410FDDD4}"/>
    <cellStyle name="Normal 4 4 5 2 2 2 4" xfId="33532" xr:uid="{FABA4E03-C4EC-4AE5-A927-4FEE4046DEBB}"/>
    <cellStyle name="Normal 4 4 5 2 2 3" xfId="12434" xr:uid="{6392A8D8-15AB-45B9-9F66-DD961F3DD882}"/>
    <cellStyle name="Normal 4 4 5 2 2 4" xfId="20875" xr:uid="{FF326D23-18A8-4128-AE20-29F377C80E3B}"/>
    <cellStyle name="Normal 4 4 5 2 2 5" xfId="29315" xr:uid="{39FB67FD-ED1F-47EC-9880-C6A6E5CFC574}"/>
    <cellStyle name="Normal 4 4 5 2 3" xfId="5180" xr:uid="{00000000-0005-0000-0000-0000E0150000}"/>
    <cellStyle name="Normal 4 4 5 2 3 2" xfId="14506" xr:uid="{E875658B-1F60-47D1-B342-C55D7D6F8120}"/>
    <cellStyle name="Normal 4 4 5 2 3 3" xfId="22947" xr:uid="{25B42A14-7432-4C82-A4E3-D1AE2F5B291E}"/>
    <cellStyle name="Normal 4 4 5 2 3 4" xfId="31387" xr:uid="{D8FBEF2B-433B-4B91-9987-37E27E2B715C}"/>
    <cellStyle name="Normal 4 4 5 2 4" xfId="9393" xr:uid="{C2991CC4-4E0B-46C4-B338-C6A1C9BA2DE9}"/>
    <cellStyle name="Normal 4 4 5 2 5" xfId="10289" xr:uid="{33F4B345-880A-4067-A877-7DDD8622090F}"/>
    <cellStyle name="Normal 4 4 5 2 6" xfId="18730" xr:uid="{5AF5E7F6-8272-42A0-953B-7E604CC5BC8B}"/>
    <cellStyle name="Normal 4 4 5 2 7" xfId="27170" xr:uid="{51DA47A8-9DFB-4A15-BB49-5E68DDDE0AF3}"/>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9D94C786-A33F-40BF-8EDD-D3E62C88EAAE}"/>
    <cellStyle name="Normal 4 4 5 3 2 2 3" xfId="25505" xr:uid="{406D155E-6C80-46DA-8A92-182EDC375FD4}"/>
    <cellStyle name="Normal 4 4 5 3 2 2 4" xfId="33945" xr:uid="{71630133-541D-4DFE-923C-CEEA9D8E95C8}"/>
    <cellStyle name="Normal 4 4 5 3 2 3" xfId="12847" xr:uid="{7738AE5D-74DF-47CF-B57D-6635636573A0}"/>
    <cellStyle name="Normal 4 4 5 3 2 4" xfId="21288" xr:uid="{112D5113-4A86-4842-B7D6-261538BBB0AD}"/>
    <cellStyle name="Normal 4 4 5 3 2 5" xfId="29728" xr:uid="{DA7A29B3-F414-449F-A9D9-5A524D3D71BF}"/>
    <cellStyle name="Normal 4 4 5 3 3" xfId="5593" xr:uid="{00000000-0005-0000-0000-0000E4150000}"/>
    <cellStyle name="Normal 4 4 5 3 3 2" xfId="14919" xr:uid="{C11E88CB-796B-4383-B1FA-11D18073A84B}"/>
    <cellStyle name="Normal 4 4 5 3 3 3" xfId="23360" xr:uid="{CB3F4DF0-E6A3-47C9-9936-9C0A134E570F}"/>
    <cellStyle name="Normal 4 4 5 3 3 4" xfId="31800" xr:uid="{AF682FB0-22A6-4622-99EF-9B8D704EB26A}"/>
    <cellStyle name="Normal 4 4 5 3 4" xfId="10702" xr:uid="{9DEA3A5E-43C9-4B76-99D3-F5A34784F5D6}"/>
    <cellStyle name="Normal 4 4 5 3 5" xfId="19143" xr:uid="{8FF8B5FF-2A29-4995-861D-97558B7BFF80}"/>
    <cellStyle name="Normal 4 4 5 3 6" xfId="27583" xr:uid="{7AF418CA-1AC5-4499-AC8C-60F240C1153E}"/>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99F89F7C-1615-43F8-A5C5-55B22E420C5C}"/>
    <cellStyle name="Normal 4 4 5 4 2 2 3" xfId="25918" xr:uid="{ED83BDF1-A802-4172-8862-7C366896A294}"/>
    <cellStyle name="Normal 4 4 5 4 2 2 4" xfId="34358" xr:uid="{D632510F-C222-42F9-97DC-BE9633C49AC4}"/>
    <cellStyle name="Normal 4 4 5 4 2 3" xfId="13260" xr:uid="{CD22A244-52CA-4708-903C-ED3538A7AD7F}"/>
    <cellStyle name="Normal 4 4 5 4 2 4" xfId="21701" xr:uid="{DCFA40A3-8771-48FC-A74E-604A7B4EC1EB}"/>
    <cellStyle name="Normal 4 4 5 4 2 5" xfId="30141" xr:uid="{814106E5-0818-4DBC-ACC9-B778C207DC60}"/>
    <cellStyle name="Normal 4 4 5 4 3" xfId="6006" xr:uid="{00000000-0005-0000-0000-0000E8150000}"/>
    <cellStyle name="Normal 4 4 5 4 3 2" xfId="15332" xr:uid="{F0C19D4C-6D22-4293-853B-CCBFFCF0CD75}"/>
    <cellStyle name="Normal 4 4 5 4 3 3" xfId="23773" xr:uid="{CD6BD095-2FC6-4517-9568-22F63DA6417B}"/>
    <cellStyle name="Normal 4 4 5 4 3 4" xfId="32213" xr:uid="{AA9A0B2B-7F6C-4497-8748-EDA6092E5AC0}"/>
    <cellStyle name="Normal 4 4 5 4 4" xfId="11115" xr:uid="{BA2EF1BE-505E-4E39-8323-8C25D0C6A1BF}"/>
    <cellStyle name="Normal 4 4 5 4 5" xfId="19556" xr:uid="{31D9B3F8-BA9B-4BE1-AAD5-CA953621F64C}"/>
    <cellStyle name="Normal 4 4 5 4 6" xfId="27996" xr:uid="{8BD3F036-D93A-406D-8B38-623EADDE9602}"/>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394B3A04-36E0-4668-ADE5-8963AC2C2DEF}"/>
    <cellStyle name="Normal 4 4 5 5 2 2 3" xfId="26331" xr:uid="{F80D9F80-8BC8-49FA-8155-A3A350946808}"/>
    <cellStyle name="Normal 4 4 5 5 2 2 4" xfId="34771" xr:uid="{F1C71390-8A98-46AF-B912-1371F8C64FEE}"/>
    <cellStyle name="Normal 4 4 5 5 2 3" xfId="13673" xr:uid="{DF65FA97-123F-446B-BC91-A48381875D5D}"/>
    <cellStyle name="Normal 4 4 5 5 2 4" xfId="22114" xr:uid="{BFEA0080-3595-470D-811D-BFAAB972E03A}"/>
    <cellStyle name="Normal 4 4 5 5 2 5" xfId="30554" xr:uid="{0190D96F-9F59-4E14-BDA5-203B98FCAD65}"/>
    <cellStyle name="Normal 4 4 5 5 3" xfId="6419" xr:uid="{00000000-0005-0000-0000-0000EC150000}"/>
    <cellStyle name="Normal 4 4 5 5 3 2" xfId="15745" xr:uid="{C568C276-C742-43ED-9878-C4941CB31B5C}"/>
    <cellStyle name="Normal 4 4 5 5 3 3" xfId="24186" xr:uid="{A5E94263-A36F-4FC2-B10A-5384EECC9D56}"/>
    <cellStyle name="Normal 4 4 5 5 3 4" xfId="32626" xr:uid="{608C4F60-799E-447E-A939-D0807FB70C1F}"/>
    <cellStyle name="Normal 4 4 5 5 4" xfId="11528" xr:uid="{ACA3280D-2382-40DE-B3B9-35BBAC2C2A5C}"/>
    <cellStyle name="Normal 4 4 5 5 5" xfId="19969" xr:uid="{2D310C7B-2388-406D-B14F-8F88602206FD}"/>
    <cellStyle name="Normal 4 4 5 5 6" xfId="28409" xr:uid="{E3277857-1FDC-4CAA-8D08-5FD9CF9E1B8E}"/>
    <cellStyle name="Normal 4 4 5 6" xfId="2549" xr:uid="{00000000-0005-0000-0000-0000ED150000}"/>
    <cellStyle name="Normal 4 4 5 6 2" xfId="6832" xr:uid="{00000000-0005-0000-0000-0000EE150000}"/>
    <cellStyle name="Normal 4 4 5 6 2 2" xfId="16158" xr:uid="{6741AB9A-1717-43A1-8017-B65C9B14E995}"/>
    <cellStyle name="Normal 4 4 5 6 2 3" xfId="24599" xr:uid="{3CBCBA60-9AB0-4CD3-B7A4-0F24F3EF8A4B}"/>
    <cellStyle name="Normal 4 4 5 6 2 4" xfId="33039" xr:uid="{1ED2CD42-969B-4F4B-91AA-7D432D5607F8}"/>
    <cellStyle name="Normal 4 4 5 6 3" xfId="11941" xr:uid="{96837946-E0ED-4711-83A7-50218BB826B1}"/>
    <cellStyle name="Normal 4 4 5 6 4" xfId="20382" xr:uid="{AA34FFA2-CFAF-4A69-A386-5475C92CEB4A}"/>
    <cellStyle name="Normal 4 4 5 6 5" xfId="28822" xr:uid="{4DE5916D-4751-4C8D-AC15-FC75A188EC7A}"/>
    <cellStyle name="Normal 4 4 5 7" xfId="4767" xr:uid="{00000000-0005-0000-0000-0000EF150000}"/>
    <cellStyle name="Normal 4 4 5 7 2" xfId="14093" xr:uid="{10F96EBD-3326-4103-8D9F-3CC0AE546707}"/>
    <cellStyle name="Normal 4 4 5 7 3" xfId="22534" xr:uid="{2832DFCC-EA77-4D7A-AAB9-3E5179ABF40E}"/>
    <cellStyle name="Normal 4 4 5 7 4" xfId="30974" xr:uid="{684CCE7A-14A6-4783-A2BD-91E9F008A02D}"/>
    <cellStyle name="Normal 4 4 5 8" xfId="8968" xr:uid="{BE877DDE-435D-4CBA-84F2-0372D1DDE771}"/>
    <cellStyle name="Normal 4 4 5 9" xfId="9876" xr:uid="{BB1BBD01-1D95-4060-8767-4536FCAADD70}"/>
    <cellStyle name="Normal 4 4 6" xfId="853" xr:uid="{00000000-0005-0000-0000-0000F0150000}"/>
    <cellStyle name="Normal 4 4 6 2" xfId="3088" xr:uid="{00000000-0005-0000-0000-0000F1150000}"/>
    <cellStyle name="Normal 4 4 6 2 2" xfId="7310" xr:uid="{00000000-0005-0000-0000-0000F2150000}"/>
    <cellStyle name="Normal 4 4 6 2 2 2" xfId="16636" xr:uid="{22AF985C-4F1B-4C33-AE20-29E45094195F}"/>
    <cellStyle name="Normal 4 4 6 2 2 3" xfId="25077" xr:uid="{507E0A61-B06E-4329-8330-16E2D7AC731B}"/>
    <cellStyle name="Normal 4 4 6 2 2 4" xfId="33517" xr:uid="{D597A852-E037-4F11-998C-92668E7963F3}"/>
    <cellStyle name="Normal 4 4 6 2 3" xfId="12419" xr:uid="{C416B107-BF49-482F-92C1-33CA9193D665}"/>
    <cellStyle name="Normal 4 4 6 2 4" xfId="20860" xr:uid="{C0B48743-350D-49E6-9B91-9A370D69F431}"/>
    <cellStyle name="Normal 4 4 6 2 5" xfId="29300" xr:uid="{94B5B1CC-82DA-4066-9D17-BCAA2790D390}"/>
    <cellStyle name="Normal 4 4 6 3" xfId="5165" xr:uid="{00000000-0005-0000-0000-0000F3150000}"/>
    <cellStyle name="Normal 4 4 6 3 2" xfId="14491" xr:uid="{E7EC79EC-5653-41AB-AAD7-E36C7590F762}"/>
    <cellStyle name="Normal 4 4 6 3 3" xfId="22932" xr:uid="{32DBA2E9-9172-4576-8532-F1192917EAB9}"/>
    <cellStyle name="Normal 4 4 6 3 4" xfId="31372" xr:uid="{4A4CAE6B-CD1D-4095-BB36-09F14AD92146}"/>
    <cellStyle name="Normal 4 4 6 4" xfId="9171" xr:uid="{C474601B-95F0-4C9E-AB77-B3E61D2A21D7}"/>
    <cellStyle name="Normal 4 4 6 5" xfId="10274" xr:uid="{A28C7C47-060E-48CD-9656-68E58B546962}"/>
    <cellStyle name="Normal 4 4 6 6" xfId="18715" xr:uid="{ACCDD10C-21ED-47A9-899C-0A4F83D17E3F}"/>
    <cellStyle name="Normal 4 4 6 7" xfId="27155" xr:uid="{7D07EBC6-6A9D-463E-BF3F-8CE04EA7D5CD}"/>
    <cellStyle name="Normal 4 4 7" xfId="1271" xr:uid="{00000000-0005-0000-0000-0000F4150000}"/>
    <cellStyle name="Normal 4 4 7 2" xfId="3501" xr:uid="{00000000-0005-0000-0000-0000F5150000}"/>
    <cellStyle name="Normal 4 4 7 2 2" xfId="7723" xr:uid="{00000000-0005-0000-0000-0000F6150000}"/>
    <cellStyle name="Normal 4 4 7 2 2 2" xfId="17049" xr:uid="{CA08ACD0-D6BC-4421-98D6-C38D614B499D}"/>
    <cellStyle name="Normal 4 4 7 2 2 3" xfId="25490" xr:uid="{E7038D89-16D8-457C-8481-48055C4666AB}"/>
    <cellStyle name="Normal 4 4 7 2 2 4" xfId="33930" xr:uid="{396A7063-12FD-40EC-95BF-0E4958074D3E}"/>
    <cellStyle name="Normal 4 4 7 2 3" xfId="12832" xr:uid="{D962CA98-AD86-4FC6-BA19-59C3B2778B19}"/>
    <cellStyle name="Normal 4 4 7 2 4" xfId="21273" xr:uid="{C7AC2BA9-0C59-46A4-98E0-763F50FA6DB8}"/>
    <cellStyle name="Normal 4 4 7 2 5" xfId="29713" xr:uid="{61408B18-2782-4A0C-A7B3-90CABF635DF9}"/>
    <cellStyle name="Normal 4 4 7 3" xfId="5578" xr:uid="{00000000-0005-0000-0000-0000F7150000}"/>
    <cellStyle name="Normal 4 4 7 3 2" xfId="14904" xr:uid="{A5C233B6-049F-43FF-B729-04363DF097F4}"/>
    <cellStyle name="Normal 4 4 7 3 3" xfId="23345" xr:uid="{F59FDF8F-1312-4115-AA47-1F068D22A93E}"/>
    <cellStyle name="Normal 4 4 7 3 4" xfId="31785" xr:uid="{8409C39E-AF50-4CB8-A706-46778EEEACF0}"/>
    <cellStyle name="Normal 4 4 7 4" xfId="10687" xr:uid="{6CE35669-0D4C-45E2-9F7C-483462478A96}"/>
    <cellStyle name="Normal 4 4 7 5" xfId="19128" xr:uid="{8253B171-4D41-4421-AD9A-F6CCF15F33DD}"/>
    <cellStyle name="Normal 4 4 7 6" xfId="27568" xr:uid="{744E9DE9-2C1D-435E-9250-6CFF9ADEFAD1}"/>
    <cellStyle name="Normal 4 4 8" xfId="1684" xr:uid="{00000000-0005-0000-0000-0000F8150000}"/>
    <cellStyle name="Normal 4 4 8 2" xfId="3914" xr:uid="{00000000-0005-0000-0000-0000F9150000}"/>
    <cellStyle name="Normal 4 4 8 2 2" xfId="8136" xr:uid="{00000000-0005-0000-0000-0000FA150000}"/>
    <cellStyle name="Normal 4 4 8 2 2 2" xfId="17462" xr:uid="{7C73944E-45F7-49D3-9651-479EF939BABF}"/>
    <cellStyle name="Normal 4 4 8 2 2 3" xfId="25903" xr:uid="{E3505387-EF6F-49E7-A76C-C08D19D46587}"/>
    <cellStyle name="Normal 4 4 8 2 2 4" xfId="34343" xr:uid="{BDBED7C2-481D-4D2B-97AF-C1AD00D25D38}"/>
    <cellStyle name="Normal 4 4 8 2 3" xfId="13245" xr:uid="{D34EAE72-A803-401A-B037-E0AA1B5A8F46}"/>
    <cellStyle name="Normal 4 4 8 2 4" xfId="21686" xr:uid="{9B058E8C-B60F-411A-8017-0DD0B14E57C4}"/>
    <cellStyle name="Normal 4 4 8 2 5" xfId="30126" xr:uid="{FB2EF327-C8D3-4A45-9CF4-8C4498A09D78}"/>
    <cellStyle name="Normal 4 4 8 3" xfId="5991" xr:uid="{00000000-0005-0000-0000-0000FB150000}"/>
    <cellStyle name="Normal 4 4 8 3 2" xfId="15317" xr:uid="{7FD11283-20A3-4432-8CA6-CB0C41D602B8}"/>
    <cellStyle name="Normal 4 4 8 3 3" xfId="23758" xr:uid="{B6511531-A2CD-4733-B621-ECEDC9190846}"/>
    <cellStyle name="Normal 4 4 8 3 4" xfId="32198" xr:uid="{2ED2FB9B-B13A-4AD1-AD4E-4F5674811ADA}"/>
    <cellStyle name="Normal 4 4 8 4" xfId="11100" xr:uid="{9A8B1826-1EBA-48A5-961E-2E1C0EBCBF4A}"/>
    <cellStyle name="Normal 4 4 8 5" xfId="19541" xr:uid="{E4FE5229-991C-4E8B-A53E-CAA7CDAD6663}"/>
    <cellStyle name="Normal 4 4 8 6" xfId="27981" xr:uid="{C4F3B683-1CC4-41FA-AE45-D64EAAB0997E}"/>
    <cellStyle name="Normal 4 4 9" xfId="2098" xr:uid="{00000000-0005-0000-0000-0000FC150000}"/>
    <cellStyle name="Normal 4 4 9 2" xfId="4327" xr:uid="{00000000-0005-0000-0000-0000FD150000}"/>
    <cellStyle name="Normal 4 4 9 2 2" xfId="8549" xr:uid="{00000000-0005-0000-0000-0000FE150000}"/>
    <cellStyle name="Normal 4 4 9 2 2 2" xfId="17875" xr:uid="{C63C70EE-DC49-40D0-9EC4-30353EE670EB}"/>
    <cellStyle name="Normal 4 4 9 2 2 3" xfId="26316" xr:uid="{A9764402-4258-4C66-9E5D-6D1BFC5B9194}"/>
    <cellStyle name="Normal 4 4 9 2 2 4" xfId="34756" xr:uid="{6289F2C9-192A-4C0F-BF1A-6E83EB994870}"/>
    <cellStyle name="Normal 4 4 9 2 3" xfId="13658" xr:uid="{D4061BD7-C103-4D17-8DA0-748FB7EA82E6}"/>
    <cellStyle name="Normal 4 4 9 2 4" xfId="22099" xr:uid="{BFE145B8-6892-4F57-AF00-E83FF4CF05C8}"/>
    <cellStyle name="Normal 4 4 9 2 5" xfId="30539" xr:uid="{E6831E23-670E-4E68-BE13-73223BE45BAE}"/>
    <cellStyle name="Normal 4 4 9 3" xfId="6404" xr:uid="{00000000-0005-0000-0000-0000FF150000}"/>
    <cellStyle name="Normal 4 4 9 3 2" xfId="15730" xr:uid="{8BFA8120-4DCA-4A3A-B138-08596AE5DE5B}"/>
    <cellStyle name="Normal 4 4 9 3 3" xfId="24171" xr:uid="{D9E24EBB-6F94-4B5C-A38B-834EFD233F92}"/>
    <cellStyle name="Normal 4 4 9 3 4" xfId="32611" xr:uid="{7A9A2B55-100D-4323-8F3B-566B87F14C40}"/>
    <cellStyle name="Normal 4 4 9 4" xfId="11513" xr:uid="{A0AE89F6-C6BB-4E49-A142-DBF8333D2631}"/>
    <cellStyle name="Normal 4 4 9 5" xfId="19954" xr:uid="{48C53F54-3208-4165-9139-80D9AF82F9E7}"/>
    <cellStyle name="Normal 4 4 9 6" xfId="28394" xr:uid="{5F3029FD-F48F-4D87-A904-1F43441087E0}"/>
    <cellStyle name="Normal 4 5" xfId="394" xr:uid="{00000000-0005-0000-0000-000000160000}"/>
    <cellStyle name="Normal 4 6" xfId="395" xr:uid="{00000000-0005-0000-0000-000001160000}"/>
    <cellStyle name="Normal 4 6 10" xfId="4768" xr:uid="{00000000-0005-0000-0000-000002160000}"/>
    <cellStyle name="Normal 4 6 10 2" xfId="14094" xr:uid="{20DA3F25-3902-46AC-A094-17A3F1B9329B}"/>
    <cellStyle name="Normal 4 6 10 3" xfId="22535" xr:uid="{3E7BEFFE-6AE9-4180-B7A6-28C5AF821206}"/>
    <cellStyle name="Normal 4 6 10 4" xfId="30975" xr:uid="{82BA49CC-E9C8-4C78-AD19-667899A14DB1}"/>
    <cellStyle name="Normal 4 6 11" xfId="8772" xr:uid="{23628FEE-4113-4B2C-B2A0-0106FC7F55C2}"/>
    <cellStyle name="Normal 4 6 12" xfId="9877" xr:uid="{5C885DB7-B1D1-46AC-A6BC-427FEF96BDBE}"/>
    <cellStyle name="Normal 4 6 13" xfId="18318" xr:uid="{1703BA6D-72B0-43A9-83F0-55EA2E00B1E6}"/>
    <cellStyle name="Normal 4 6 14" xfId="26758" xr:uid="{E3C7DF72-CC71-4DB0-B4A8-811665647D45}"/>
    <cellStyle name="Normal 4 6 2" xfId="396" xr:uid="{00000000-0005-0000-0000-000003160000}"/>
    <cellStyle name="Normal 4 6 2 10" xfId="8825" xr:uid="{C3062495-9D56-441B-95F6-B73E7DAC524C}"/>
    <cellStyle name="Normal 4 6 2 11" xfId="9878" xr:uid="{2AABED9D-8A42-44D7-B263-A96030DDDB5D}"/>
    <cellStyle name="Normal 4 6 2 12" xfId="18319" xr:uid="{720CC7B3-74D5-44F7-AA07-1185F08A38C1}"/>
    <cellStyle name="Normal 4 6 2 13" xfId="26759" xr:uid="{25F0EC6B-AFEC-4423-A6C4-AE1F8F589465}"/>
    <cellStyle name="Normal 4 6 2 2" xfId="397" xr:uid="{00000000-0005-0000-0000-000004160000}"/>
    <cellStyle name="Normal 4 6 2 2 10" xfId="9879" xr:uid="{D8B3812D-0A75-43AB-82E8-C72C10C61BDC}"/>
    <cellStyle name="Normal 4 6 2 2 11" xfId="18320" xr:uid="{2FAA8EF1-9825-483B-8D40-C0FB97AF1E6D}"/>
    <cellStyle name="Normal 4 6 2 2 12" xfId="26760" xr:uid="{350A2138-5DDF-4A42-BF3D-14BCDEA59458}"/>
    <cellStyle name="Normal 4 6 2 2 2" xfId="398" xr:uid="{00000000-0005-0000-0000-000005160000}"/>
    <cellStyle name="Normal 4 6 2 2 2 10" xfId="18321" xr:uid="{BDCF7AB1-BED4-459B-BA8E-89780B3FEDAC}"/>
    <cellStyle name="Normal 4 6 2 2 2 11" xfId="26761" xr:uid="{57179B86-64F0-4382-8EE4-8BD6E586B51F}"/>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5397180F-2465-4D8B-AEA6-2196B5A9FED5}"/>
    <cellStyle name="Normal 4 6 2 2 2 2 2 2 3" xfId="25096" xr:uid="{C3D02C31-5576-4485-86B3-C144F60AD08B}"/>
    <cellStyle name="Normal 4 6 2 2 2 2 2 2 4" xfId="33536" xr:uid="{C4698DCB-AAFB-4B52-8616-3D7462A42EE2}"/>
    <cellStyle name="Normal 4 6 2 2 2 2 2 3" xfId="12438" xr:uid="{6CB2477F-EB71-4B47-A41A-CECB54F09627}"/>
    <cellStyle name="Normal 4 6 2 2 2 2 2 4" xfId="20879" xr:uid="{09B620FC-AC6C-480B-8066-8B50DFD2EB7C}"/>
    <cellStyle name="Normal 4 6 2 2 2 2 2 5" xfId="29319" xr:uid="{40FC30DB-F9E3-4174-906F-EECEEDA21365}"/>
    <cellStyle name="Normal 4 6 2 2 2 2 3" xfId="5184" xr:uid="{00000000-0005-0000-0000-000009160000}"/>
    <cellStyle name="Normal 4 6 2 2 2 2 3 2" xfId="14510" xr:uid="{243C5902-3717-4987-BF85-D49ECDAD9E40}"/>
    <cellStyle name="Normal 4 6 2 2 2 2 3 3" xfId="22951" xr:uid="{7985FCE2-709D-4DDB-803E-288B970AA4FB}"/>
    <cellStyle name="Normal 4 6 2 2 2 2 3 4" xfId="31391" xr:uid="{B2E988B1-E611-4032-A3AC-061AF048D68B}"/>
    <cellStyle name="Normal 4 6 2 2 2 2 4" xfId="9560" xr:uid="{04DAEE11-A96E-4522-8546-8A0C107E12B9}"/>
    <cellStyle name="Normal 4 6 2 2 2 2 5" xfId="10293" xr:uid="{B2AB0552-1543-44D1-99EF-5815ACEC83F6}"/>
    <cellStyle name="Normal 4 6 2 2 2 2 6" xfId="18734" xr:uid="{17E5A392-4AC4-4064-9218-EF0C7A99FD56}"/>
    <cellStyle name="Normal 4 6 2 2 2 2 7" xfId="27174" xr:uid="{00DBCC79-AA1E-4620-AEDE-2112AC64FFCB}"/>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DEBB3DBF-F5F4-4783-8598-07AAAA716A7B}"/>
    <cellStyle name="Normal 4 6 2 2 2 3 2 2 3" xfId="25509" xr:uid="{2CCDDA5A-03E1-4058-876F-0707222738F2}"/>
    <cellStyle name="Normal 4 6 2 2 2 3 2 2 4" xfId="33949" xr:uid="{CF6DBAC3-B490-438E-805E-FAF80ED560AA}"/>
    <cellStyle name="Normal 4 6 2 2 2 3 2 3" xfId="12851" xr:uid="{7AD6C037-C1C1-40D0-BD46-60BDBDB6D58F}"/>
    <cellStyle name="Normal 4 6 2 2 2 3 2 4" xfId="21292" xr:uid="{4FD59503-8CB0-410F-A07A-4072635B6021}"/>
    <cellStyle name="Normal 4 6 2 2 2 3 2 5" xfId="29732" xr:uid="{384B2776-C514-4820-865A-CAAAF19048A0}"/>
    <cellStyle name="Normal 4 6 2 2 2 3 3" xfId="5597" xr:uid="{00000000-0005-0000-0000-00000D160000}"/>
    <cellStyle name="Normal 4 6 2 2 2 3 3 2" xfId="14923" xr:uid="{1F6CAFF0-9C82-4AD4-B08E-1FAB392B37BF}"/>
    <cellStyle name="Normal 4 6 2 2 2 3 3 3" xfId="23364" xr:uid="{26DC630B-3E95-45C9-B0DD-7AFC013DFA41}"/>
    <cellStyle name="Normal 4 6 2 2 2 3 3 4" xfId="31804" xr:uid="{E3BBEEE9-56A3-4E6B-AA6B-5C4725DFE141}"/>
    <cellStyle name="Normal 4 6 2 2 2 3 4" xfId="10706" xr:uid="{DF6B4D27-30B7-4B58-BB32-C3F27C280697}"/>
    <cellStyle name="Normal 4 6 2 2 2 3 5" xfId="19147" xr:uid="{0A8FE017-D731-40B7-BD7D-C806EDC37DBF}"/>
    <cellStyle name="Normal 4 6 2 2 2 3 6" xfId="27587" xr:uid="{4B5E75BC-1C54-4E50-AE87-3B3FFC044197}"/>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11F810B0-5396-442B-A596-EE91939EC961}"/>
    <cellStyle name="Normal 4 6 2 2 2 4 2 2 3" xfId="25922" xr:uid="{87CE8642-190D-49AD-98A2-4CCE905E69C8}"/>
    <cellStyle name="Normal 4 6 2 2 2 4 2 2 4" xfId="34362" xr:uid="{FEE67AE0-430D-43A7-855D-21773FE10BB0}"/>
    <cellStyle name="Normal 4 6 2 2 2 4 2 3" xfId="13264" xr:uid="{B54942BA-BA06-4CBD-BC0F-2AEAC9991768}"/>
    <cellStyle name="Normal 4 6 2 2 2 4 2 4" xfId="21705" xr:uid="{9C3D8E01-5471-4292-B2E8-DF250A30F56D}"/>
    <cellStyle name="Normal 4 6 2 2 2 4 2 5" xfId="30145" xr:uid="{A605176F-1753-494D-B42B-E23C0D77A1FE}"/>
    <cellStyle name="Normal 4 6 2 2 2 4 3" xfId="6010" xr:uid="{00000000-0005-0000-0000-000011160000}"/>
    <cellStyle name="Normal 4 6 2 2 2 4 3 2" xfId="15336" xr:uid="{85902FAA-B441-4449-89C0-4B02BDB64FB1}"/>
    <cellStyle name="Normal 4 6 2 2 2 4 3 3" xfId="23777" xr:uid="{A28AA49D-86A0-49F2-868A-E2135BB0EB79}"/>
    <cellStyle name="Normal 4 6 2 2 2 4 3 4" xfId="32217" xr:uid="{CC5F1C90-6F0C-45E9-94E3-82BF6CD6179F}"/>
    <cellStyle name="Normal 4 6 2 2 2 4 4" xfId="11119" xr:uid="{936ED0C0-2A83-490B-A565-908E65E221A8}"/>
    <cellStyle name="Normal 4 6 2 2 2 4 5" xfId="19560" xr:uid="{2DD448C1-F2A9-4458-BB2A-16D519E89316}"/>
    <cellStyle name="Normal 4 6 2 2 2 4 6" xfId="28000" xr:uid="{45A8A4EF-EA5F-4DF2-AF13-937A394B144F}"/>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23799994-6C98-4994-B2F2-B828A5EB903A}"/>
    <cellStyle name="Normal 4 6 2 2 2 5 2 2 3" xfId="26335" xr:uid="{65EDD56D-A77C-4F8B-BCD6-8ABAA07F24E4}"/>
    <cellStyle name="Normal 4 6 2 2 2 5 2 2 4" xfId="34775" xr:uid="{8F93A58F-DBFA-4C62-9F4C-9EA008F4D89F}"/>
    <cellStyle name="Normal 4 6 2 2 2 5 2 3" xfId="13677" xr:uid="{2CCE5E03-4C2B-407D-8B5B-EAEFAF50EF58}"/>
    <cellStyle name="Normal 4 6 2 2 2 5 2 4" xfId="22118" xr:uid="{4E313664-5660-4C95-AA3B-09DF46A11B34}"/>
    <cellStyle name="Normal 4 6 2 2 2 5 2 5" xfId="30558" xr:uid="{8F524E16-2F92-4BE3-9C03-7DCBAAFF88AC}"/>
    <cellStyle name="Normal 4 6 2 2 2 5 3" xfId="6423" xr:uid="{00000000-0005-0000-0000-000015160000}"/>
    <cellStyle name="Normal 4 6 2 2 2 5 3 2" xfId="15749" xr:uid="{C3CBF997-F514-4218-BABA-A7A2CF36A98E}"/>
    <cellStyle name="Normal 4 6 2 2 2 5 3 3" xfId="24190" xr:uid="{EB2554CD-E6C0-4CBF-B392-BCC81678C805}"/>
    <cellStyle name="Normal 4 6 2 2 2 5 3 4" xfId="32630" xr:uid="{7548940E-99F3-4FFD-9A95-791340A36164}"/>
    <cellStyle name="Normal 4 6 2 2 2 5 4" xfId="11532" xr:uid="{4DC7B0C9-907B-4706-B1ED-90A4F47E8C6F}"/>
    <cellStyle name="Normal 4 6 2 2 2 5 5" xfId="19973" xr:uid="{8EDA8C24-0831-413D-AF4F-5D2F642734E0}"/>
    <cellStyle name="Normal 4 6 2 2 2 5 6" xfId="28413" xr:uid="{0F37E1DF-77B9-4CBD-BFC7-5ACB67F40C99}"/>
    <cellStyle name="Normal 4 6 2 2 2 6" xfId="2553" xr:uid="{00000000-0005-0000-0000-000016160000}"/>
    <cellStyle name="Normal 4 6 2 2 2 6 2" xfId="6836" xr:uid="{00000000-0005-0000-0000-000017160000}"/>
    <cellStyle name="Normal 4 6 2 2 2 6 2 2" xfId="16162" xr:uid="{0E7B3919-F17C-4082-8FE1-D9B81733CB13}"/>
    <cellStyle name="Normal 4 6 2 2 2 6 2 3" xfId="24603" xr:uid="{A7FCE8EA-BF31-42DD-B1CB-5BB56CE19299}"/>
    <cellStyle name="Normal 4 6 2 2 2 6 2 4" xfId="33043" xr:uid="{E5B9E6FE-46EA-4A02-98F5-409E3C4470A3}"/>
    <cellStyle name="Normal 4 6 2 2 2 6 3" xfId="11945" xr:uid="{1D6C7606-5728-4A76-A56B-D5EEA8B7A924}"/>
    <cellStyle name="Normal 4 6 2 2 2 6 4" xfId="20386" xr:uid="{056F1A06-774A-48B8-ABC3-0CC4420C9B87}"/>
    <cellStyle name="Normal 4 6 2 2 2 6 5" xfId="28826" xr:uid="{0767805A-4E98-41E9-80C2-A4F28C12904D}"/>
    <cellStyle name="Normal 4 6 2 2 2 7" xfId="4771" xr:uid="{00000000-0005-0000-0000-000018160000}"/>
    <cellStyle name="Normal 4 6 2 2 2 7 2" xfId="14097" xr:uid="{EF79B432-6823-4354-94CE-298D273F147A}"/>
    <cellStyle name="Normal 4 6 2 2 2 7 3" xfId="22538" xr:uid="{2F277B75-D572-4C8B-84C2-6BD0A6A517A2}"/>
    <cellStyle name="Normal 4 6 2 2 2 7 4" xfId="30978" xr:uid="{E8D6AC6B-775B-42F5-BEEF-D957C58F56EA}"/>
    <cellStyle name="Normal 4 6 2 2 2 8" xfId="9135" xr:uid="{2F4C420F-13DD-45DD-99DD-C7AFF7CD7823}"/>
    <cellStyle name="Normal 4 6 2 2 2 9" xfId="9880" xr:uid="{44CFACDD-E0B9-4B25-956A-78A59BF10E93}"/>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37DE4E65-685B-42BB-B2D9-F465C9069CBE}"/>
    <cellStyle name="Normal 4 6 2 2 3 2 2 3" xfId="25095" xr:uid="{892988A1-C718-4D40-9039-F81874C2F112}"/>
    <cellStyle name="Normal 4 6 2 2 3 2 2 4" xfId="33535" xr:uid="{ED6DE299-F824-476F-B956-B7FD49A32972}"/>
    <cellStyle name="Normal 4 6 2 2 3 2 3" xfId="12437" xr:uid="{E1CD0FBE-7F65-4983-8C38-CB0AA0F25146}"/>
    <cellStyle name="Normal 4 6 2 2 3 2 4" xfId="20878" xr:uid="{AC06F7D1-3CB7-43B9-9D18-44476C9730F2}"/>
    <cellStyle name="Normal 4 6 2 2 3 2 5" xfId="29318" xr:uid="{8368C175-5134-4511-B538-53A41DBA221C}"/>
    <cellStyle name="Normal 4 6 2 2 3 3" xfId="5183" xr:uid="{00000000-0005-0000-0000-00001C160000}"/>
    <cellStyle name="Normal 4 6 2 2 3 3 2" xfId="14509" xr:uid="{0A3C69EE-8404-4AF7-BD97-DBEDA7859264}"/>
    <cellStyle name="Normal 4 6 2 2 3 3 3" xfId="22950" xr:uid="{8D9D458C-1B1C-4055-9C70-70DC733788B0}"/>
    <cellStyle name="Normal 4 6 2 2 3 3 4" xfId="31390" xr:uid="{C0A30910-E73E-4F3C-BDC4-C2251C47BAD0}"/>
    <cellStyle name="Normal 4 6 2 2 3 4" xfId="9353" xr:uid="{60C7EC16-17DE-43AF-A246-41C667B376B7}"/>
    <cellStyle name="Normal 4 6 2 2 3 5" xfId="10292" xr:uid="{26816996-2DA1-44A9-90B5-BFECE791676F}"/>
    <cellStyle name="Normal 4 6 2 2 3 6" xfId="18733" xr:uid="{58A0FCE3-D1CF-4446-AD38-40974CDB4FED}"/>
    <cellStyle name="Normal 4 6 2 2 3 7" xfId="27173" xr:uid="{9BA1A714-316D-4F02-A159-EB5DBF9636D6}"/>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7712656F-08FA-402B-89BE-5089E3648C14}"/>
    <cellStyle name="Normal 4 6 2 2 4 2 2 3" xfId="25508" xr:uid="{54A8CD18-3CAB-455D-828D-9340C34FF97B}"/>
    <cellStyle name="Normal 4 6 2 2 4 2 2 4" xfId="33948" xr:uid="{684289E9-C82F-4C9D-9EA7-66C27BD5238F}"/>
    <cellStyle name="Normal 4 6 2 2 4 2 3" xfId="12850" xr:uid="{47F92D8B-1AF9-4C25-9F5D-9C627D4C6699}"/>
    <cellStyle name="Normal 4 6 2 2 4 2 4" xfId="21291" xr:uid="{BC846583-F63C-4A77-95B2-9DA3D13B60D7}"/>
    <cellStyle name="Normal 4 6 2 2 4 2 5" xfId="29731" xr:uid="{A89264D9-83A3-4E54-A81D-C288EAE6F76A}"/>
    <cellStyle name="Normal 4 6 2 2 4 3" xfId="5596" xr:uid="{00000000-0005-0000-0000-000020160000}"/>
    <cellStyle name="Normal 4 6 2 2 4 3 2" xfId="14922" xr:uid="{DB24516B-BE9B-44CE-B325-530A9D11B695}"/>
    <cellStyle name="Normal 4 6 2 2 4 3 3" xfId="23363" xr:uid="{A29C1201-0566-467B-8858-B9C3C09F4DB5}"/>
    <cellStyle name="Normal 4 6 2 2 4 3 4" xfId="31803" xr:uid="{944C8356-3F07-459A-809E-4B477AF410FB}"/>
    <cellStyle name="Normal 4 6 2 2 4 4" xfId="10705" xr:uid="{EEA23075-9D5E-4271-B160-52D5DBA49792}"/>
    <cellStyle name="Normal 4 6 2 2 4 5" xfId="19146" xr:uid="{F660A49F-8265-4C9F-B0EC-7D540CA1D384}"/>
    <cellStyle name="Normal 4 6 2 2 4 6" xfId="27586" xr:uid="{7FB6B663-234F-45C1-9E43-7861FD46AE45}"/>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7A053F3B-6D4A-4E37-8573-3546C4E1E776}"/>
    <cellStyle name="Normal 4 6 2 2 5 2 2 3" xfId="25921" xr:uid="{11C9FDF1-3AD7-4ADE-AA11-B145F34703E0}"/>
    <cellStyle name="Normal 4 6 2 2 5 2 2 4" xfId="34361" xr:uid="{88DC038C-3E4F-4866-80FD-0AF55FBC01E6}"/>
    <cellStyle name="Normal 4 6 2 2 5 2 3" xfId="13263" xr:uid="{D53A491D-991B-446B-8D78-C13AA812A1AA}"/>
    <cellStyle name="Normal 4 6 2 2 5 2 4" xfId="21704" xr:uid="{04A37FB6-AC8A-40D4-BD72-D3D7C7C4E911}"/>
    <cellStyle name="Normal 4 6 2 2 5 2 5" xfId="30144" xr:uid="{DF610087-7EA1-4EB2-AEE0-74E1FFE3386B}"/>
    <cellStyle name="Normal 4 6 2 2 5 3" xfId="6009" xr:uid="{00000000-0005-0000-0000-000024160000}"/>
    <cellStyle name="Normal 4 6 2 2 5 3 2" xfId="15335" xr:uid="{A4DF920C-0DB6-4369-BFDC-D6BDB974F911}"/>
    <cellStyle name="Normal 4 6 2 2 5 3 3" xfId="23776" xr:uid="{7DF58B39-F0C4-4A18-B615-662AC47410C7}"/>
    <cellStyle name="Normal 4 6 2 2 5 3 4" xfId="32216" xr:uid="{70615D45-C727-4206-BBCE-62AB4C7E790D}"/>
    <cellStyle name="Normal 4 6 2 2 5 4" xfId="11118" xr:uid="{9F091B28-8E84-431C-8B0E-AAF969F2F6E7}"/>
    <cellStyle name="Normal 4 6 2 2 5 5" xfId="19559" xr:uid="{BBC425DF-09D2-43F8-A66F-32B83B3251E1}"/>
    <cellStyle name="Normal 4 6 2 2 5 6" xfId="27999" xr:uid="{A2328FB6-F7BA-42D5-9121-BB0B28C33F96}"/>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1C5F360D-DBA1-4854-B895-6A6D4BFE423B}"/>
    <cellStyle name="Normal 4 6 2 2 6 2 2 3" xfId="26334" xr:uid="{5F49DC57-EE31-4035-B45F-68CB1D352879}"/>
    <cellStyle name="Normal 4 6 2 2 6 2 2 4" xfId="34774" xr:uid="{7BEAB321-E3C2-4323-96CE-9E7991329D2C}"/>
    <cellStyle name="Normal 4 6 2 2 6 2 3" xfId="13676" xr:uid="{3D03C384-AB6A-4670-92E5-C1F4AC7934F4}"/>
    <cellStyle name="Normal 4 6 2 2 6 2 4" xfId="22117" xr:uid="{EF7F7892-F7E3-481B-8B88-456E2718BFB8}"/>
    <cellStyle name="Normal 4 6 2 2 6 2 5" xfId="30557" xr:uid="{438D193D-2461-4903-A888-1C4942D650B7}"/>
    <cellStyle name="Normal 4 6 2 2 6 3" xfId="6422" xr:uid="{00000000-0005-0000-0000-000028160000}"/>
    <cellStyle name="Normal 4 6 2 2 6 3 2" xfId="15748" xr:uid="{907E466F-370E-4FC3-BB4F-2667EE5CDD88}"/>
    <cellStyle name="Normal 4 6 2 2 6 3 3" xfId="24189" xr:uid="{35B8DE88-23C9-4F56-A5CE-4C5C1DFD3069}"/>
    <cellStyle name="Normal 4 6 2 2 6 3 4" xfId="32629" xr:uid="{65637483-E291-47C2-8286-70C39A0888A5}"/>
    <cellStyle name="Normal 4 6 2 2 6 4" xfId="11531" xr:uid="{DF4E4A6F-DBE4-4261-A76A-E6CD31F35747}"/>
    <cellStyle name="Normal 4 6 2 2 6 5" xfId="19972" xr:uid="{FE81651E-A944-4ECA-BFAC-3AF55115812C}"/>
    <cellStyle name="Normal 4 6 2 2 6 6" xfId="28412" xr:uid="{35D31928-BD35-444C-AB63-41A727CFBC3B}"/>
    <cellStyle name="Normal 4 6 2 2 7" xfId="2552" xr:uid="{00000000-0005-0000-0000-000029160000}"/>
    <cellStyle name="Normal 4 6 2 2 7 2" xfId="6835" xr:uid="{00000000-0005-0000-0000-00002A160000}"/>
    <cellStyle name="Normal 4 6 2 2 7 2 2" xfId="16161" xr:uid="{DD4825E8-DF57-41C9-AD58-B1FD9476D1CB}"/>
    <cellStyle name="Normal 4 6 2 2 7 2 3" xfId="24602" xr:uid="{5300FB3C-E646-44C4-8BE3-F0673157095C}"/>
    <cellStyle name="Normal 4 6 2 2 7 2 4" xfId="33042" xr:uid="{F2AC5F2A-D3CA-4E9C-8AA9-1C39C75D4622}"/>
    <cellStyle name="Normal 4 6 2 2 7 3" xfId="11944" xr:uid="{10A3C89C-3935-46FE-AD90-BAF7491CEB95}"/>
    <cellStyle name="Normal 4 6 2 2 7 4" xfId="20385" xr:uid="{02620164-729F-45A5-94BC-E0B7D36FE3DE}"/>
    <cellStyle name="Normal 4 6 2 2 7 5" xfId="28825" xr:uid="{7B1480A3-ED87-40F4-87AC-3A853C406784}"/>
    <cellStyle name="Normal 4 6 2 2 8" xfId="4770" xr:uid="{00000000-0005-0000-0000-00002B160000}"/>
    <cellStyle name="Normal 4 6 2 2 8 2" xfId="14096" xr:uid="{62781091-7E9F-4ABB-9086-561483F6A03E}"/>
    <cellStyle name="Normal 4 6 2 2 8 3" xfId="22537" xr:uid="{29EF3371-9F46-4D44-ACDE-670CAF1D8DE1}"/>
    <cellStyle name="Normal 4 6 2 2 8 4" xfId="30977" xr:uid="{8D33A760-7FB7-4ACF-85D6-151832D94ECA}"/>
    <cellStyle name="Normal 4 6 2 2 9" xfId="8928" xr:uid="{EC58FE5E-68BA-4864-AD86-0F9D1DB17AD0}"/>
    <cellStyle name="Normal 4 6 2 3" xfId="399" xr:uid="{00000000-0005-0000-0000-00002C160000}"/>
    <cellStyle name="Normal 4 6 2 3 10" xfId="18322" xr:uid="{52C8C5B8-D374-4526-883F-7211F5F8427E}"/>
    <cellStyle name="Normal 4 6 2 3 11" xfId="26762" xr:uid="{FC1C694B-F946-4E19-90B4-E2BBC070FE84}"/>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0DBA6C5D-BC29-4389-9287-754B3599E6BF}"/>
    <cellStyle name="Normal 4 6 2 3 2 2 2 3" xfId="25097" xr:uid="{DE5CE5A8-1D23-4268-BD07-921A20CF356A}"/>
    <cellStyle name="Normal 4 6 2 3 2 2 2 4" xfId="33537" xr:uid="{DE193D72-3655-4F1B-B35C-3DD945451C17}"/>
    <cellStyle name="Normal 4 6 2 3 2 2 3" xfId="12439" xr:uid="{C76F21B0-9CD9-469F-BDCF-8703CF2862DE}"/>
    <cellStyle name="Normal 4 6 2 3 2 2 4" xfId="20880" xr:uid="{44C11495-9940-43C9-B38D-B80166329D3A}"/>
    <cellStyle name="Normal 4 6 2 3 2 2 5" xfId="29320" xr:uid="{5C7D402F-9BA0-4B3F-B3FC-0056C9FEEF8B}"/>
    <cellStyle name="Normal 4 6 2 3 2 3" xfId="5185" xr:uid="{00000000-0005-0000-0000-000030160000}"/>
    <cellStyle name="Normal 4 6 2 3 2 3 2" xfId="14511" xr:uid="{37C312FC-B1F5-432A-BB92-E0E45031526C}"/>
    <cellStyle name="Normal 4 6 2 3 2 3 3" xfId="22952" xr:uid="{283E5EA8-4A77-4468-B2A0-F4743FB96A7C}"/>
    <cellStyle name="Normal 4 6 2 3 2 3 4" xfId="31392" xr:uid="{388D454D-19BB-46B2-89F6-2534FFFB981D}"/>
    <cellStyle name="Normal 4 6 2 3 2 4" xfId="9457" xr:uid="{E86AED2D-42AD-49DE-9461-1FA72B82C89E}"/>
    <cellStyle name="Normal 4 6 2 3 2 5" xfId="10294" xr:uid="{E1588C1B-6039-4E96-9228-377D16077D8C}"/>
    <cellStyle name="Normal 4 6 2 3 2 6" xfId="18735" xr:uid="{D9D15C74-4FBA-4B99-9B99-21F1A15F1E1B}"/>
    <cellStyle name="Normal 4 6 2 3 2 7" xfId="27175" xr:uid="{8EC6BFD1-2A71-4365-A1DC-D2669EF63FBC}"/>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D83C2C9B-C6ED-42D9-80E3-424A26D0DEBC}"/>
    <cellStyle name="Normal 4 6 2 3 3 2 2 3" xfId="25510" xr:uid="{95E58A06-DF42-473F-BA1F-5F57B66365FD}"/>
    <cellStyle name="Normal 4 6 2 3 3 2 2 4" xfId="33950" xr:uid="{487A77C5-88F6-48B7-9438-CBC092C7ACDF}"/>
    <cellStyle name="Normal 4 6 2 3 3 2 3" xfId="12852" xr:uid="{5E746141-E65D-416C-93F8-EB0D2BA9C452}"/>
    <cellStyle name="Normal 4 6 2 3 3 2 4" xfId="21293" xr:uid="{A1D15D20-69E9-45C9-B400-0B8DB5100E39}"/>
    <cellStyle name="Normal 4 6 2 3 3 2 5" xfId="29733" xr:uid="{01510B24-455C-4A75-8C9C-E03A67F6BE87}"/>
    <cellStyle name="Normal 4 6 2 3 3 3" xfId="5598" xr:uid="{00000000-0005-0000-0000-000034160000}"/>
    <cellStyle name="Normal 4 6 2 3 3 3 2" xfId="14924" xr:uid="{B11FC1ED-0AD6-4228-A03B-1584B83364F1}"/>
    <cellStyle name="Normal 4 6 2 3 3 3 3" xfId="23365" xr:uid="{786D311C-0EC8-4E02-950C-E6F19DF00202}"/>
    <cellStyle name="Normal 4 6 2 3 3 3 4" xfId="31805" xr:uid="{0CA0C3DC-1472-48D6-A648-2214113CB3F9}"/>
    <cellStyle name="Normal 4 6 2 3 3 4" xfId="10707" xr:uid="{E38DBD5D-E915-4C94-AD0F-B37573AB9B48}"/>
    <cellStyle name="Normal 4 6 2 3 3 5" xfId="19148" xr:uid="{9F82A1A4-2C18-4A43-859D-CCA64EF682F2}"/>
    <cellStyle name="Normal 4 6 2 3 3 6" xfId="27588" xr:uid="{BDEE3CF7-C0B9-4C0F-A716-BCE2DAE10F63}"/>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74A56637-9BD9-40A1-BA6B-923F8E233D76}"/>
    <cellStyle name="Normal 4 6 2 3 4 2 2 3" xfId="25923" xr:uid="{F9563EE7-9E27-4488-940C-A7D14136EAE0}"/>
    <cellStyle name="Normal 4 6 2 3 4 2 2 4" xfId="34363" xr:uid="{AA5F074C-4A0A-47A7-925C-13D5C518D2A5}"/>
    <cellStyle name="Normal 4 6 2 3 4 2 3" xfId="13265" xr:uid="{0FA48370-60BA-4D4C-AC7F-41E7F2C08AB2}"/>
    <cellStyle name="Normal 4 6 2 3 4 2 4" xfId="21706" xr:uid="{88D57006-6FBB-468C-9482-11E84A497781}"/>
    <cellStyle name="Normal 4 6 2 3 4 2 5" xfId="30146" xr:uid="{1974DC8B-81B8-4C39-B25A-14CE7CB33790}"/>
    <cellStyle name="Normal 4 6 2 3 4 3" xfId="6011" xr:uid="{00000000-0005-0000-0000-000038160000}"/>
    <cellStyle name="Normal 4 6 2 3 4 3 2" xfId="15337" xr:uid="{4FD39A61-185D-46BD-8895-157503018297}"/>
    <cellStyle name="Normal 4 6 2 3 4 3 3" xfId="23778" xr:uid="{F970A99A-5C28-42D1-A2CC-49FA0B8A3619}"/>
    <cellStyle name="Normal 4 6 2 3 4 3 4" xfId="32218" xr:uid="{15955DD4-3981-47B1-8F85-DA7B2E083B60}"/>
    <cellStyle name="Normal 4 6 2 3 4 4" xfId="11120" xr:uid="{B0B51889-721F-483C-AF82-6E8601B391D9}"/>
    <cellStyle name="Normal 4 6 2 3 4 5" xfId="19561" xr:uid="{6C5936B0-BF46-49CE-A8CA-319070FC4B08}"/>
    <cellStyle name="Normal 4 6 2 3 4 6" xfId="28001" xr:uid="{8A7AB271-D224-4887-9267-D3BC4416A699}"/>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AE2AAC67-30D1-41D9-915B-0C9242BAFCF8}"/>
    <cellStyle name="Normal 4 6 2 3 5 2 2 3" xfId="26336" xr:uid="{061035E7-F366-4BB5-AFCF-64E388BA3B79}"/>
    <cellStyle name="Normal 4 6 2 3 5 2 2 4" xfId="34776" xr:uid="{6FC57C9B-96B4-4F18-AEE9-842CCE18B807}"/>
    <cellStyle name="Normal 4 6 2 3 5 2 3" xfId="13678" xr:uid="{2156007A-2BFA-4E0D-B70F-A05A649CB8EC}"/>
    <cellStyle name="Normal 4 6 2 3 5 2 4" xfId="22119" xr:uid="{28C4716B-1FB7-46A3-B920-2A1C786687A7}"/>
    <cellStyle name="Normal 4 6 2 3 5 2 5" xfId="30559" xr:uid="{092F8816-000D-44BE-AC84-9198A9271B77}"/>
    <cellStyle name="Normal 4 6 2 3 5 3" xfId="6424" xr:uid="{00000000-0005-0000-0000-00003C160000}"/>
    <cellStyle name="Normal 4 6 2 3 5 3 2" xfId="15750" xr:uid="{C2C671D1-CEEE-466D-B44B-3009918C93A3}"/>
    <cellStyle name="Normal 4 6 2 3 5 3 3" xfId="24191" xr:uid="{06E5DB96-A753-4ED6-9864-E4BBC6EB93DC}"/>
    <cellStyle name="Normal 4 6 2 3 5 3 4" xfId="32631" xr:uid="{1478D6AE-D0B4-43EF-BAD7-24930FEA3C52}"/>
    <cellStyle name="Normal 4 6 2 3 5 4" xfId="11533" xr:uid="{E28EBA5D-3422-48C5-AB0F-5F517B460527}"/>
    <cellStyle name="Normal 4 6 2 3 5 5" xfId="19974" xr:uid="{C9ACFA73-C780-4065-B205-574A1A3F3639}"/>
    <cellStyle name="Normal 4 6 2 3 5 6" xfId="28414" xr:uid="{DBFC3D20-7057-4C41-9D62-51774F3222E5}"/>
    <cellStyle name="Normal 4 6 2 3 6" xfId="2554" xr:uid="{00000000-0005-0000-0000-00003D160000}"/>
    <cellStyle name="Normal 4 6 2 3 6 2" xfId="6837" xr:uid="{00000000-0005-0000-0000-00003E160000}"/>
    <cellStyle name="Normal 4 6 2 3 6 2 2" xfId="16163" xr:uid="{206933EE-F8C4-4AE7-9BD2-C3A9912FBD76}"/>
    <cellStyle name="Normal 4 6 2 3 6 2 3" xfId="24604" xr:uid="{B26654DD-7DCB-4107-A1F9-12989D115C7B}"/>
    <cellStyle name="Normal 4 6 2 3 6 2 4" xfId="33044" xr:uid="{6C4F504E-118C-4736-BBAB-A80F050C9A4F}"/>
    <cellStyle name="Normal 4 6 2 3 6 3" xfId="11946" xr:uid="{2C846747-5505-4FD2-9219-F6F6C818F875}"/>
    <cellStyle name="Normal 4 6 2 3 6 4" xfId="20387" xr:uid="{14DC1926-F9DB-4FD8-88EE-AD3F6180EF14}"/>
    <cellStyle name="Normal 4 6 2 3 6 5" xfId="28827" xr:uid="{2AA7639F-26F4-4010-9E28-74CB6E680023}"/>
    <cellStyle name="Normal 4 6 2 3 7" xfId="4772" xr:uid="{00000000-0005-0000-0000-00003F160000}"/>
    <cellStyle name="Normal 4 6 2 3 7 2" xfId="14098" xr:uid="{C4817146-D1B3-438E-8252-DC6D77EAEA13}"/>
    <cellStyle name="Normal 4 6 2 3 7 3" xfId="22539" xr:uid="{193F2180-45AB-4936-99F8-79AC46465F72}"/>
    <cellStyle name="Normal 4 6 2 3 7 4" xfId="30979" xr:uid="{EB63D1C9-F57E-4C1B-B511-2E4E78585B54}"/>
    <cellStyle name="Normal 4 6 2 3 8" xfId="9032" xr:uid="{576A1DC5-5971-4772-803F-0A60F80D4C41}"/>
    <cellStyle name="Normal 4 6 2 3 9" xfId="9881" xr:uid="{7EA950B5-A7D9-4D11-960E-D4734E624DB9}"/>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7D1196F7-6706-45B3-BCF6-C7BC2713B101}"/>
    <cellStyle name="Normal 4 6 2 4 2 2 3" xfId="25094" xr:uid="{9C04DF47-4B67-485C-8543-A11FA6656F5E}"/>
    <cellStyle name="Normal 4 6 2 4 2 2 4" xfId="33534" xr:uid="{19D4EAAE-1B20-4427-9820-69141897CD4C}"/>
    <cellStyle name="Normal 4 6 2 4 2 3" xfId="12436" xr:uid="{78280164-F2EB-4C5C-A058-CF5E273540EA}"/>
    <cellStyle name="Normal 4 6 2 4 2 4" xfId="20877" xr:uid="{A5ED8F00-B79F-4DDC-BE5F-4D0559BA498D}"/>
    <cellStyle name="Normal 4 6 2 4 2 5" xfId="29317" xr:uid="{3CC50A08-4EAE-4867-B64C-65609916B4C3}"/>
    <cellStyle name="Normal 4 6 2 4 3" xfId="5182" xr:uid="{00000000-0005-0000-0000-000043160000}"/>
    <cellStyle name="Normal 4 6 2 4 3 2" xfId="14508" xr:uid="{2085DEF6-2148-4C04-9F66-0FDAD937731E}"/>
    <cellStyle name="Normal 4 6 2 4 3 3" xfId="22949" xr:uid="{36E20903-77E2-4A85-930C-EB61BDDC5127}"/>
    <cellStyle name="Normal 4 6 2 4 3 4" xfId="31389" xr:uid="{388CB8DE-072A-4DD5-A23D-76413F1B7CA4}"/>
    <cellStyle name="Normal 4 6 2 4 4" xfId="9250" xr:uid="{CBBC9A51-5203-4C00-93C7-FE7C973DCDD1}"/>
    <cellStyle name="Normal 4 6 2 4 5" xfId="10291" xr:uid="{11F889E3-5DC3-4E6F-88D9-B9FD5C32394D}"/>
    <cellStyle name="Normal 4 6 2 4 6" xfId="18732" xr:uid="{8860F164-DAA3-4527-B1E8-4865E5930452}"/>
    <cellStyle name="Normal 4 6 2 4 7" xfId="27172" xr:uid="{19C43875-140C-4992-8CCE-BB14E74C9A3F}"/>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7F4C4890-CCB0-4466-A1FA-2A362DC20712}"/>
    <cellStyle name="Normal 4 6 2 5 2 2 3" xfId="25507" xr:uid="{124D9086-A7EA-4E44-A449-CDBA12E9D81A}"/>
    <cellStyle name="Normal 4 6 2 5 2 2 4" xfId="33947" xr:uid="{8BF7D37E-122C-4A66-9DD7-F42F52F01551}"/>
    <cellStyle name="Normal 4 6 2 5 2 3" xfId="12849" xr:uid="{4B865D9C-B3B8-4848-93CD-B826CF50F5B5}"/>
    <cellStyle name="Normal 4 6 2 5 2 4" xfId="21290" xr:uid="{1348E3F5-9FE4-414D-9EC8-E5E7A1FDF22E}"/>
    <cellStyle name="Normal 4 6 2 5 2 5" xfId="29730" xr:uid="{2CFDBE38-C8BB-411D-B512-C5FCEA264BAE}"/>
    <cellStyle name="Normal 4 6 2 5 3" xfId="5595" xr:uid="{00000000-0005-0000-0000-000047160000}"/>
    <cellStyle name="Normal 4 6 2 5 3 2" xfId="14921" xr:uid="{63E07FC1-0164-43BB-9DAB-1166212994B9}"/>
    <cellStyle name="Normal 4 6 2 5 3 3" xfId="23362" xr:uid="{0E3D8532-CD9E-4D8D-8A03-80E6EA5A36C1}"/>
    <cellStyle name="Normal 4 6 2 5 3 4" xfId="31802" xr:uid="{34082136-3D88-41E8-848A-CE3B286C2AEF}"/>
    <cellStyle name="Normal 4 6 2 5 4" xfId="10704" xr:uid="{667C3674-E9A6-4FA1-8073-D5E77006BCF8}"/>
    <cellStyle name="Normal 4 6 2 5 5" xfId="19145" xr:uid="{41288FA4-FCAD-44B0-B917-8AA1594B5815}"/>
    <cellStyle name="Normal 4 6 2 5 6" xfId="27585" xr:uid="{DADC146F-8F98-4EE2-9748-55B127E33656}"/>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044E90E6-A58C-49F4-960B-B2D9806BF0E1}"/>
    <cellStyle name="Normal 4 6 2 6 2 2 3" xfId="25920" xr:uid="{88C86FA5-FBEC-48DA-8EC5-042E85894932}"/>
    <cellStyle name="Normal 4 6 2 6 2 2 4" xfId="34360" xr:uid="{2B6BD58D-5CA7-475C-8E24-8DCC58D117F6}"/>
    <cellStyle name="Normal 4 6 2 6 2 3" xfId="13262" xr:uid="{298EE307-B54B-44EE-9188-573244BE114A}"/>
    <cellStyle name="Normal 4 6 2 6 2 4" xfId="21703" xr:uid="{6667FD94-C273-45C1-9C0F-3125172BA396}"/>
    <cellStyle name="Normal 4 6 2 6 2 5" xfId="30143" xr:uid="{9C63D49E-F27A-4489-B0FD-9F4C15253305}"/>
    <cellStyle name="Normal 4 6 2 6 3" xfId="6008" xr:uid="{00000000-0005-0000-0000-00004B160000}"/>
    <cellStyle name="Normal 4 6 2 6 3 2" xfId="15334" xr:uid="{5789706F-D3D9-4DC8-800C-A84CAC98C393}"/>
    <cellStyle name="Normal 4 6 2 6 3 3" xfId="23775" xr:uid="{2DA2321B-8216-4929-ABD6-3DE2F0C0E745}"/>
    <cellStyle name="Normal 4 6 2 6 3 4" xfId="32215" xr:uid="{8ED9AF35-3CA4-410D-824F-02300A7D6D4F}"/>
    <cellStyle name="Normal 4 6 2 6 4" xfId="11117" xr:uid="{44303883-2EB0-4A52-98A6-1CBF79AB8E59}"/>
    <cellStyle name="Normal 4 6 2 6 5" xfId="19558" xr:uid="{2315419E-1168-474F-9C20-3812EEE4AAD0}"/>
    <cellStyle name="Normal 4 6 2 6 6" xfId="27998" xr:uid="{D1352109-D198-4C06-AC59-B9D13A59B82C}"/>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C0C9C6D5-D935-4727-BD5D-3ECFE2CC868A}"/>
    <cellStyle name="Normal 4 6 2 7 2 2 3" xfId="26333" xr:uid="{F27F9982-79F7-4827-92CE-2BECF49A26E1}"/>
    <cellStyle name="Normal 4 6 2 7 2 2 4" xfId="34773" xr:uid="{9D86F449-8970-4F08-BF6D-C39FC09111B4}"/>
    <cellStyle name="Normal 4 6 2 7 2 3" xfId="13675" xr:uid="{599E522D-7AA1-4B22-896B-8EC58973436E}"/>
    <cellStyle name="Normal 4 6 2 7 2 4" xfId="22116" xr:uid="{1CCC81BF-319D-42E2-B7C9-E19EAE715A65}"/>
    <cellStyle name="Normal 4 6 2 7 2 5" xfId="30556" xr:uid="{AE8563FF-A0D9-4780-8C62-9C83FCC63623}"/>
    <cellStyle name="Normal 4 6 2 7 3" xfId="6421" xr:uid="{00000000-0005-0000-0000-00004F160000}"/>
    <cellStyle name="Normal 4 6 2 7 3 2" xfId="15747" xr:uid="{C72579D7-0191-464E-BEF5-F63D16B3F16E}"/>
    <cellStyle name="Normal 4 6 2 7 3 3" xfId="24188" xr:uid="{2D454D6D-B610-42D4-944E-366449048F66}"/>
    <cellStyle name="Normal 4 6 2 7 3 4" xfId="32628" xr:uid="{EF52C4F3-5784-4518-A5DE-33902462217E}"/>
    <cellStyle name="Normal 4 6 2 7 4" xfId="11530" xr:uid="{A487377D-EFC1-4180-B072-0FB2A201D4FF}"/>
    <cellStyle name="Normal 4 6 2 7 5" xfId="19971" xr:uid="{0A0D3FB6-0E25-4DDF-8334-AD388D9F59E1}"/>
    <cellStyle name="Normal 4 6 2 7 6" xfId="28411" xr:uid="{4F39C18E-C280-4D61-9C76-F131376B1854}"/>
    <cellStyle name="Normal 4 6 2 8" xfId="2551" xr:uid="{00000000-0005-0000-0000-000050160000}"/>
    <cellStyle name="Normal 4 6 2 8 2" xfId="6834" xr:uid="{00000000-0005-0000-0000-000051160000}"/>
    <cellStyle name="Normal 4 6 2 8 2 2" xfId="16160" xr:uid="{A33E5224-8068-4031-8A3C-3ADFBDAEDF45}"/>
    <cellStyle name="Normal 4 6 2 8 2 3" xfId="24601" xr:uid="{AAEF7948-B170-47A3-B938-FC803A15913B}"/>
    <cellStyle name="Normal 4 6 2 8 2 4" xfId="33041" xr:uid="{92C04B6A-3967-4B71-B053-B084A1473E03}"/>
    <cellStyle name="Normal 4 6 2 8 3" xfId="11943" xr:uid="{BB6A7C7E-13EE-4399-9717-4148F7867309}"/>
    <cellStyle name="Normal 4 6 2 8 4" xfId="20384" xr:uid="{F76969CA-DB73-4FE5-BACE-81EC5AABEA3C}"/>
    <cellStyle name="Normal 4 6 2 8 5" xfId="28824" xr:uid="{9ADB12BB-39EC-4AF4-A5E3-46C410FFF35E}"/>
    <cellStyle name="Normal 4 6 2 9" xfId="4769" xr:uid="{00000000-0005-0000-0000-000052160000}"/>
    <cellStyle name="Normal 4 6 2 9 2" xfId="14095" xr:uid="{F2A5E2C9-299A-4126-92EC-7E2A4A54B312}"/>
    <cellStyle name="Normal 4 6 2 9 3" xfId="22536" xr:uid="{A1D6BB3A-C00E-4CAE-9F31-B01512B75AE4}"/>
    <cellStyle name="Normal 4 6 2 9 4" xfId="30976" xr:uid="{4671334C-361F-4B96-9A8D-0067C73F938B}"/>
    <cellStyle name="Normal 4 6 3" xfId="400" xr:uid="{00000000-0005-0000-0000-000053160000}"/>
    <cellStyle name="Normal 4 6 3 10" xfId="9882" xr:uid="{66E2E996-2DC8-43BE-93FA-5968F75CB54D}"/>
    <cellStyle name="Normal 4 6 3 11" xfId="18323" xr:uid="{AB7D3C43-035E-4647-BF56-48D547B18DF2}"/>
    <cellStyle name="Normal 4 6 3 12" xfId="26763" xr:uid="{A5F55313-47D9-4ADC-A5E1-C4A73994657A}"/>
    <cellStyle name="Normal 4 6 3 2" xfId="401" xr:uid="{00000000-0005-0000-0000-000054160000}"/>
    <cellStyle name="Normal 4 6 3 2 10" xfId="18324" xr:uid="{E6858B2F-9EB3-42BA-ACA5-B7AAEC73B5DF}"/>
    <cellStyle name="Normal 4 6 3 2 11" xfId="26764" xr:uid="{FA5EF66B-715A-408A-B1B8-01BB9568F856}"/>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2256F114-CA03-4A6D-AE36-31365CA26D81}"/>
    <cellStyle name="Normal 4 6 3 2 2 2 2 3" xfId="25099" xr:uid="{E1F7BC4D-CCB6-4F07-9989-010D7803FBBC}"/>
    <cellStyle name="Normal 4 6 3 2 2 2 2 4" xfId="33539" xr:uid="{8D06DB70-9D38-4544-B7BD-B1B5099A2035}"/>
    <cellStyle name="Normal 4 6 3 2 2 2 3" xfId="12441" xr:uid="{BC475CC6-8D33-4C3C-A6A7-1026939F4A43}"/>
    <cellStyle name="Normal 4 6 3 2 2 2 4" xfId="20882" xr:uid="{7D2B1B19-7D07-4B24-887E-66CFAA9BE355}"/>
    <cellStyle name="Normal 4 6 3 2 2 2 5" xfId="29322" xr:uid="{CAFD183A-331B-4F27-88CD-CAF44C88CEA7}"/>
    <cellStyle name="Normal 4 6 3 2 2 3" xfId="5187" xr:uid="{00000000-0005-0000-0000-000058160000}"/>
    <cellStyle name="Normal 4 6 3 2 2 3 2" xfId="14513" xr:uid="{A0DD00A3-F1BB-47AA-AAF9-B269D834017F}"/>
    <cellStyle name="Normal 4 6 3 2 2 3 3" xfId="22954" xr:uid="{E42B3A0D-231D-49FE-AE6C-A6C53BFF902A}"/>
    <cellStyle name="Normal 4 6 3 2 2 3 4" xfId="31394" xr:uid="{D4F28F04-E851-4AE1-B628-8B863ACE6760}"/>
    <cellStyle name="Normal 4 6 3 2 2 4" xfId="9507" xr:uid="{63E4C3EA-8BE6-4CDE-9E44-1D64049D4CF5}"/>
    <cellStyle name="Normal 4 6 3 2 2 5" xfId="10296" xr:uid="{7709D85D-144A-4E67-9EF6-8E91B30C14E2}"/>
    <cellStyle name="Normal 4 6 3 2 2 6" xfId="18737" xr:uid="{681AEFC5-2410-47B9-BB8E-B062351E50F5}"/>
    <cellStyle name="Normal 4 6 3 2 2 7" xfId="27177" xr:uid="{6F706F91-25E4-428D-A55F-0611FC3DB78B}"/>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10C91346-56EF-4E48-A660-D57B0C144A08}"/>
    <cellStyle name="Normal 4 6 3 2 3 2 2 3" xfId="25512" xr:uid="{E78C7B6F-7AB0-463B-A58B-B06459FBDAAB}"/>
    <cellStyle name="Normal 4 6 3 2 3 2 2 4" xfId="33952" xr:uid="{023CC9E1-8845-4003-87F1-C4E5068DC165}"/>
    <cellStyle name="Normal 4 6 3 2 3 2 3" xfId="12854" xr:uid="{A70FAFEE-C9FD-4413-A0EC-2752FE94409D}"/>
    <cellStyle name="Normal 4 6 3 2 3 2 4" xfId="21295" xr:uid="{D9E5F87B-F883-4DAA-B7F9-217B050AB9F2}"/>
    <cellStyle name="Normal 4 6 3 2 3 2 5" xfId="29735" xr:uid="{2BCFA45A-884A-4F2A-8F94-6D769D673615}"/>
    <cellStyle name="Normal 4 6 3 2 3 3" xfId="5600" xr:uid="{00000000-0005-0000-0000-00005C160000}"/>
    <cellStyle name="Normal 4 6 3 2 3 3 2" xfId="14926" xr:uid="{0D6809CF-74C3-48AE-BF9D-4A77B53B655E}"/>
    <cellStyle name="Normal 4 6 3 2 3 3 3" xfId="23367" xr:uid="{08E132DA-CB46-4A5C-8522-F49073CAB1A3}"/>
    <cellStyle name="Normal 4 6 3 2 3 3 4" xfId="31807" xr:uid="{434B1F71-A464-4723-95B7-D8EDA86F7BA0}"/>
    <cellStyle name="Normal 4 6 3 2 3 4" xfId="10709" xr:uid="{2EB57C1C-3AC0-43A0-BD82-375329E4A2CD}"/>
    <cellStyle name="Normal 4 6 3 2 3 5" xfId="19150" xr:uid="{22F91ED4-6075-4BA5-851D-CDADBF88C56A}"/>
    <cellStyle name="Normal 4 6 3 2 3 6" xfId="27590" xr:uid="{FC546E11-2AD4-4B10-8D0C-FEF1CDBC0A7C}"/>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D3A5D977-9D7F-4947-B0AA-DB2A89E9A4A7}"/>
    <cellStyle name="Normal 4 6 3 2 4 2 2 3" xfId="25925" xr:uid="{F69B5299-F368-423F-9E33-406CEABE622A}"/>
    <cellStyle name="Normal 4 6 3 2 4 2 2 4" xfId="34365" xr:uid="{F93F433D-524F-4658-AFBF-D6EDF13CBFC7}"/>
    <cellStyle name="Normal 4 6 3 2 4 2 3" xfId="13267" xr:uid="{B839C285-6DD7-4AFC-B13B-4D9284DB9978}"/>
    <cellStyle name="Normal 4 6 3 2 4 2 4" xfId="21708" xr:uid="{A6C50AC2-D5B8-4BBC-8E26-8E7B2670A549}"/>
    <cellStyle name="Normal 4 6 3 2 4 2 5" xfId="30148" xr:uid="{B74E1469-5DB8-4297-9940-92BFF44E36F4}"/>
    <cellStyle name="Normal 4 6 3 2 4 3" xfId="6013" xr:uid="{00000000-0005-0000-0000-000060160000}"/>
    <cellStyle name="Normal 4 6 3 2 4 3 2" xfId="15339" xr:uid="{4FF5853D-9644-40D5-81E7-A0AE96BF697B}"/>
    <cellStyle name="Normal 4 6 3 2 4 3 3" xfId="23780" xr:uid="{6FB6B6E8-15C9-47B7-8698-831B73638E0C}"/>
    <cellStyle name="Normal 4 6 3 2 4 3 4" xfId="32220" xr:uid="{8F03D8D7-5893-48D8-B3DC-7327745B400A}"/>
    <cellStyle name="Normal 4 6 3 2 4 4" xfId="11122" xr:uid="{F033B4C3-8D2A-46F3-AC2F-A6EDD7DF7A0C}"/>
    <cellStyle name="Normal 4 6 3 2 4 5" xfId="19563" xr:uid="{07CAC4CD-BB40-44BA-9F34-D6E77C7600AC}"/>
    <cellStyle name="Normal 4 6 3 2 4 6" xfId="28003" xr:uid="{2397100A-F50A-40A6-8DDF-104A546F43F5}"/>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D4251A8F-BEF2-403A-9E4C-C042F709B513}"/>
    <cellStyle name="Normal 4 6 3 2 5 2 2 3" xfId="26338" xr:uid="{28FF291E-4421-4731-8486-0B41D71D40F2}"/>
    <cellStyle name="Normal 4 6 3 2 5 2 2 4" xfId="34778" xr:uid="{9F09B1D5-7341-493B-9549-4AD58D85270C}"/>
    <cellStyle name="Normal 4 6 3 2 5 2 3" xfId="13680" xr:uid="{85736BE0-FEA7-44F2-9B13-EE824D3A5E6F}"/>
    <cellStyle name="Normal 4 6 3 2 5 2 4" xfId="22121" xr:uid="{6DE5307C-4523-4F7A-8AAA-ACE7C4E6CFAA}"/>
    <cellStyle name="Normal 4 6 3 2 5 2 5" xfId="30561" xr:uid="{1000D0CE-3297-4E92-8353-CA8024E39548}"/>
    <cellStyle name="Normal 4 6 3 2 5 3" xfId="6426" xr:uid="{00000000-0005-0000-0000-000064160000}"/>
    <cellStyle name="Normal 4 6 3 2 5 3 2" xfId="15752" xr:uid="{AC127B00-A594-4AF8-86C8-10BBF267F20A}"/>
    <cellStyle name="Normal 4 6 3 2 5 3 3" xfId="24193" xr:uid="{4CD70043-2CC2-4ED5-826A-B1CB455775F4}"/>
    <cellStyle name="Normal 4 6 3 2 5 3 4" xfId="32633" xr:uid="{D3C330C3-1EEA-469D-A897-91F00BCAA461}"/>
    <cellStyle name="Normal 4 6 3 2 5 4" xfId="11535" xr:uid="{9727DB3A-564F-44D4-92BC-F095A081C6C2}"/>
    <cellStyle name="Normal 4 6 3 2 5 5" xfId="19976" xr:uid="{CAB2818B-6718-4631-87E0-BF0ED057F8FC}"/>
    <cellStyle name="Normal 4 6 3 2 5 6" xfId="28416" xr:uid="{7C5909CC-99B1-448B-89FC-D4B70466A9EB}"/>
    <cellStyle name="Normal 4 6 3 2 6" xfId="2556" xr:uid="{00000000-0005-0000-0000-000065160000}"/>
    <cellStyle name="Normal 4 6 3 2 6 2" xfId="6839" xr:uid="{00000000-0005-0000-0000-000066160000}"/>
    <cellStyle name="Normal 4 6 3 2 6 2 2" xfId="16165" xr:uid="{42CFA920-4901-4D6F-8337-BF51A7ECD6C5}"/>
    <cellStyle name="Normal 4 6 3 2 6 2 3" xfId="24606" xr:uid="{220CD58F-194C-4460-9F64-69ABC9ADF0AD}"/>
    <cellStyle name="Normal 4 6 3 2 6 2 4" xfId="33046" xr:uid="{EDD32EFC-094F-4800-84DF-26754668096C}"/>
    <cellStyle name="Normal 4 6 3 2 6 3" xfId="11948" xr:uid="{ED7FCE42-7100-458D-B2F8-A8F481837D1A}"/>
    <cellStyle name="Normal 4 6 3 2 6 4" xfId="20389" xr:uid="{86063CBB-F3FA-463A-9B99-8B3C63B5CF1D}"/>
    <cellStyle name="Normal 4 6 3 2 6 5" xfId="28829" xr:uid="{7D0AC323-641E-46A2-A322-27CFEB3D22BA}"/>
    <cellStyle name="Normal 4 6 3 2 7" xfId="4774" xr:uid="{00000000-0005-0000-0000-000067160000}"/>
    <cellStyle name="Normal 4 6 3 2 7 2" xfId="14100" xr:uid="{8C1128F7-FEF2-4FF0-8093-25CDEB5CE02B}"/>
    <cellStyle name="Normal 4 6 3 2 7 3" xfId="22541" xr:uid="{4C2F60DB-6CA6-47AA-AB6E-A9E0EFECAFD9}"/>
    <cellStyle name="Normal 4 6 3 2 7 4" xfId="30981" xr:uid="{55D95EB2-AD43-4857-9B65-C331476A2799}"/>
    <cellStyle name="Normal 4 6 3 2 8" xfId="9082" xr:uid="{B272D1AE-3713-4AD0-AE3F-D1A7344AD432}"/>
    <cellStyle name="Normal 4 6 3 2 9" xfId="9883" xr:uid="{64C1D980-A261-4F4A-AD44-4B7E9B746FC5}"/>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084B3176-DDFC-426A-841E-479CBA6F4C31}"/>
    <cellStyle name="Normal 4 6 3 3 2 2 3" xfId="25098" xr:uid="{D97A57BB-DBD4-4C5D-87A5-744A58D43FA0}"/>
    <cellStyle name="Normal 4 6 3 3 2 2 4" xfId="33538" xr:uid="{659653A5-67F7-4658-848F-3FDD5D744D76}"/>
    <cellStyle name="Normal 4 6 3 3 2 3" xfId="12440" xr:uid="{4C075D6B-C178-4E50-9F0D-DCF924542778}"/>
    <cellStyle name="Normal 4 6 3 3 2 4" xfId="20881" xr:uid="{A3930DE3-E7BC-438E-B998-C5C09612FDD5}"/>
    <cellStyle name="Normal 4 6 3 3 2 5" xfId="29321" xr:uid="{3C16F0C1-CD89-42C0-A7D0-BA9C094A4389}"/>
    <cellStyle name="Normal 4 6 3 3 3" xfId="5186" xr:uid="{00000000-0005-0000-0000-00006B160000}"/>
    <cellStyle name="Normal 4 6 3 3 3 2" xfId="14512" xr:uid="{6EC2BF46-724C-474C-AAF6-3C8BC1EB507E}"/>
    <cellStyle name="Normal 4 6 3 3 3 3" xfId="22953" xr:uid="{7C4A4DCA-603F-444E-A24D-59AB2F06C313}"/>
    <cellStyle name="Normal 4 6 3 3 3 4" xfId="31393" xr:uid="{161D593E-6859-40AA-AC55-F8C80D6F861E}"/>
    <cellStyle name="Normal 4 6 3 3 4" xfId="9300" xr:uid="{955A2E97-C871-4115-A4F5-A642AE2D2C4B}"/>
    <cellStyle name="Normal 4 6 3 3 5" xfId="10295" xr:uid="{0193EB87-B696-46FC-AC60-5F1554C56871}"/>
    <cellStyle name="Normal 4 6 3 3 6" xfId="18736" xr:uid="{935D65BF-8436-4951-832C-B77634D33B18}"/>
    <cellStyle name="Normal 4 6 3 3 7" xfId="27176" xr:uid="{1493FF76-DA0A-4B89-BD3B-F8715E830F8F}"/>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D0A3F281-B917-423A-91BD-8B9441BA3618}"/>
    <cellStyle name="Normal 4 6 3 4 2 2 3" xfId="25511" xr:uid="{F372E0CB-D134-4E85-98C5-7CF4D93C1503}"/>
    <cellStyle name="Normal 4 6 3 4 2 2 4" xfId="33951" xr:uid="{94F2D7C0-A1CE-4E40-B7E1-32B9F4F715B7}"/>
    <cellStyle name="Normal 4 6 3 4 2 3" xfId="12853" xr:uid="{213225E0-6330-457C-B6AF-474FDA222C87}"/>
    <cellStyle name="Normal 4 6 3 4 2 4" xfId="21294" xr:uid="{B716ADF3-814B-4E17-A188-A9A136395A8F}"/>
    <cellStyle name="Normal 4 6 3 4 2 5" xfId="29734" xr:uid="{4D7AD8CF-44A3-47FE-B124-20039081DD4A}"/>
    <cellStyle name="Normal 4 6 3 4 3" xfId="5599" xr:uid="{00000000-0005-0000-0000-00006F160000}"/>
    <cellStyle name="Normal 4 6 3 4 3 2" xfId="14925" xr:uid="{91239353-C29F-4B71-82B6-789D21BE107D}"/>
    <cellStyle name="Normal 4 6 3 4 3 3" xfId="23366" xr:uid="{0A62E7F9-3A99-41A8-A138-E6CC8A25CE3E}"/>
    <cellStyle name="Normal 4 6 3 4 3 4" xfId="31806" xr:uid="{390ABE34-05E2-4EF0-A71E-B20CA3586E15}"/>
    <cellStyle name="Normal 4 6 3 4 4" xfId="10708" xr:uid="{7800EEFA-9C6C-4E18-BC91-D9B6143D6F50}"/>
    <cellStyle name="Normal 4 6 3 4 5" xfId="19149" xr:uid="{CF05A794-7CC2-4BF0-85D2-BE5DA27E1014}"/>
    <cellStyle name="Normal 4 6 3 4 6" xfId="27589" xr:uid="{9EA3EA0E-7D79-4EAE-A88E-D210AEAC64F6}"/>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DEE92C7F-2506-4158-9011-A0307D93A3E0}"/>
    <cellStyle name="Normal 4 6 3 5 2 2 3" xfId="25924" xr:uid="{E556EFC6-F4B7-486D-A961-78FB9DF6CB01}"/>
    <cellStyle name="Normal 4 6 3 5 2 2 4" xfId="34364" xr:uid="{352F53FA-BE6C-459E-9B1B-4F66207C3C89}"/>
    <cellStyle name="Normal 4 6 3 5 2 3" xfId="13266" xr:uid="{31651E4F-9D68-43F8-BBC0-D145D27DA842}"/>
    <cellStyle name="Normal 4 6 3 5 2 4" xfId="21707" xr:uid="{11C7D502-D8E3-4DEA-BF4F-384D7BE4B5F7}"/>
    <cellStyle name="Normal 4 6 3 5 2 5" xfId="30147" xr:uid="{6C26B106-E73F-4067-B40E-BE04C5E4EBF7}"/>
    <cellStyle name="Normal 4 6 3 5 3" xfId="6012" xr:uid="{00000000-0005-0000-0000-000073160000}"/>
    <cellStyle name="Normal 4 6 3 5 3 2" xfId="15338" xr:uid="{95FBBB05-70A8-48C2-9DBB-84B179846A59}"/>
    <cellStyle name="Normal 4 6 3 5 3 3" xfId="23779" xr:uid="{744E25A7-004B-462C-975C-D3E223E3ADE1}"/>
    <cellStyle name="Normal 4 6 3 5 3 4" xfId="32219" xr:uid="{CDABB37C-68A4-4162-80E1-AA21A9953D30}"/>
    <cellStyle name="Normal 4 6 3 5 4" xfId="11121" xr:uid="{1EB2C60E-11A2-47BF-998D-0E5CE1B9FAB3}"/>
    <cellStyle name="Normal 4 6 3 5 5" xfId="19562" xr:uid="{06237448-9FE9-415B-AAF0-2BC8013AD032}"/>
    <cellStyle name="Normal 4 6 3 5 6" xfId="28002" xr:uid="{31496DB1-E1DC-49F5-AB40-0A45E8881674}"/>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C9F11876-D91C-4A6E-9D04-395137650360}"/>
    <cellStyle name="Normal 4 6 3 6 2 2 3" xfId="26337" xr:uid="{39A0A668-152F-4A50-ADAE-1A0B64ACB420}"/>
    <cellStyle name="Normal 4 6 3 6 2 2 4" xfId="34777" xr:uid="{8B130D50-1B34-4632-A80D-7989B565C9B7}"/>
    <cellStyle name="Normal 4 6 3 6 2 3" xfId="13679" xr:uid="{1744CD1C-8FD9-46AE-B70C-EC02CBAE630B}"/>
    <cellStyle name="Normal 4 6 3 6 2 4" xfId="22120" xr:uid="{BB6D16F9-16CF-4E2B-B422-E751575D9B36}"/>
    <cellStyle name="Normal 4 6 3 6 2 5" xfId="30560" xr:uid="{E6D8D581-B360-453E-817C-0FA01A763F9E}"/>
    <cellStyle name="Normal 4 6 3 6 3" xfId="6425" xr:uid="{00000000-0005-0000-0000-000077160000}"/>
    <cellStyle name="Normal 4 6 3 6 3 2" xfId="15751" xr:uid="{99CD2858-9F75-4196-BF11-866A0C69B140}"/>
    <cellStyle name="Normal 4 6 3 6 3 3" xfId="24192" xr:uid="{E48D1DF3-F0AB-4956-8E74-9846FFAA03F3}"/>
    <cellStyle name="Normal 4 6 3 6 3 4" xfId="32632" xr:uid="{8B808CD6-AF0B-4D71-80A8-263449AC77A3}"/>
    <cellStyle name="Normal 4 6 3 6 4" xfId="11534" xr:uid="{CD553BCA-A60A-4068-B203-0AB579F4C02C}"/>
    <cellStyle name="Normal 4 6 3 6 5" xfId="19975" xr:uid="{0F615FE8-5F45-4D14-A117-176CB0EC796B}"/>
    <cellStyle name="Normal 4 6 3 6 6" xfId="28415" xr:uid="{884E56A9-A2D7-4C57-A724-1780E2AB6C1B}"/>
    <cellStyle name="Normal 4 6 3 7" xfId="2555" xr:uid="{00000000-0005-0000-0000-000078160000}"/>
    <cellStyle name="Normal 4 6 3 7 2" xfId="6838" xr:uid="{00000000-0005-0000-0000-000079160000}"/>
    <cellStyle name="Normal 4 6 3 7 2 2" xfId="16164" xr:uid="{B2A00AB1-448E-4399-BFD8-4B974800E6EC}"/>
    <cellStyle name="Normal 4 6 3 7 2 3" xfId="24605" xr:uid="{5C457F5C-E6D8-4AD7-ADD7-EFBA961EB652}"/>
    <cellStyle name="Normal 4 6 3 7 2 4" xfId="33045" xr:uid="{FDA70B91-3334-47D3-BAE7-DF6EA2498444}"/>
    <cellStyle name="Normal 4 6 3 7 3" xfId="11947" xr:uid="{827B56DD-2FDE-4B92-B1B5-C5A0C41125E4}"/>
    <cellStyle name="Normal 4 6 3 7 4" xfId="20388" xr:uid="{CAA6F77F-FAED-4494-85B7-F587F8CEB306}"/>
    <cellStyle name="Normal 4 6 3 7 5" xfId="28828" xr:uid="{3C1283D2-4FFB-4509-B107-5273F0A10562}"/>
    <cellStyle name="Normal 4 6 3 8" xfId="4773" xr:uid="{00000000-0005-0000-0000-00007A160000}"/>
    <cellStyle name="Normal 4 6 3 8 2" xfId="14099" xr:uid="{73C70249-9CDA-460F-93D6-506884FCB0FC}"/>
    <cellStyle name="Normal 4 6 3 8 3" xfId="22540" xr:uid="{5E2205C4-AF00-4C4D-A502-60EB0CB1575B}"/>
    <cellStyle name="Normal 4 6 3 8 4" xfId="30980" xr:uid="{2266F9AF-4B4B-4541-8647-91B8E7D261A3}"/>
    <cellStyle name="Normal 4 6 3 9" xfId="8875" xr:uid="{DFD24C28-B729-444D-A0F6-B5522ED354D5}"/>
    <cellStyle name="Normal 4 6 4" xfId="402" xr:uid="{00000000-0005-0000-0000-00007B160000}"/>
    <cellStyle name="Normal 4 6 4 10" xfId="18325" xr:uid="{94F4DD68-7CBD-4D11-A938-3EEE2AAAFC4E}"/>
    <cellStyle name="Normal 4 6 4 11" xfId="26765" xr:uid="{4EF20FC4-9628-4CF6-BD86-961B8B5AF7B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14CA35FA-2591-4399-A6BD-8577CCFAB5A5}"/>
    <cellStyle name="Normal 4 6 4 2 2 2 3" xfId="25100" xr:uid="{3FA6EB23-EF60-4A82-B074-6100E2894CAF}"/>
    <cellStyle name="Normal 4 6 4 2 2 2 4" xfId="33540" xr:uid="{38E4815E-DCFB-4536-9860-5700E935572F}"/>
    <cellStyle name="Normal 4 6 4 2 2 3" xfId="12442" xr:uid="{935FFF38-3BAA-479E-A2E6-2496ADD2A336}"/>
    <cellStyle name="Normal 4 6 4 2 2 4" xfId="20883" xr:uid="{FFD7F8CD-BE7D-4D51-9586-B6F21B605156}"/>
    <cellStyle name="Normal 4 6 4 2 2 5" xfId="29323" xr:uid="{D6986951-97EC-4949-A553-7EBFEC26C671}"/>
    <cellStyle name="Normal 4 6 4 2 3" xfId="5188" xr:uid="{00000000-0005-0000-0000-00007F160000}"/>
    <cellStyle name="Normal 4 6 4 2 3 2" xfId="14514" xr:uid="{40DDCAA4-B9CC-484F-A872-7660F51D3264}"/>
    <cellStyle name="Normal 4 6 4 2 3 3" xfId="22955" xr:uid="{2259CCCB-9360-48D0-8429-091AC0FFA3BB}"/>
    <cellStyle name="Normal 4 6 4 2 3 4" xfId="31395" xr:uid="{51ECDD1D-C73D-49CA-B30D-2D70C90C9FA5}"/>
    <cellStyle name="Normal 4 6 4 2 4" xfId="9404" xr:uid="{D1BAB6D6-35EF-4C34-91EA-2EB17352CDF9}"/>
    <cellStyle name="Normal 4 6 4 2 5" xfId="10297" xr:uid="{758D44F9-2DC3-4B6A-BB8B-FFE1F9BD437B}"/>
    <cellStyle name="Normal 4 6 4 2 6" xfId="18738" xr:uid="{56854102-F8FC-492E-8A96-7DCA90B23B6F}"/>
    <cellStyle name="Normal 4 6 4 2 7" xfId="27178" xr:uid="{0E1C7818-627B-4F86-B2CE-E07E96B3CC35}"/>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C92C1352-C6FC-43B3-9BD2-2248E102BA5D}"/>
    <cellStyle name="Normal 4 6 4 3 2 2 3" xfId="25513" xr:uid="{0CCD5ABA-4A82-483B-B22C-0E848CCA2E28}"/>
    <cellStyle name="Normal 4 6 4 3 2 2 4" xfId="33953" xr:uid="{B5A35A12-E9D3-4600-B100-36CB5D070FF7}"/>
    <cellStyle name="Normal 4 6 4 3 2 3" xfId="12855" xr:uid="{E6BD617F-0E50-4990-87C5-7D7455D73830}"/>
    <cellStyle name="Normal 4 6 4 3 2 4" xfId="21296" xr:uid="{3142A13C-3ADB-4313-927D-C4B54925882B}"/>
    <cellStyle name="Normal 4 6 4 3 2 5" xfId="29736" xr:uid="{26A6615D-1D0D-4313-8C96-3F5CD4A7D3FB}"/>
    <cellStyle name="Normal 4 6 4 3 3" xfId="5601" xr:uid="{00000000-0005-0000-0000-000083160000}"/>
    <cellStyle name="Normal 4 6 4 3 3 2" xfId="14927" xr:uid="{1F2EBE21-55FB-472B-8D82-0FD62A7650F0}"/>
    <cellStyle name="Normal 4 6 4 3 3 3" xfId="23368" xr:uid="{2D315EE0-802F-4C94-8109-6C5969170A17}"/>
    <cellStyle name="Normal 4 6 4 3 3 4" xfId="31808" xr:uid="{0124E598-1780-4B92-80C4-96401D87309D}"/>
    <cellStyle name="Normal 4 6 4 3 4" xfId="10710" xr:uid="{80C6E411-DB11-4A64-96F8-9B9FFAEE5B9F}"/>
    <cellStyle name="Normal 4 6 4 3 5" xfId="19151" xr:uid="{C4FD70D1-C469-4E09-B3BC-416CDD0F9474}"/>
    <cellStyle name="Normal 4 6 4 3 6" xfId="27591" xr:uid="{2C94DDF5-1978-4EE0-9C67-0982A92A8449}"/>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1A4C19B4-97D2-4167-A8AE-7DA176074A41}"/>
    <cellStyle name="Normal 4 6 4 4 2 2 3" xfId="25926" xr:uid="{90339BB5-442A-4CD4-B45D-938D2DB1970A}"/>
    <cellStyle name="Normal 4 6 4 4 2 2 4" xfId="34366" xr:uid="{88F54B90-DB65-4A18-B23A-E563767A4B16}"/>
    <cellStyle name="Normal 4 6 4 4 2 3" xfId="13268" xr:uid="{EE201D12-97C0-45B2-B8A6-65E57F3CD1F5}"/>
    <cellStyle name="Normal 4 6 4 4 2 4" xfId="21709" xr:uid="{37E22BB6-2E50-4BCE-8846-1A102D5BB448}"/>
    <cellStyle name="Normal 4 6 4 4 2 5" xfId="30149" xr:uid="{23088472-0C85-4462-AD6D-0657857C80B9}"/>
    <cellStyle name="Normal 4 6 4 4 3" xfId="6014" xr:uid="{00000000-0005-0000-0000-000087160000}"/>
    <cellStyle name="Normal 4 6 4 4 3 2" xfId="15340" xr:uid="{A8274BDB-6180-4E36-90D8-6EB8C1205EFD}"/>
    <cellStyle name="Normal 4 6 4 4 3 3" xfId="23781" xr:uid="{7D4540C0-65AF-4DF1-9D2F-E5095C0D5AE6}"/>
    <cellStyle name="Normal 4 6 4 4 3 4" xfId="32221" xr:uid="{1A4E2341-A61A-49EA-8246-0F94C2304356}"/>
    <cellStyle name="Normal 4 6 4 4 4" xfId="11123" xr:uid="{9C7960BE-9C67-4801-9263-BED6DED35B05}"/>
    <cellStyle name="Normal 4 6 4 4 5" xfId="19564" xr:uid="{9153238B-04BF-4C05-BF30-E10848B657E1}"/>
    <cellStyle name="Normal 4 6 4 4 6" xfId="28004" xr:uid="{AACDFD41-F312-4EA8-8D4A-EF977A098DD2}"/>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65D274D8-885C-47F0-87B3-E59E6281EE8F}"/>
    <cellStyle name="Normal 4 6 4 5 2 2 3" xfId="26339" xr:uid="{8C6C7194-90C8-49DE-A9C8-E548B104AE85}"/>
    <cellStyle name="Normal 4 6 4 5 2 2 4" xfId="34779" xr:uid="{57E8D174-2D99-4494-8BCB-6D2D63A6E6E5}"/>
    <cellStyle name="Normal 4 6 4 5 2 3" xfId="13681" xr:uid="{9C26B455-2C64-4214-9D55-866CB58F19CB}"/>
    <cellStyle name="Normal 4 6 4 5 2 4" xfId="22122" xr:uid="{7309B23E-28E1-4B50-9BD2-F29380E6F160}"/>
    <cellStyle name="Normal 4 6 4 5 2 5" xfId="30562" xr:uid="{3F234F94-E803-47B9-B4BD-E2DE93C39B6B}"/>
    <cellStyle name="Normal 4 6 4 5 3" xfId="6427" xr:uid="{00000000-0005-0000-0000-00008B160000}"/>
    <cellStyle name="Normal 4 6 4 5 3 2" xfId="15753" xr:uid="{7A8AC545-D034-4FD2-A5D3-6FB0B0D2D206}"/>
    <cellStyle name="Normal 4 6 4 5 3 3" xfId="24194" xr:uid="{62D72AD6-2428-42D7-AAC1-816FB0D1A316}"/>
    <cellStyle name="Normal 4 6 4 5 3 4" xfId="32634" xr:uid="{9E0C6A05-36F7-4197-B397-2F010212B791}"/>
    <cellStyle name="Normal 4 6 4 5 4" xfId="11536" xr:uid="{E8A7DBDE-4EFD-4C89-B921-01BAF60626A5}"/>
    <cellStyle name="Normal 4 6 4 5 5" xfId="19977" xr:uid="{CE04E78D-4BF7-4DA4-99D3-99FC87208594}"/>
    <cellStyle name="Normal 4 6 4 5 6" xfId="28417" xr:uid="{F6CD2667-E314-4FFF-9BE1-E8B9FF2DA126}"/>
    <cellStyle name="Normal 4 6 4 6" xfId="2557" xr:uid="{00000000-0005-0000-0000-00008C160000}"/>
    <cellStyle name="Normal 4 6 4 6 2" xfId="6840" xr:uid="{00000000-0005-0000-0000-00008D160000}"/>
    <cellStyle name="Normal 4 6 4 6 2 2" xfId="16166" xr:uid="{B49F3E20-C937-4B3B-A93E-1D20841EDDC3}"/>
    <cellStyle name="Normal 4 6 4 6 2 3" xfId="24607" xr:uid="{C2261FDB-392E-4768-BEB8-B00772F321B0}"/>
    <cellStyle name="Normal 4 6 4 6 2 4" xfId="33047" xr:uid="{2CBEBC82-7862-4EED-AAAB-8EE8B2F5BF4D}"/>
    <cellStyle name="Normal 4 6 4 6 3" xfId="11949" xr:uid="{9732322F-6005-4F88-95BC-D082A4D89E84}"/>
    <cellStyle name="Normal 4 6 4 6 4" xfId="20390" xr:uid="{8C67117F-D2DA-43E5-A140-85F5A3C18149}"/>
    <cellStyle name="Normal 4 6 4 6 5" xfId="28830" xr:uid="{EAC8D903-704A-4D3B-97C9-FF6CEE74FF44}"/>
    <cellStyle name="Normal 4 6 4 7" xfId="4775" xr:uid="{00000000-0005-0000-0000-00008E160000}"/>
    <cellStyle name="Normal 4 6 4 7 2" xfId="14101" xr:uid="{7781A3C9-6F33-4305-B248-0F95AFEDA1AA}"/>
    <cellStyle name="Normal 4 6 4 7 3" xfId="22542" xr:uid="{A1675F94-B48E-4673-ACAB-8DF497E3E4AB}"/>
    <cellStyle name="Normal 4 6 4 7 4" xfId="30982" xr:uid="{0FE99D37-A981-4924-AC78-03045BEBFAB9}"/>
    <cellStyle name="Normal 4 6 4 8" xfId="8979" xr:uid="{358D1440-F461-4509-8416-8F78F7D13FF4}"/>
    <cellStyle name="Normal 4 6 4 9" xfId="9884" xr:uid="{6200EE33-5C93-4AC3-8F76-40A0C60D9392}"/>
    <cellStyle name="Normal 4 6 5" xfId="869" xr:uid="{00000000-0005-0000-0000-00008F160000}"/>
    <cellStyle name="Normal 4 6 5 2" xfId="3104" xr:uid="{00000000-0005-0000-0000-000090160000}"/>
    <cellStyle name="Normal 4 6 5 2 2" xfId="7326" xr:uid="{00000000-0005-0000-0000-000091160000}"/>
    <cellStyle name="Normal 4 6 5 2 2 2" xfId="16652" xr:uid="{6BA1786D-B4F1-4C7A-95B6-21D34DEBC0A4}"/>
    <cellStyle name="Normal 4 6 5 2 2 3" xfId="25093" xr:uid="{98224232-DBA1-4F8E-B1FF-AC61CA53E3F4}"/>
    <cellStyle name="Normal 4 6 5 2 2 4" xfId="33533" xr:uid="{21818C5B-1B59-4BC3-878E-E22793A15407}"/>
    <cellStyle name="Normal 4 6 5 2 3" xfId="12435" xr:uid="{B9AF064C-8359-442B-A396-DF188C5E69B4}"/>
    <cellStyle name="Normal 4 6 5 2 4" xfId="20876" xr:uid="{51DF2281-511E-4943-B00E-11B32BD23918}"/>
    <cellStyle name="Normal 4 6 5 2 5" xfId="29316" xr:uid="{0B43E818-F59C-453A-99DD-E866B7DA5941}"/>
    <cellStyle name="Normal 4 6 5 3" xfId="5181" xr:uid="{00000000-0005-0000-0000-000092160000}"/>
    <cellStyle name="Normal 4 6 5 3 2" xfId="14507" xr:uid="{E79E4EA4-5D77-4034-B2D4-59885AB7CB4C}"/>
    <cellStyle name="Normal 4 6 5 3 3" xfId="22948" xr:uid="{D1E61188-11DF-4EEB-BC8B-399B95CCDB02}"/>
    <cellStyle name="Normal 4 6 5 3 4" xfId="31388" xr:uid="{6B445D2E-AF82-4D13-951A-2DC849501AB4}"/>
    <cellStyle name="Normal 4 6 5 4" xfId="9196" xr:uid="{8DF5D81E-BEC3-4373-A99C-2D9CDEEBBA3C}"/>
    <cellStyle name="Normal 4 6 5 5" xfId="10290" xr:uid="{059C5F52-D9C0-4D8D-8E18-B1F63735B806}"/>
    <cellStyle name="Normal 4 6 5 6" xfId="18731" xr:uid="{24126912-C55A-489B-BDC1-A5806A8C9677}"/>
    <cellStyle name="Normal 4 6 5 7" xfId="27171" xr:uid="{A1FC34B7-7C0C-4E20-B79F-A2F11C29D0BE}"/>
    <cellStyle name="Normal 4 6 6" xfId="1287" xr:uid="{00000000-0005-0000-0000-000093160000}"/>
    <cellStyle name="Normal 4 6 6 2" xfId="3517" xr:uid="{00000000-0005-0000-0000-000094160000}"/>
    <cellStyle name="Normal 4 6 6 2 2" xfId="7739" xr:uid="{00000000-0005-0000-0000-000095160000}"/>
    <cellStyle name="Normal 4 6 6 2 2 2" xfId="17065" xr:uid="{49AA5AA2-6A94-49F5-A565-EBC235119E74}"/>
    <cellStyle name="Normal 4 6 6 2 2 3" xfId="25506" xr:uid="{E6FD18A5-17AB-405C-B624-0CD908C79F82}"/>
    <cellStyle name="Normal 4 6 6 2 2 4" xfId="33946" xr:uid="{6C0D011D-040B-4734-8519-AE8FB935C069}"/>
    <cellStyle name="Normal 4 6 6 2 3" xfId="12848" xr:uid="{49C09676-380D-488A-AAF8-CC18215CD86E}"/>
    <cellStyle name="Normal 4 6 6 2 4" xfId="21289" xr:uid="{EAD1BFAA-1B9D-4BB5-88F6-849A621824A1}"/>
    <cellStyle name="Normal 4 6 6 2 5" xfId="29729" xr:uid="{519848C4-2F7A-4C19-BD40-14927A704846}"/>
    <cellStyle name="Normal 4 6 6 3" xfId="5594" xr:uid="{00000000-0005-0000-0000-000096160000}"/>
    <cellStyle name="Normal 4 6 6 3 2" xfId="14920" xr:uid="{82D3A597-3E09-4A5F-A65C-AE9F0AE6CF30}"/>
    <cellStyle name="Normal 4 6 6 3 3" xfId="23361" xr:uid="{222E872E-05FF-45FE-90B2-D8671254D977}"/>
    <cellStyle name="Normal 4 6 6 3 4" xfId="31801" xr:uid="{D118D732-004F-4BB7-B395-9CA8B26C58FC}"/>
    <cellStyle name="Normal 4 6 6 4" xfId="10703" xr:uid="{419D0A4E-BA29-4D85-8DAD-72BBA8969730}"/>
    <cellStyle name="Normal 4 6 6 5" xfId="19144" xr:uid="{A967ED9E-1BC2-4F92-9D6E-96CCBC3785D4}"/>
    <cellStyle name="Normal 4 6 6 6" xfId="27584" xr:uid="{D938F241-ABE2-4895-A621-21E62B3327EF}"/>
    <cellStyle name="Normal 4 6 7" xfId="1700" xr:uid="{00000000-0005-0000-0000-000097160000}"/>
    <cellStyle name="Normal 4 6 7 2" xfId="3930" xr:uid="{00000000-0005-0000-0000-000098160000}"/>
    <cellStyle name="Normal 4 6 7 2 2" xfId="8152" xr:uid="{00000000-0005-0000-0000-000099160000}"/>
    <cellStyle name="Normal 4 6 7 2 2 2" xfId="17478" xr:uid="{75088A01-823F-4B16-BF97-BAE16A797E01}"/>
    <cellStyle name="Normal 4 6 7 2 2 3" xfId="25919" xr:uid="{BD8D4A37-9A72-4193-B9A1-4A41D1BAC833}"/>
    <cellStyle name="Normal 4 6 7 2 2 4" xfId="34359" xr:uid="{A0D18E58-26DD-4BC0-9922-E09C3C856203}"/>
    <cellStyle name="Normal 4 6 7 2 3" xfId="13261" xr:uid="{52B9A72C-B040-4542-80C4-C831A624575C}"/>
    <cellStyle name="Normal 4 6 7 2 4" xfId="21702" xr:uid="{B868393F-9B18-4F64-A4F9-A34FFE64A95B}"/>
    <cellStyle name="Normal 4 6 7 2 5" xfId="30142" xr:uid="{00326C45-17D9-46B8-B7FD-26A3D466FD2E}"/>
    <cellStyle name="Normal 4 6 7 3" xfId="6007" xr:uid="{00000000-0005-0000-0000-00009A160000}"/>
    <cellStyle name="Normal 4 6 7 3 2" xfId="15333" xr:uid="{7A37537E-D345-43E4-89C6-2DE1158F2880}"/>
    <cellStyle name="Normal 4 6 7 3 3" xfId="23774" xr:uid="{C11FC5A8-C0F7-4F72-BF03-1F92BAC4EE5C}"/>
    <cellStyle name="Normal 4 6 7 3 4" xfId="32214" xr:uid="{198876B8-48DE-41E4-87BF-6EAC7288DD62}"/>
    <cellStyle name="Normal 4 6 7 4" xfId="11116" xr:uid="{8E2E27A4-DAB3-4B3E-9330-1C466CD1E003}"/>
    <cellStyle name="Normal 4 6 7 5" xfId="19557" xr:uid="{E2D25CA6-C13A-46C9-ACC6-6FF5231D594A}"/>
    <cellStyle name="Normal 4 6 7 6" xfId="27997" xr:uid="{D1652882-F199-4400-9A4D-FCF91ABD5C85}"/>
    <cellStyle name="Normal 4 6 8" xfId="2114" xr:uid="{00000000-0005-0000-0000-00009B160000}"/>
    <cellStyle name="Normal 4 6 8 2" xfId="4343" xr:uid="{00000000-0005-0000-0000-00009C160000}"/>
    <cellStyle name="Normal 4 6 8 2 2" xfId="8565" xr:uid="{00000000-0005-0000-0000-00009D160000}"/>
    <cellStyle name="Normal 4 6 8 2 2 2" xfId="17891" xr:uid="{C9F5163F-C556-4DC2-9F4B-F3B5338736D4}"/>
    <cellStyle name="Normal 4 6 8 2 2 3" xfId="26332" xr:uid="{12036CC6-9C14-4BCA-8E3A-666AE7F05D83}"/>
    <cellStyle name="Normal 4 6 8 2 2 4" xfId="34772" xr:uid="{D7A1AAC7-EED0-4415-A8AC-BAFA5891BBEB}"/>
    <cellStyle name="Normal 4 6 8 2 3" xfId="13674" xr:uid="{FF89BD5E-B6BE-4584-B78B-D86B822F5E6A}"/>
    <cellStyle name="Normal 4 6 8 2 4" xfId="22115" xr:uid="{91F2AA2F-8B8B-46DB-BA44-126E733D1F70}"/>
    <cellStyle name="Normal 4 6 8 2 5" xfId="30555" xr:uid="{54D9EE1D-A335-4142-8848-48E3826255E6}"/>
    <cellStyle name="Normal 4 6 8 3" xfId="6420" xr:uid="{00000000-0005-0000-0000-00009E160000}"/>
    <cellStyle name="Normal 4 6 8 3 2" xfId="15746" xr:uid="{DA2E6428-2EAB-45DD-9688-86DE32A69FEA}"/>
    <cellStyle name="Normal 4 6 8 3 3" xfId="24187" xr:uid="{0B6BF608-C33B-4DDC-84E5-23CAE21ED557}"/>
    <cellStyle name="Normal 4 6 8 3 4" xfId="32627" xr:uid="{B7E60B18-9351-4813-8395-D04362F71A36}"/>
    <cellStyle name="Normal 4 6 8 4" xfId="11529" xr:uid="{4907802E-7E17-49FB-AF07-E0967F49EE26}"/>
    <cellStyle name="Normal 4 6 8 5" xfId="19970" xr:uid="{17ECBC95-7332-400B-8BBA-919B713F1DA6}"/>
    <cellStyle name="Normal 4 6 8 6" xfId="28410" xr:uid="{E7127D36-A480-487F-8706-DCED2BA74598}"/>
    <cellStyle name="Normal 4 6 9" xfId="2550" xr:uid="{00000000-0005-0000-0000-00009F160000}"/>
    <cellStyle name="Normal 4 6 9 2" xfId="6833" xr:uid="{00000000-0005-0000-0000-0000A0160000}"/>
    <cellStyle name="Normal 4 6 9 2 2" xfId="16159" xr:uid="{44F0DD32-C880-4474-BA15-4802FA6540C4}"/>
    <cellStyle name="Normal 4 6 9 2 3" xfId="24600" xr:uid="{9FB04D3F-E3B8-45FE-AD9F-CA7D45F22A81}"/>
    <cellStyle name="Normal 4 6 9 2 4" xfId="33040" xr:uid="{04B6E217-7747-4781-9699-9A054D302BEA}"/>
    <cellStyle name="Normal 4 6 9 3" xfId="11942" xr:uid="{FEA6C44A-BE7D-4B4E-904D-4557B213F747}"/>
    <cellStyle name="Normal 4 6 9 4" xfId="20383" xr:uid="{78DBF1E1-2E7F-4B2B-BA41-44C26C7539E6}"/>
    <cellStyle name="Normal 4 6 9 5" xfId="28823" xr:uid="{8AB8E0BB-7076-4AD1-8402-4E56916D7614}"/>
    <cellStyle name="Normal 4 7" xfId="403" xr:uid="{00000000-0005-0000-0000-0000A1160000}"/>
    <cellStyle name="Normal 4 7 10" xfId="9885" xr:uid="{69BA0CB8-2D54-4741-80F7-F01B50790207}"/>
    <cellStyle name="Normal 4 7 11" xfId="18326" xr:uid="{FF775658-5010-4A56-917E-D1402F9982B4}"/>
    <cellStyle name="Normal 4 7 12" xfId="26766" xr:uid="{09871C6E-986F-44CC-B22D-0F87D7CAFB92}"/>
    <cellStyle name="Normal 4 7 2" xfId="404" xr:uid="{00000000-0005-0000-0000-0000A2160000}"/>
    <cellStyle name="Normal 4 7 2 10" xfId="18327" xr:uid="{51DD8B7A-5654-469A-A857-1F50700DBC0B}"/>
    <cellStyle name="Normal 4 7 2 11" xfId="26767" xr:uid="{C6A91329-3A02-40A9-9F3E-6E18A04C6B4C}"/>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CF498783-85FB-4DC6-9B0A-9E09C39C28A9}"/>
    <cellStyle name="Normal 4 7 2 2 2 2 3" xfId="25102" xr:uid="{A07AC18F-8FEB-4348-83DB-F32D963C1C97}"/>
    <cellStyle name="Normal 4 7 2 2 2 2 4" xfId="33542" xr:uid="{C036E7EA-E8EF-4A48-B207-6C69386A998A}"/>
    <cellStyle name="Normal 4 7 2 2 2 3" xfId="12444" xr:uid="{230A9826-3EE4-4811-8F5C-70EF2D413FB3}"/>
    <cellStyle name="Normal 4 7 2 2 2 4" xfId="20885" xr:uid="{D5E87E9B-B08B-4E95-BC19-90F495AA9C2E}"/>
    <cellStyle name="Normal 4 7 2 2 2 5" xfId="29325" xr:uid="{FF6D2BB0-76EF-440D-B628-AB673E9FF179}"/>
    <cellStyle name="Normal 4 7 2 2 3" xfId="5190" xr:uid="{00000000-0005-0000-0000-0000A6160000}"/>
    <cellStyle name="Normal 4 7 2 2 3 2" xfId="14516" xr:uid="{17C604CD-AF5B-47C6-A839-08C2D3A1A334}"/>
    <cellStyle name="Normal 4 7 2 2 3 3" xfId="22957" xr:uid="{C32365E5-E070-47A6-A919-147CAEFCEEF6}"/>
    <cellStyle name="Normal 4 7 2 2 3 4" xfId="31397" xr:uid="{809D425A-AEC2-4ACD-A585-0ECE5A32A54E}"/>
    <cellStyle name="Normal 4 7 2 2 4" xfId="9475" xr:uid="{1E309EF6-7D7C-4A4D-B2F1-E00D0CF6E167}"/>
    <cellStyle name="Normal 4 7 2 2 5" xfId="10299" xr:uid="{2D12A577-70AB-4C55-A4D9-E60B052FD3AB}"/>
    <cellStyle name="Normal 4 7 2 2 6" xfId="18740" xr:uid="{C29992F6-BB78-4ABF-9FC7-DB264FCFD933}"/>
    <cellStyle name="Normal 4 7 2 2 7" xfId="27180" xr:uid="{ED8B0CF3-2330-436F-A61B-AB70EBA9990D}"/>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21BB3B0D-22B5-462F-9BFA-FE2EF0A78340}"/>
    <cellStyle name="Normal 4 7 2 3 2 2 3" xfId="25515" xr:uid="{EFC60251-8189-4E63-8089-839908EB5A58}"/>
    <cellStyle name="Normal 4 7 2 3 2 2 4" xfId="33955" xr:uid="{AED0915E-6F14-4144-AC0B-F5F7E8BCD28C}"/>
    <cellStyle name="Normal 4 7 2 3 2 3" xfId="12857" xr:uid="{E4BFE347-970C-4DFC-BB6E-3327F926A0B9}"/>
    <cellStyle name="Normal 4 7 2 3 2 4" xfId="21298" xr:uid="{5A5216F2-C7DA-4B88-991B-43C032B130D7}"/>
    <cellStyle name="Normal 4 7 2 3 2 5" xfId="29738" xr:uid="{7937C3C1-DF5D-46C7-A335-82BBC0AD94D5}"/>
    <cellStyle name="Normal 4 7 2 3 3" xfId="5603" xr:uid="{00000000-0005-0000-0000-0000AA160000}"/>
    <cellStyle name="Normal 4 7 2 3 3 2" xfId="14929" xr:uid="{15E8194E-A49D-4509-A25E-2396011C6C1B}"/>
    <cellStyle name="Normal 4 7 2 3 3 3" xfId="23370" xr:uid="{2D8EE7ED-016B-45CD-8E76-BCBB5E137D25}"/>
    <cellStyle name="Normal 4 7 2 3 3 4" xfId="31810" xr:uid="{50E82A8C-67C9-4521-A672-96B02867C042}"/>
    <cellStyle name="Normal 4 7 2 3 4" xfId="10712" xr:uid="{761FA607-8CE4-405D-BF2C-B0EBBED72056}"/>
    <cellStyle name="Normal 4 7 2 3 5" xfId="19153" xr:uid="{147621B3-53A8-4504-BB86-FDA24C9B3F84}"/>
    <cellStyle name="Normal 4 7 2 3 6" xfId="27593" xr:uid="{0654B16D-82EC-4A5C-9257-CDD3174D0DCD}"/>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0B85497D-8609-435F-8B64-CABC493E8727}"/>
    <cellStyle name="Normal 4 7 2 4 2 2 3" xfId="25928" xr:uid="{407F6401-0FE2-4ECC-BA21-E825E56B789A}"/>
    <cellStyle name="Normal 4 7 2 4 2 2 4" xfId="34368" xr:uid="{62461C43-226D-4AB9-81D2-738900C2E59F}"/>
    <cellStyle name="Normal 4 7 2 4 2 3" xfId="13270" xr:uid="{E285DF98-668A-4017-B62E-1407CD9C198E}"/>
    <cellStyle name="Normal 4 7 2 4 2 4" xfId="21711" xr:uid="{8B1F7CE8-0604-479D-BD62-7E22F1EFBABB}"/>
    <cellStyle name="Normal 4 7 2 4 2 5" xfId="30151" xr:uid="{AFD53788-B9DB-4220-840D-243CA9A8A733}"/>
    <cellStyle name="Normal 4 7 2 4 3" xfId="6016" xr:uid="{00000000-0005-0000-0000-0000AE160000}"/>
    <cellStyle name="Normal 4 7 2 4 3 2" xfId="15342" xr:uid="{39242ABD-21DF-47D0-8738-84C916A5356D}"/>
    <cellStyle name="Normal 4 7 2 4 3 3" xfId="23783" xr:uid="{B3FA792C-E720-4B09-8771-6F53432B5A1F}"/>
    <cellStyle name="Normal 4 7 2 4 3 4" xfId="32223" xr:uid="{D12C435F-37D0-44A8-AE92-62AA16320EC4}"/>
    <cellStyle name="Normal 4 7 2 4 4" xfId="11125" xr:uid="{0A9D3269-8A17-4510-A4EE-E11C0D2AA313}"/>
    <cellStyle name="Normal 4 7 2 4 5" xfId="19566" xr:uid="{8B4F6B88-CF0B-45D9-ACC2-99E92461AF82}"/>
    <cellStyle name="Normal 4 7 2 4 6" xfId="28006" xr:uid="{69BDA602-46D5-4157-96FA-D5E7260E718F}"/>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042FD3F8-CBED-4413-BF04-928041FDEEB6}"/>
    <cellStyle name="Normal 4 7 2 5 2 2 3" xfId="26341" xr:uid="{344C6D26-E5F5-4C48-9967-32C752AED5E0}"/>
    <cellStyle name="Normal 4 7 2 5 2 2 4" xfId="34781" xr:uid="{0C2A6197-917A-4A1B-BB6A-EE5E9EDB9686}"/>
    <cellStyle name="Normal 4 7 2 5 2 3" xfId="13683" xr:uid="{44258283-2E8A-4209-B6A2-E7B258D2571E}"/>
    <cellStyle name="Normal 4 7 2 5 2 4" xfId="22124" xr:uid="{203788C2-BF55-4DAA-A511-42CD4A7C957E}"/>
    <cellStyle name="Normal 4 7 2 5 2 5" xfId="30564" xr:uid="{4D103DD5-6A19-483C-B899-AC86521D4032}"/>
    <cellStyle name="Normal 4 7 2 5 3" xfId="6429" xr:uid="{00000000-0005-0000-0000-0000B2160000}"/>
    <cellStyle name="Normal 4 7 2 5 3 2" xfId="15755" xr:uid="{322E8460-390A-4C47-8E08-47CDE42902E9}"/>
    <cellStyle name="Normal 4 7 2 5 3 3" xfId="24196" xr:uid="{AFA3C75E-4FBC-4FFC-9760-6051F8610A93}"/>
    <cellStyle name="Normal 4 7 2 5 3 4" xfId="32636" xr:uid="{AD52E3EC-6060-46FD-A433-68B29EFAC678}"/>
    <cellStyle name="Normal 4 7 2 5 4" xfId="11538" xr:uid="{C4FA392B-557E-4A34-A7D3-EE1B83064F0A}"/>
    <cellStyle name="Normal 4 7 2 5 5" xfId="19979" xr:uid="{8B6C062D-3D0E-419D-8023-968DE541E179}"/>
    <cellStyle name="Normal 4 7 2 5 6" xfId="28419" xr:uid="{0D661AC5-915B-4062-BC06-110CD4CAF0AA}"/>
    <cellStyle name="Normal 4 7 2 6" xfId="2559" xr:uid="{00000000-0005-0000-0000-0000B3160000}"/>
    <cellStyle name="Normal 4 7 2 6 2" xfId="6842" xr:uid="{00000000-0005-0000-0000-0000B4160000}"/>
    <cellStyle name="Normal 4 7 2 6 2 2" xfId="16168" xr:uid="{816F171F-B6E4-4227-8017-546F3A9C9536}"/>
    <cellStyle name="Normal 4 7 2 6 2 3" xfId="24609" xr:uid="{949DF3A6-CCCF-4CB7-AFA6-3050CFC39746}"/>
    <cellStyle name="Normal 4 7 2 6 2 4" xfId="33049" xr:uid="{16069CCD-811D-4121-87E0-9B804F12E0E2}"/>
    <cellStyle name="Normal 4 7 2 6 3" xfId="11951" xr:uid="{BF212902-1B35-4F2E-997A-0E13FF20AEE2}"/>
    <cellStyle name="Normal 4 7 2 6 4" xfId="20392" xr:uid="{3AB3B2C5-D842-4A53-8ABD-A1C0465CD590}"/>
    <cellStyle name="Normal 4 7 2 6 5" xfId="28832" xr:uid="{C28656AB-4C9F-45A5-AF27-7FE97947F18A}"/>
    <cellStyle name="Normal 4 7 2 7" xfId="4777" xr:uid="{00000000-0005-0000-0000-0000B5160000}"/>
    <cellStyle name="Normal 4 7 2 7 2" xfId="14103" xr:uid="{7F22D1B3-EE35-4E54-A922-B435EF879DEE}"/>
    <cellStyle name="Normal 4 7 2 7 3" xfId="22544" xr:uid="{E34BA4E7-CED1-49B8-A59D-B6DFF4164ED9}"/>
    <cellStyle name="Normal 4 7 2 7 4" xfId="30984" xr:uid="{E04C7937-A5F2-47A0-AA29-C76E9CC87B04}"/>
    <cellStyle name="Normal 4 7 2 8" xfId="9050" xr:uid="{C18A0BCD-6C40-47C4-AC72-E06914F008F6}"/>
    <cellStyle name="Normal 4 7 2 9" xfId="9886" xr:uid="{69213461-8304-4690-B9E7-9CA44EEDE870}"/>
    <cellStyle name="Normal 4 7 3" xfId="877" xr:uid="{00000000-0005-0000-0000-0000B6160000}"/>
    <cellStyle name="Normal 4 7 3 2" xfId="3112" xr:uid="{00000000-0005-0000-0000-0000B7160000}"/>
    <cellStyle name="Normal 4 7 3 2 2" xfId="7334" xr:uid="{00000000-0005-0000-0000-0000B8160000}"/>
    <cellStyle name="Normal 4 7 3 2 2 2" xfId="16660" xr:uid="{CD8E9A85-2535-4F8C-BBA9-FB6FE5E38019}"/>
    <cellStyle name="Normal 4 7 3 2 2 3" xfId="25101" xr:uid="{6F3710C6-FFE3-46A6-B167-6A9935A44D97}"/>
    <cellStyle name="Normal 4 7 3 2 2 4" xfId="33541" xr:uid="{650A9DE1-F433-4F29-8746-8E989F3241D4}"/>
    <cellStyle name="Normal 4 7 3 2 3" xfId="12443" xr:uid="{A2ADEC5C-CAD4-4E68-B4D7-0D7037184AE2}"/>
    <cellStyle name="Normal 4 7 3 2 4" xfId="20884" xr:uid="{A3FBE94D-881B-4111-B557-D5B83DE8FC5F}"/>
    <cellStyle name="Normal 4 7 3 2 5" xfId="29324" xr:uid="{2B73CE5A-0389-490B-B2FD-3FC12514DDD0}"/>
    <cellStyle name="Normal 4 7 3 3" xfId="5189" xr:uid="{00000000-0005-0000-0000-0000B9160000}"/>
    <cellStyle name="Normal 4 7 3 3 2" xfId="14515" xr:uid="{68DDACB2-E522-41C4-927D-5CC2C5E2635B}"/>
    <cellStyle name="Normal 4 7 3 3 3" xfId="22956" xr:uid="{B28186F2-1CD4-494C-AE11-A3259ED4E03A}"/>
    <cellStyle name="Normal 4 7 3 3 4" xfId="31396" xr:uid="{25EF4523-E79D-4E5E-B205-9FBA5072503D}"/>
    <cellStyle name="Normal 4 7 3 4" xfId="9268" xr:uid="{83DA99B2-5D77-4110-AEB9-304D3ECEF3EB}"/>
    <cellStyle name="Normal 4 7 3 5" xfId="10298" xr:uid="{F70A8C2F-BB28-45AA-9BF8-6852FAB9832F}"/>
    <cellStyle name="Normal 4 7 3 6" xfId="18739" xr:uid="{6DF19EC4-86CD-4B94-BFB8-3268B6404D83}"/>
    <cellStyle name="Normal 4 7 3 7" xfId="27179" xr:uid="{9B898B42-804F-4A51-B36C-AC57144A8BCC}"/>
    <cellStyle name="Normal 4 7 4" xfId="1295" xr:uid="{00000000-0005-0000-0000-0000BA160000}"/>
    <cellStyle name="Normal 4 7 4 2" xfId="3525" xr:uid="{00000000-0005-0000-0000-0000BB160000}"/>
    <cellStyle name="Normal 4 7 4 2 2" xfId="7747" xr:uid="{00000000-0005-0000-0000-0000BC160000}"/>
    <cellStyle name="Normal 4 7 4 2 2 2" xfId="17073" xr:uid="{11BDA8B3-B104-4796-A660-3C4789CD7BB3}"/>
    <cellStyle name="Normal 4 7 4 2 2 3" xfId="25514" xr:uid="{E0CCE9E3-75A1-4DAA-80CE-9DCF0FF6BCA7}"/>
    <cellStyle name="Normal 4 7 4 2 2 4" xfId="33954" xr:uid="{EB12B560-3A4D-4801-984C-CE148A998778}"/>
    <cellStyle name="Normal 4 7 4 2 3" xfId="12856" xr:uid="{D980A461-E201-498E-A2F3-E2F08E7BACFB}"/>
    <cellStyle name="Normal 4 7 4 2 4" xfId="21297" xr:uid="{D0CE76FE-38B3-48AC-91F7-F051EFECAFCD}"/>
    <cellStyle name="Normal 4 7 4 2 5" xfId="29737" xr:uid="{B4B559DD-8A9A-4901-BEE8-E30894158CBB}"/>
    <cellStyle name="Normal 4 7 4 3" xfId="5602" xr:uid="{00000000-0005-0000-0000-0000BD160000}"/>
    <cellStyle name="Normal 4 7 4 3 2" xfId="14928" xr:uid="{763AB490-DCB9-4B66-AA95-1293E35E7AC1}"/>
    <cellStyle name="Normal 4 7 4 3 3" xfId="23369" xr:uid="{7B93AE16-0121-4C60-AF18-1E7082340ACF}"/>
    <cellStyle name="Normal 4 7 4 3 4" xfId="31809" xr:uid="{323A0304-F846-4ECD-B17C-0588163DDA10}"/>
    <cellStyle name="Normal 4 7 4 4" xfId="10711" xr:uid="{DBBE379A-B5AC-4A9D-B3D7-461FCC8074B6}"/>
    <cellStyle name="Normal 4 7 4 5" xfId="19152" xr:uid="{2E3981AA-BF3E-480C-8639-551A682F03C0}"/>
    <cellStyle name="Normal 4 7 4 6" xfId="27592" xr:uid="{4B40A3BF-1CE8-46D7-82DD-EEA3B17F658D}"/>
    <cellStyle name="Normal 4 7 5" xfId="1708" xr:uid="{00000000-0005-0000-0000-0000BE160000}"/>
    <cellStyle name="Normal 4 7 5 2" xfId="3938" xr:uid="{00000000-0005-0000-0000-0000BF160000}"/>
    <cellStyle name="Normal 4 7 5 2 2" xfId="8160" xr:uid="{00000000-0005-0000-0000-0000C0160000}"/>
    <cellStyle name="Normal 4 7 5 2 2 2" xfId="17486" xr:uid="{89277A15-6C37-4DFC-ADAC-B074BB4162E4}"/>
    <cellStyle name="Normal 4 7 5 2 2 3" xfId="25927" xr:uid="{24842B52-6106-4356-AA20-5A9103EE8BF3}"/>
    <cellStyle name="Normal 4 7 5 2 2 4" xfId="34367" xr:uid="{F9C62A32-E410-4F6E-8106-B389D46888F5}"/>
    <cellStyle name="Normal 4 7 5 2 3" xfId="13269" xr:uid="{E5B34F27-CECD-48AC-B28E-AF7D966478DE}"/>
    <cellStyle name="Normal 4 7 5 2 4" xfId="21710" xr:uid="{30B30820-1B99-4CF8-A4F9-64B16C825FA0}"/>
    <cellStyle name="Normal 4 7 5 2 5" xfId="30150" xr:uid="{C3B50FFA-F15A-4DC2-825D-6B9AD8BDC710}"/>
    <cellStyle name="Normal 4 7 5 3" xfId="6015" xr:uid="{00000000-0005-0000-0000-0000C1160000}"/>
    <cellStyle name="Normal 4 7 5 3 2" xfId="15341" xr:uid="{3B4957B9-60A8-448E-AE80-D861BAA3A650}"/>
    <cellStyle name="Normal 4 7 5 3 3" xfId="23782" xr:uid="{7DAFF457-1013-4172-9DFA-21BD38DBC1AE}"/>
    <cellStyle name="Normal 4 7 5 3 4" xfId="32222" xr:uid="{ED2C3C22-82D7-470C-B4BA-90838DC1E726}"/>
    <cellStyle name="Normal 4 7 5 4" xfId="11124" xr:uid="{D2D38C34-E3D8-4430-95EE-7EF7D6B9A495}"/>
    <cellStyle name="Normal 4 7 5 5" xfId="19565" xr:uid="{818305E2-C405-4631-96DD-4D41F5D507F3}"/>
    <cellStyle name="Normal 4 7 5 6" xfId="28005" xr:uid="{73AFF7CB-CC5A-4494-AD46-5FA6718C0290}"/>
    <cellStyle name="Normal 4 7 6" xfId="2122" xr:uid="{00000000-0005-0000-0000-0000C2160000}"/>
    <cellStyle name="Normal 4 7 6 2" xfId="4351" xr:uid="{00000000-0005-0000-0000-0000C3160000}"/>
    <cellStyle name="Normal 4 7 6 2 2" xfId="8573" xr:uid="{00000000-0005-0000-0000-0000C4160000}"/>
    <cellStyle name="Normal 4 7 6 2 2 2" xfId="17899" xr:uid="{82978E2C-7A78-4E04-AD70-82F06ACC8528}"/>
    <cellStyle name="Normal 4 7 6 2 2 3" xfId="26340" xr:uid="{CB7870C3-96C5-4DC9-A91C-FA3A2930DDF6}"/>
    <cellStyle name="Normal 4 7 6 2 2 4" xfId="34780" xr:uid="{D4896008-6A07-484A-9386-5F8ACA0752C8}"/>
    <cellStyle name="Normal 4 7 6 2 3" xfId="13682" xr:uid="{C235F2EE-6304-400C-BEB4-AEBA90B35FCC}"/>
    <cellStyle name="Normal 4 7 6 2 4" xfId="22123" xr:uid="{1B7BB1CF-9BE3-4FAD-B81B-6A521B9BAB8C}"/>
    <cellStyle name="Normal 4 7 6 2 5" xfId="30563" xr:uid="{67B85FF3-861F-40CD-96CC-1FDFF33D6132}"/>
    <cellStyle name="Normal 4 7 6 3" xfId="6428" xr:uid="{00000000-0005-0000-0000-0000C5160000}"/>
    <cellStyle name="Normal 4 7 6 3 2" xfId="15754" xr:uid="{54749A8F-9DE8-4B61-A2A5-F6973956A273}"/>
    <cellStyle name="Normal 4 7 6 3 3" xfId="24195" xr:uid="{AD321223-D915-45DB-84FF-902520E03786}"/>
    <cellStyle name="Normal 4 7 6 3 4" xfId="32635" xr:uid="{60816132-DEF0-461C-B6E7-11978BEF0A97}"/>
    <cellStyle name="Normal 4 7 6 4" xfId="11537" xr:uid="{1391482C-46E2-4C13-BF14-C50DBA3F9864}"/>
    <cellStyle name="Normal 4 7 6 5" xfId="19978" xr:uid="{099025C9-2661-4274-8B0D-43570637C804}"/>
    <cellStyle name="Normal 4 7 6 6" xfId="28418" xr:uid="{F2130F47-BCF8-4045-8055-CAA057309A6E}"/>
    <cellStyle name="Normal 4 7 7" xfId="2558" xr:uid="{00000000-0005-0000-0000-0000C6160000}"/>
    <cellStyle name="Normal 4 7 7 2" xfId="6841" xr:uid="{00000000-0005-0000-0000-0000C7160000}"/>
    <cellStyle name="Normal 4 7 7 2 2" xfId="16167" xr:uid="{4C5CFD68-2631-4E38-B0AD-059521E3A0B7}"/>
    <cellStyle name="Normal 4 7 7 2 3" xfId="24608" xr:uid="{647F5C6A-E044-4305-89F6-56A09DCF9B04}"/>
    <cellStyle name="Normal 4 7 7 2 4" xfId="33048" xr:uid="{E8BE1916-D1B1-4B7F-8585-CC4D13F4216D}"/>
    <cellStyle name="Normal 4 7 7 3" xfId="11950" xr:uid="{D28836B9-EFAB-414C-BEF7-2560AEA13A09}"/>
    <cellStyle name="Normal 4 7 7 4" xfId="20391" xr:uid="{B2EAF9CC-C717-43F6-B6DD-3329F167ABDC}"/>
    <cellStyle name="Normal 4 7 7 5" xfId="28831" xr:uid="{44171E17-1110-4E6B-9ADB-214219CF0D98}"/>
    <cellStyle name="Normal 4 7 8" xfId="4776" xr:uid="{00000000-0005-0000-0000-0000C8160000}"/>
    <cellStyle name="Normal 4 7 8 2" xfId="14102" xr:uid="{45D2AE0B-94E4-4392-815C-3CB50C986CDE}"/>
    <cellStyle name="Normal 4 7 8 3" xfId="22543" xr:uid="{6CBC9D37-8819-479A-955B-922F8E7C5FB9}"/>
    <cellStyle name="Normal 4 7 8 4" xfId="30983" xr:uid="{612ACB47-54ED-49FF-9E04-D69F609AE309}"/>
    <cellStyle name="Normal 4 7 9" xfId="8843" xr:uid="{092972D9-0015-4C5A-94A6-5AFD2026266B}"/>
    <cellStyle name="Normal 4 8" xfId="405" xr:uid="{00000000-0005-0000-0000-0000C9160000}"/>
    <cellStyle name="Normal 4 8 10" xfId="18328" xr:uid="{1642D8ED-BB3A-41E0-90F9-42128D4C7515}"/>
    <cellStyle name="Normal 4 8 11" xfId="26768" xr:uid="{01D96BFA-633B-434E-BDA9-236EEDEFB891}"/>
    <cellStyle name="Normal 4 8 2" xfId="879" xr:uid="{00000000-0005-0000-0000-0000CA160000}"/>
    <cellStyle name="Normal 4 8 2 2" xfId="3114" xr:uid="{00000000-0005-0000-0000-0000CB160000}"/>
    <cellStyle name="Normal 4 8 2 2 2" xfId="7336" xr:uid="{00000000-0005-0000-0000-0000CC160000}"/>
    <cellStyle name="Normal 4 8 2 2 2 2" xfId="16662" xr:uid="{212A6BED-1DEC-4591-861A-406DB9D565D7}"/>
    <cellStyle name="Normal 4 8 2 2 2 3" xfId="25103" xr:uid="{9F2B7417-CF8E-447F-A25F-B290015124FF}"/>
    <cellStyle name="Normal 4 8 2 2 2 4" xfId="33543" xr:uid="{5AB894DA-6B8D-4D84-A672-C10413DCEA97}"/>
    <cellStyle name="Normal 4 8 2 2 3" xfId="12445" xr:uid="{5CECCE11-25CB-4ADB-8552-93FF01BC78C9}"/>
    <cellStyle name="Normal 4 8 2 2 4" xfId="20886" xr:uid="{3A61D841-E7E9-488F-90AE-EE973C7C0325}"/>
    <cellStyle name="Normal 4 8 2 2 5" xfId="29326" xr:uid="{984F9595-D0EF-4A2D-9687-8EFFA5B445E1}"/>
    <cellStyle name="Normal 4 8 2 3" xfId="5191" xr:uid="{00000000-0005-0000-0000-0000CD160000}"/>
    <cellStyle name="Normal 4 8 2 3 2" xfId="14517" xr:uid="{A02CB20F-4B9A-4790-9EE9-70F7BA480E4A}"/>
    <cellStyle name="Normal 4 8 2 3 3" xfId="22958" xr:uid="{6B37A7E7-B67A-4780-9F00-5CADED2E5E2B}"/>
    <cellStyle name="Normal 4 8 2 3 4" xfId="31398" xr:uid="{2B5F1A47-C1F5-42C3-AE52-C7FBA04F87AB}"/>
    <cellStyle name="Normal 4 8 2 4" xfId="9384" xr:uid="{6351F1DA-E485-4044-8429-C0AE76E79EEE}"/>
    <cellStyle name="Normal 4 8 2 5" xfId="10300" xr:uid="{7238F4DC-D4FB-4376-8C2F-F642DD5BA678}"/>
    <cellStyle name="Normal 4 8 2 6" xfId="18741" xr:uid="{2B675D41-74E2-4725-BE8A-59CC8CC37C9B}"/>
    <cellStyle name="Normal 4 8 2 7" xfId="27181" xr:uid="{5319CB60-D3EF-4641-B080-1ACCF88FE53E}"/>
    <cellStyle name="Normal 4 8 3" xfId="1297" xr:uid="{00000000-0005-0000-0000-0000CE160000}"/>
    <cellStyle name="Normal 4 8 3 2" xfId="3527" xr:uid="{00000000-0005-0000-0000-0000CF160000}"/>
    <cellStyle name="Normal 4 8 3 2 2" xfId="7749" xr:uid="{00000000-0005-0000-0000-0000D0160000}"/>
    <cellStyle name="Normal 4 8 3 2 2 2" xfId="17075" xr:uid="{64D85617-DA68-40C5-B025-E45553D6BF1B}"/>
    <cellStyle name="Normal 4 8 3 2 2 3" xfId="25516" xr:uid="{313C4477-652B-4AEB-8AB2-7B18EE306AF3}"/>
    <cellStyle name="Normal 4 8 3 2 2 4" xfId="33956" xr:uid="{07F548D9-30E1-4CB6-9E3B-913C62311258}"/>
    <cellStyle name="Normal 4 8 3 2 3" xfId="12858" xr:uid="{43E428B7-058C-4F15-86FA-A31422E97ADB}"/>
    <cellStyle name="Normal 4 8 3 2 4" xfId="21299" xr:uid="{F37FF1B5-AEDC-4E9D-A142-D9655A6420F1}"/>
    <cellStyle name="Normal 4 8 3 2 5" xfId="29739" xr:uid="{39F16B41-E4A1-4C2F-AEC9-BA457F22B698}"/>
    <cellStyle name="Normal 4 8 3 3" xfId="5604" xr:uid="{00000000-0005-0000-0000-0000D1160000}"/>
    <cellStyle name="Normal 4 8 3 3 2" xfId="14930" xr:uid="{10B9B9EA-FFF0-46D6-A243-4326F09E2F62}"/>
    <cellStyle name="Normal 4 8 3 3 3" xfId="23371" xr:uid="{0C1F1141-E74B-484D-ACDE-E8C4DD6C4CAF}"/>
    <cellStyle name="Normal 4 8 3 3 4" xfId="31811" xr:uid="{93EC128A-ECC5-4447-AEC0-5271DDF6C3DB}"/>
    <cellStyle name="Normal 4 8 3 4" xfId="10713" xr:uid="{F169A19A-DE07-495B-A832-A66AE12E30B5}"/>
    <cellStyle name="Normal 4 8 3 5" xfId="19154" xr:uid="{85BE4B8B-7F2E-4ACD-B70E-C23A19190035}"/>
    <cellStyle name="Normal 4 8 3 6" xfId="27594" xr:uid="{0A3D2B14-3DAE-4CFF-97AC-6B2FA07E1A74}"/>
    <cellStyle name="Normal 4 8 4" xfId="1710" xr:uid="{00000000-0005-0000-0000-0000D2160000}"/>
    <cellStyle name="Normal 4 8 4 2" xfId="3940" xr:uid="{00000000-0005-0000-0000-0000D3160000}"/>
    <cellStyle name="Normal 4 8 4 2 2" xfId="8162" xr:uid="{00000000-0005-0000-0000-0000D4160000}"/>
    <cellStyle name="Normal 4 8 4 2 2 2" xfId="17488" xr:uid="{E3A7D3A5-E910-49E8-B3A6-F47F06760134}"/>
    <cellStyle name="Normal 4 8 4 2 2 3" xfId="25929" xr:uid="{EBFFA84D-CF8E-4D94-9F00-0326829BA53F}"/>
    <cellStyle name="Normal 4 8 4 2 2 4" xfId="34369" xr:uid="{725AC471-C2F4-4245-B36F-954E89255E33}"/>
    <cellStyle name="Normal 4 8 4 2 3" xfId="13271" xr:uid="{0B1538EC-4316-4F53-B05A-DDEA9FEA39ED}"/>
    <cellStyle name="Normal 4 8 4 2 4" xfId="21712" xr:uid="{A608F04E-1092-4A72-995E-37595AF6AB22}"/>
    <cellStyle name="Normal 4 8 4 2 5" xfId="30152" xr:uid="{9EA8CFC3-7F87-421A-BCED-8D25AB089769}"/>
    <cellStyle name="Normal 4 8 4 3" xfId="6017" xr:uid="{00000000-0005-0000-0000-0000D5160000}"/>
    <cellStyle name="Normal 4 8 4 3 2" xfId="15343" xr:uid="{D98A37D4-A003-46E1-AC99-2F7B419F52BB}"/>
    <cellStyle name="Normal 4 8 4 3 3" xfId="23784" xr:uid="{AD127207-CA43-4676-BF6A-F772AB4420BD}"/>
    <cellStyle name="Normal 4 8 4 3 4" xfId="32224" xr:uid="{093A6A97-F292-44D5-91DE-56F64994FB96}"/>
    <cellStyle name="Normal 4 8 4 4" xfId="11126" xr:uid="{36644010-9083-49B5-9F7F-B9025AFDCA7C}"/>
    <cellStyle name="Normal 4 8 4 5" xfId="19567" xr:uid="{4D966193-2D8F-493C-B517-D04F4E7B321D}"/>
    <cellStyle name="Normal 4 8 4 6" xfId="28007" xr:uid="{5E0F3942-19A4-49D7-8035-FE6840D984B9}"/>
    <cellStyle name="Normal 4 8 5" xfId="2124" xr:uid="{00000000-0005-0000-0000-0000D6160000}"/>
    <cellStyle name="Normal 4 8 5 2" xfId="4353" xr:uid="{00000000-0005-0000-0000-0000D7160000}"/>
    <cellStyle name="Normal 4 8 5 2 2" xfId="8575" xr:uid="{00000000-0005-0000-0000-0000D8160000}"/>
    <cellStyle name="Normal 4 8 5 2 2 2" xfId="17901" xr:uid="{818FC737-152F-42F7-8415-4B9FFCE6F76A}"/>
    <cellStyle name="Normal 4 8 5 2 2 3" xfId="26342" xr:uid="{40B779B8-F6F4-4E1B-BAFB-6FC98658F595}"/>
    <cellStyle name="Normal 4 8 5 2 2 4" xfId="34782" xr:uid="{C026AA0C-B678-43EF-BD87-BA2A3930FA7E}"/>
    <cellStyle name="Normal 4 8 5 2 3" xfId="13684" xr:uid="{23A5DA21-FF43-4FDA-AFAD-9D70E1EF1D68}"/>
    <cellStyle name="Normal 4 8 5 2 4" xfId="22125" xr:uid="{05191A11-F665-47EF-8CEF-C9FF0D138D1A}"/>
    <cellStyle name="Normal 4 8 5 2 5" xfId="30565" xr:uid="{9B73A7B1-3FCA-402F-9721-48BA1B318A26}"/>
    <cellStyle name="Normal 4 8 5 3" xfId="6430" xr:uid="{00000000-0005-0000-0000-0000D9160000}"/>
    <cellStyle name="Normal 4 8 5 3 2" xfId="15756" xr:uid="{D2C0B606-B774-4BD3-A14E-2DEBC7C783F9}"/>
    <cellStyle name="Normal 4 8 5 3 3" xfId="24197" xr:uid="{09F9902D-AFB6-494B-B5FF-CE1C5480F756}"/>
    <cellStyle name="Normal 4 8 5 3 4" xfId="32637" xr:uid="{80F6F211-4601-479D-A822-41F907CAB4D1}"/>
    <cellStyle name="Normal 4 8 5 4" xfId="11539" xr:uid="{A24910E8-210B-4191-A0D4-4CCDD71492B5}"/>
    <cellStyle name="Normal 4 8 5 5" xfId="19980" xr:uid="{3734BB43-5DC2-484A-81D9-3F3426F06A4B}"/>
    <cellStyle name="Normal 4 8 5 6" xfId="28420" xr:uid="{230FC4FD-F2ED-41EE-9165-382E8EFDBC24}"/>
    <cellStyle name="Normal 4 8 6" xfId="2560" xr:uid="{00000000-0005-0000-0000-0000DA160000}"/>
    <cellStyle name="Normal 4 8 6 2" xfId="6843" xr:uid="{00000000-0005-0000-0000-0000DB160000}"/>
    <cellStyle name="Normal 4 8 6 2 2" xfId="16169" xr:uid="{1B47456E-2A05-4CE7-B088-8ABC11EADDF6}"/>
    <cellStyle name="Normal 4 8 6 2 3" xfId="24610" xr:uid="{9A3AB1B4-6EB3-4307-A660-FDEBA83ED0F2}"/>
    <cellStyle name="Normal 4 8 6 2 4" xfId="33050" xr:uid="{564B5D8D-F9F8-4CA8-AA40-C6430A3DB8ED}"/>
    <cellStyle name="Normal 4 8 6 3" xfId="11952" xr:uid="{E5B530ED-C50C-4405-A00B-CEB93FCC6503}"/>
    <cellStyle name="Normal 4 8 6 4" xfId="20393" xr:uid="{2C48A450-C7EC-48DE-AF03-C77AD2C1240B}"/>
    <cellStyle name="Normal 4 8 6 5" xfId="28833" xr:uid="{C2AD0F61-18E9-4EF6-B48F-27A3CF2526BC}"/>
    <cellStyle name="Normal 4 8 7" xfId="4778" xr:uid="{00000000-0005-0000-0000-0000DC160000}"/>
    <cellStyle name="Normal 4 8 7 2" xfId="14104" xr:uid="{BB85B0F8-9B6D-4ED9-8BE0-51A70ECC1A65}"/>
    <cellStyle name="Normal 4 8 7 3" xfId="22545" xr:uid="{062C472D-1CD2-4864-9CC1-11F2A1555E7E}"/>
    <cellStyle name="Normal 4 8 7 4" xfId="30985" xr:uid="{094059EF-6D21-413E-A9B1-155DBF8CD34B}"/>
    <cellStyle name="Normal 4 8 8" xfId="8959" xr:uid="{E3216EF3-66EB-48FF-967C-A258B3C3F4FF}"/>
    <cellStyle name="Normal 4 8 9" xfId="9887" xr:uid="{BABA2855-C699-49CA-9C86-785165903973}"/>
    <cellStyle name="Normal 4 9" xfId="4715" xr:uid="{00000000-0005-0000-0000-0000DD160000}"/>
    <cellStyle name="Normal 4 9 2" xfId="9162" xr:uid="{BC355FAB-4557-4712-A03F-EB5522B29E6A}"/>
    <cellStyle name="Normal 4 9 3" xfId="14041" xr:uid="{616D2513-3223-47BB-B4C1-B07A2751D0C1}"/>
    <cellStyle name="Normal 4 9 4" xfId="22482" xr:uid="{21A63F84-B91E-4859-9271-E2675D5BF727}"/>
    <cellStyle name="Normal 4 9 5" xfId="30922" xr:uid="{BA11CECB-DF3B-454E-8B44-2A5702C03E9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58BC8D18-A8B4-41EE-ACA4-888BC1395668}"/>
    <cellStyle name="Normal 5 10 2 2 3" xfId="25930" xr:uid="{23146906-9362-476B-8F92-A04794FE4794}"/>
    <cellStyle name="Normal 5 10 2 2 4" xfId="34370" xr:uid="{C0593783-ABBC-4926-8D51-4D95DCE6E0DD}"/>
    <cellStyle name="Normal 5 10 2 3" xfId="13272" xr:uid="{2DB1E96B-D146-4A96-B452-03342878DEBC}"/>
    <cellStyle name="Normal 5 10 2 4" xfId="21713" xr:uid="{8B581A1A-A074-4984-B6BF-19D64DF7F90B}"/>
    <cellStyle name="Normal 5 10 2 5" xfId="30153" xr:uid="{EB405A24-4DA2-43A9-89F7-D681FD2CE7B9}"/>
    <cellStyle name="Normal 5 10 3" xfId="6018" xr:uid="{00000000-0005-0000-0000-0000E2160000}"/>
    <cellStyle name="Normal 5 10 3 2" xfId="15344" xr:uid="{DD548BBF-1B6E-49F4-934A-C936512318EC}"/>
    <cellStyle name="Normal 5 10 3 3" xfId="23785" xr:uid="{29CA2F52-9D77-4B6A-8F9C-A7F281C5057D}"/>
    <cellStyle name="Normal 5 10 3 4" xfId="32225" xr:uid="{DA2C3B06-ACD8-4A6C-8E64-9C148B2F4C13}"/>
    <cellStyle name="Normal 5 10 4" xfId="11127" xr:uid="{F67038A0-0B9E-4C4C-9885-AC94786895C3}"/>
    <cellStyle name="Normal 5 10 5" xfId="19568" xr:uid="{508F8EA3-665A-41F6-BAB9-6B86DBD4B535}"/>
    <cellStyle name="Normal 5 10 6" xfId="28008" xr:uid="{DD397CCE-545E-4BEB-9C80-1192FE3C416F}"/>
    <cellStyle name="Normal 5 11" xfId="2125" xr:uid="{00000000-0005-0000-0000-0000E3160000}"/>
    <cellStyle name="Normal 5 11 2" xfId="4354" xr:uid="{00000000-0005-0000-0000-0000E4160000}"/>
    <cellStyle name="Normal 5 11 2 2" xfId="8576" xr:uid="{00000000-0005-0000-0000-0000E5160000}"/>
    <cellStyle name="Normal 5 11 2 2 2" xfId="17902" xr:uid="{53A56BE2-051A-433C-BDFA-7DA374EEDFFD}"/>
    <cellStyle name="Normal 5 11 2 2 3" xfId="26343" xr:uid="{F601A7C1-BC6B-4249-9338-F310583C9B38}"/>
    <cellStyle name="Normal 5 11 2 2 4" xfId="34783" xr:uid="{05F5CB3D-7211-465C-8CD5-44475EB6B7FF}"/>
    <cellStyle name="Normal 5 11 2 3" xfId="13685" xr:uid="{A61C1A06-CD9C-45F4-B25A-044C84642042}"/>
    <cellStyle name="Normal 5 11 2 4" xfId="22126" xr:uid="{7FE53CCE-E27A-49A8-B9C4-971171AC04E3}"/>
    <cellStyle name="Normal 5 11 2 5" xfId="30566" xr:uid="{826927E0-C319-42EA-B837-BCE2ED028601}"/>
    <cellStyle name="Normal 5 11 3" xfId="6431" xr:uid="{00000000-0005-0000-0000-0000E6160000}"/>
    <cellStyle name="Normal 5 11 3 2" xfId="15757" xr:uid="{0BD72EF7-1A6D-444F-BBF8-F883C3B03942}"/>
    <cellStyle name="Normal 5 11 3 3" xfId="24198" xr:uid="{B3D1241D-E95F-4578-9BA3-E76903182092}"/>
    <cellStyle name="Normal 5 11 3 4" xfId="32638" xr:uid="{7D8F9434-C361-4F1F-A6FB-77B3976616F2}"/>
    <cellStyle name="Normal 5 11 4" xfId="11540" xr:uid="{DD2221A4-CDC2-4C95-AAE5-3820355367DF}"/>
    <cellStyle name="Normal 5 11 5" xfId="19981" xr:uid="{08BE75FA-08BC-4432-96EC-53C26AE92E15}"/>
    <cellStyle name="Normal 5 11 6" xfId="28421" xr:uid="{FC0DD896-66D2-4642-90CA-3B88000A7427}"/>
    <cellStyle name="Normal 5 12" xfId="2561" xr:uid="{00000000-0005-0000-0000-0000E7160000}"/>
    <cellStyle name="Normal 5 12 2" xfId="6844" xr:uid="{00000000-0005-0000-0000-0000E8160000}"/>
    <cellStyle name="Normal 5 12 2 2" xfId="16170" xr:uid="{995DAD2D-7A9C-4BBD-9BAC-4C32E93A3248}"/>
    <cellStyle name="Normal 5 12 2 3" xfId="24611" xr:uid="{566F5419-0419-4F86-84BB-4764273BE394}"/>
    <cellStyle name="Normal 5 12 2 4" xfId="33051" xr:uid="{F62B592E-3F48-4322-9B5D-8063BB76BC96}"/>
    <cellStyle name="Normal 5 12 3" xfId="11953" xr:uid="{B0E31789-1ACE-4AE1-8CCC-3A87276CF865}"/>
    <cellStyle name="Normal 5 12 4" xfId="20394" xr:uid="{C95E11E2-E10F-4C9F-B50D-414F028CB173}"/>
    <cellStyle name="Normal 5 12 5" xfId="28834" xr:uid="{8E1F5EB8-C018-4C3A-B1F0-066A6D4C7B4E}"/>
    <cellStyle name="Normal 5 13" xfId="4779" xr:uid="{00000000-0005-0000-0000-0000E9160000}"/>
    <cellStyle name="Normal 5 13 2" xfId="14105" xr:uid="{6BB387BB-5331-4DA6-B9AD-DFB331D03AD5}"/>
    <cellStyle name="Normal 5 13 3" xfId="22546" xr:uid="{1BA0286B-8798-4AF7-8B65-BB6C693AA8A0}"/>
    <cellStyle name="Normal 5 13 4" xfId="30986" xr:uid="{DDCDFFC1-1A8C-403A-A53A-2922926FE5A4}"/>
    <cellStyle name="Normal 5 14" xfId="8741" xr:uid="{6467398C-BC57-47BF-AF01-9B3356F8431F}"/>
    <cellStyle name="Normal 5 15" xfId="9888" xr:uid="{82085660-1F2A-4254-B9CD-DA245E9E7327}"/>
    <cellStyle name="Normal 5 16" xfId="18329" xr:uid="{6C8A6C08-FE4F-40C0-A01A-52396B63919D}"/>
    <cellStyle name="Normal 5 17" xfId="26769" xr:uid="{338F25BD-D1E2-400F-B2C8-BE94AD27926D}"/>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5C423B9F-1BAD-4247-96D5-155BC2BCB0C0}"/>
    <cellStyle name="Normal 5 2 10 2 2 3" xfId="26344" xr:uid="{E7B17300-36DD-4BA9-B0A3-70729527131B}"/>
    <cellStyle name="Normal 5 2 10 2 2 4" xfId="34784" xr:uid="{094D8A7C-0B30-4471-96B0-E69C57551D86}"/>
    <cellStyle name="Normal 5 2 10 2 3" xfId="13686" xr:uid="{681FD740-DA15-43B0-A255-AF541B4EF14A}"/>
    <cellStyle name="Normal 5 2 10 2 4" xfId="22127" xr:uid="{7202A939-A849-42B0-8709-6D1E76D10A46}"/>
    <cellStyle name="Normal 5 2 10 2 5" xfId="30567" xr:uid="{35FEA5E9-D0F5-406D-87EE-049C8B45C371}"/>
    <cellStyle name="Normal 5 2 10 3" xfId="6432" xr:uid="{00000000-0005-0000-0000-0000EE160000}"/>
    <cellStyle name="Normal 5 2 10 3 2" xfId="15758" xr:uid="{15F730D7-DB95-4044-8B02-9E4F1733DEC8}"/>
    <cellStyle name="Normal 5 2 10 3 3" xfId="24199" xr:uid="{4C42B243-9789-49FD-9392-A5B4C88A1A3E}"/>
    <cellStyle name="Normal 5 2 10 3 4" xfId="32639" xr:uid="{AB6E4449-5FA9-48E8-9F73-EC8E18B27130}"/>
    <cellStyle name="Normal 5 2 10 4" xfId="11541" xr:uid="{C8DE8916-10BF-49B9-8231-88CF17A89DE9}"/>
    <cellStyle name="Normal 5 2 10 5" xfId="19982" xr:uid="{310772D5-0283-4A84-87A7-58B030E726C7}"/>
    <cellStyle name="Normal 5 2 10 6" xfId="28422" xr:uid="{A0CC7734-6106-4370-97D2-EE8427BAE717}"/>
    <cellStyle name="Normal 5 2 11" xfId="2562" xr:uid="{00000000-0005-0000-0000-0000EF160000}"/>
    <cellStyle name="Normal 5 2 11 2" xfId="6845" xr:uid="{00000000-0005-0000-0000-0000F0160000}"/>
    <cellStyle name="Normal 5 2 11 2 2" xfId="16171" xr:uid="{EC235142-30A0-4FE5-8CD5-DA0B961ED166}"/>
    <cellStyle name="Normal 5 2 11 2 3" xfId="24612" xr:uid="{C813591D-F02C-40AD-9F46-ABECA0F75BAE}"/>
    <cellStyle name="Normal 5 2 11 2 4" xfId="33052" xr:uid="{D1BB6512-2849-4BD7-8ED4-58D451741489}"/>
    <cellStyle name="Normal 5 2 11 3" xfId="11954" xr:uid="{C8D46840-65C9-40DB-A0CF-9A736D0754BB}"/>
    <cellStyle name="Normal 5 2 11 4" xfId="20395" xr:uid="{3A36D315-4A13-418F-A24D-5DAF7A4C5D1C}"/>
    <cellStyle name="Normal 5 2 11 5" xfId="28835" xr:uid="{2B14D3F7-FEEB-4EAD-A5F2-2480AC91A74A}"/>
    <cellStyle name="Normal 5 2 12" xfId="4780" xr:uid="{00000000-0005-0000-0000-0000F1160000}"/>
    <cellStyle name="Normal 5 2 12 2" xfId="14106" xr:uid="{EB8482EC-3BD8-4492-8C1F-D87281EF6656}"/>
    <cellStyle name="Normal 5 2 12 3" xfId="22547" xr:uid="{32EBF80E-DBF3-44F1-AD0C-942DC29F7FF5}"/>
    <cellStyle name="Normal 5 2 12 4" xfId="30987" xr:uid="{F85489CD-8CFD-43C8-A753-DE88490DAB1E}"/>
    <cellStyle name="Normal 5 2 13" xfId="8744" xr:uid="{40D5DF2B-E9DF-4D52-AAE0-3E5A94050B59}"/>
    <cellStyle name="Normal 5 2 14" xfId="9889" xr:uid="{79818B60-8B2A-487A-A16B-2BC4568E20BB}"/>
    <cellStyle name="Normal 5 2 15" xfId="18330" xr:uid="{81DCBD05-63F8-41BA-AAAC-9390E861C728}"/>
    <cellStyle name="Normal 5 2 16" xfId="26770" xr:uid="{4493372F-5450-4BE4-B1B7-7078A948826E}"/>
    <cellStyle name="Normal 5 2 2" xfId="408" xr:uid="{00000000-0005-0000-0000-0000F2160000}"/>
    <cellStyle name="Normal 5 2 2 10" xfId="2563" xr:uid="{00000000-0005-0000-0000-0000F3160000}"/>
    <cellStyle name="Normal 5 2 2 10 2" xfId="6846" xr:uid="{00000000-0005-0000-0000-0000F4160000}"/>
    <cellStyle name="Normal 5 2 2 10 2 2" xfId="16172" xr:uid="{E1BA7260-6948-4102-82D0-C81B7161C2C9}"/>
    <cellStyle name="Normal 5 2 2 10 2 3" xfId="24613" xr:uid="{52405920-806F-467E-9886-82E548CB3917}"/>
    <cellStyle name="Normal 5 2 2 10 2 4" xfId="33053" xr:uid="{2CEC1753-C50A-4AB5-BA93-BA8217FF2EB6}"/>
    <cellStyle name="Normal 5 2 2 10 3" xfId="11955" xr:uid="{B1887C56-C460-441B-9BE3-1BE9390E77B4}"/>
    <cellStyle name="Normal 5 2 2 10 4" xfId="20396" xr:uid="{DCBA600E-4D4D-4BC5-B9F5-FA71E1FBB60C}"/>
    <cellStyle name="Normal 5 2 2 10 5" xfId="28836" xr:uid="{68174A1C-3332-40FD-B971-3AED8294BBFE}"/>
    <cellStyle name="Normal 5 2 2 11" xfId="4781" xr:uid="{00000000-0005-0000-0000-0000F5160000}"/>
    <cellStyle name="Normal 5 2 2 11 2" xfId="14107" xr:uid="{18C41213-BFAC-46CD-8B63-6902F8D24536}"/>
    <cellStyle name="Normal 5 2 2 11 3" xfId="22548" xr:uid="{F6FDB643-8CC8-4170-AB46-70B5EE8C0D22}"/>
    <cellStyle name="Normal 5 2 2 11 4" xfId="30988" xr:uid="{F72A82E4-2AB8-40B1-90DA-7D3AEBE3C28C}"/>
    <cellStyle name="Normal 5 2 2 12" xfId="8753" xr:uid="{96D04E2F-D92F-448D-9FDA-8261D8BEE094}"/>
    <cellStyle name="Normal 5 2 2 13" xfId="9890" xr:uid="{4A78C64C-8A7A-46F3-90A5-25104639C979}"/>
    <cellStyle name="Normal 5 2 2 14" xfId="18331" xr:uid="{6100B668-BC6E-4198-802C-E85937F6DC28}"/>
    <cellStyle name="Normal 5 2 2 15" xfId="26771" xr:uid="{16418328-A85B-4438-8D4E-38AE844DDB5A}"/>
    <cellStyle name="Normal 5 2 2 2" xfId="409" xr:uid="{00000000-0005-0000-0000-0000F6160000}"/>
    <cellStyle name="Normal 5 2 2 2 10" xfId="4782" xr:uid="{00000000-0005-0000-0000-0000F7160000}"/>
    <cellStyle name="Normal 5 2 2 2 10 2" xfId="14108" xr:uid="{779E30BA-E07A-43C8-BD57-47EDA7A1B9AE}"/>
    <cellStyle name="Normal 5 2 2 2 10 3" xfId="22549" xr:uid="{9EED4D05-7291-40C3-BA26-F315783FAE6C}"/>
    <cellStyle name="Normal 5 2 2 2 10 4" xfId="30989" xr:uid="{E967EB91-FEFD-4F3A-A5A6-02662C46A61E}"/>
    <cellStyle name="Normal 5 2 2 2 11" xfId="8771" xr:uid="{0E58ED1C-12F1-4692-801F-170CA6F7CBDB}"/>
    <cellStyle name="Normal 5 2 2 2 12" xfId="9891" xr:uid="{7CB90789-5CCB-40FE-90E4-9E94F7228E1B}"/>
    <cellStyle name="Normal 5 2 2 2 13" xfId="18332" xr:uid="{AE1B69C9-54CB-4B6C-A67C-324A7F8C3622}"/>
    <cellStyle name="Normal 5 2 2 2 14" xfId="26772" xr:uid="{D540E07D-7B62-4FA8-8DDE-49170D0F4D86}"/>
    <cellStyle name="Normal 5 2 2 2 2" xfId="410" xr:uid="{00000000-0005-0000-0000-0000F8160000}"/>
    <cellStyle name="Normal 5 2 2 2 2 10" xfId="8829" xr:uid="{AC161972-21E9-4E03-8D2E-9F95632CB08D}"/>
    <cellStyle name="Normal 5 2 2 2 2 11" xfId="9892" xr:uid="{98CD112A-606F-48F7-8633-6AF2FF42D51C}"/>
    <cellStyle name="Normal 5 2 2 2 2 12" xfId="18333" xr:uid="{F6FB78F5-8812-44FB-8296-810190DEE482}"/>
    <cellStyle name="Normal 5 2 2 2 2 13" xfId="26773" xr:uid="{7588973E-5BA5-4100-9FBF-B4AB19DB071B}"/>
    <cellStyle name="Normal 5 2 2 2 2 2" xfId="411" xr:uid="{00000000-0005-0000-0000-0000F9160000}"/>
    <cellStyle name="Normal 5 2 2 2 2 2 10" xfId="9893" xr:uid="{C03AEDEE-01CC-48C4-ACB2-F914E2D6CD26}"/>
    <cellStyle name="Normal 5 2 2 2 2 2 11" xfId="18334" xr:uid="{317AF484-BF22-457E-A0DC-20EA414980C9}"/>
    <cellStyle name="Normal 5 2 2 2 2 2 12" xfId="26774" xr:uid="{EBEB00BF-3CFC-473C-85F5-2DEA7120F9FF}"/>
    <cellStyle name="Normal 5 2 2 2 2 2 2" xfId="412" xr:uid="{00000000-0005-0000-0000-0000FA160000}"/>
    <cellStyle name="Normal 5 2 2 2 2 2 2 10" xfId="18335" xr:uid="{E024A960-AE20-4EFD-AF66-759680E89F75}"/>
    <cellStyle name="Normal 5 2 2 2 2 2 2 11" xfId="26775" xr:uid="{C2A3B75F-12A1-4ABB-B608-E71030FACBC9}"/>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27A9D065-0510-40DF-BC88-D0C4AC9D7A02}"/>
    <cellStyle name="Normal 5 2 2 2 2 2 2 2 2 2 3" xfId="25110" xr:uid="{8928FBA3-B914-4A7E-B55E-256E3F9F5EA4}"/>
    <cellStyle name="Normal 5 2 2 2 2 2 2 2 2 2 4" xfId="33550" xr:uid="{D94E0007-6547-44AF-8A8D-A6606AA87B8B}"/>
    <cellStyle name="Normal 5 2 2 2 2 2 2 2 2 3" xfId="12452" xr:uid="{353BD6A5-F9E4-442D-B0B8-FB9D482DB92D}"/>
    <cellStyle name="Normal 5 2 2 2 2 2 2 2 2 4" xfId="20893" xr:uid="{E3CCE659-9DFC-4AB1-86A2-3FAA8D3B5F5A}"/>
    <cellStyle name="Normal 5 2 2 2 2 2 2 2 2 5" xfId="29333" xr:uid="{7C42B2AD-E9CD-4CB4-838B-385E960C01BD}"/>
    <cellStyle name="Normal 5 2 2 2 2 2 2 2 3" xfId="5198" xr:uid="{00000000-0005-0000-0000-0000FE160000}"/>
    <cellStyle name="Normal 5 2 2 2 2 2 2 2 3 2" xfId="14524" xr:uid="{156C7A37-29A4-4FC1-928D-0B46EF460E17}"/>
    <cellStyle name="Normal 5 2 2 2 2 2 2 2 3 3" xfId="22965" xr:uid="{A28C4072-9742-428F-857C-3C7FF90011B3}"/>
    <cellStyle name="Normal 5 2 2 2 2 2 2 2 3 4" xfId="31405" xr:uid="{3E9E64DF-7919-41B1-9F36-2CF59F44C08C}"/>
    <cellStyle name="Normal 5 2 2 2 2 2 2 2 4" xfId="9564" xr:uid="{15884BE4-44C0-46E7-A184-FC102AAADEB4}"/>
    <cellStyle name="Normal 5 2 2 2 2 2 2 2 5" xfId="10307" xr:uid="{51A73C8B-66FF-44CA-9FBB-C98AAC1DDDC1}"/>
    <cellStyle name="Normal 5 2 2 2 2 2 2 2 6" xfId="18748" xr:uid="{9D4D130D-D08C-4031-B8A8-4CF074D9A4E0}"/>
    <cellStyle name="Normal 5 2 2 2 2 2 2 2 7" xfId="27188" xr:uid="{2BAB597D-D54F-48EC-A542-ECD6C7DC61B1}"/>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66047A5B-D6E3-429D-ADFC-0FFA935F6C3B}"/>
    <cellStyle name="Normal 5 2 2 2 2 2 2 3 2 2 3" xfId="25523" xr:uid="{FCE05276-450B-4C23-843D-92ED1D59F79D}"/>
    <cellStyle name="Normal 5 2 2 2 2 2 2 3 2 2 4" xfId="33963" xr:uid="{A8B4BD60-17E5-4D7B-8155-628C4E6A3DE6}"/>
    <cellStyle name="Normal 5 2 2 2 2 2 2 3 2 3" xfId="12865" xr:uid="{19308D7E-B4C1-428D-A32A-E269232BBC1B}"/>
    <cellStyle name="Normal 5 2 2 2 2 2 2 3 2 4" xfId="21306" xr:uid="{4F740B32-DA54-48BD-9FA1-7F4EEB47A385}"/>
    <cellStyle name="Normal 5 2 2 2 2 2 2 3 2 5" xfId="29746" xr:uid="{7CFAE65D-B9F1-4767-9F86-2B3FD9CCABAF}"/>
    <cellStyle name="Normal 5 2 2 2 2 2 2 3 3" xfId="5611" xr:uid="{00000000-0005-0000-0000-000002170000}"/>
    <cellStyle name="Normal 5 2 2 2 2 2 2 3 3 2" xfId="14937" xr:uid="{9B657AF4-A730-4F1E-BEAE-4216F971FAAA}"/>
    <cellStyle name="Normal 5 2 2 2 2 2 2 3 3 3" xfId="23378" xr:uid="{D3C130FE-B042-41B7-A3C2-D0270AC79490}"/>
    <cellStyle name="Normal 5 2 2 2 2 2 2 3 3 4" xfId="31818" xr:uid="{C122D577-E6D3-4A90-817B-9AFCCA0CF56D}"/>
    <cellStyle name="Normal 5 2 2 2 2 2 2 3 4" xfId="10720" xr:uid="{5EAD2EF2-052E-40D4-9F79-AF1162437284}"/>
    <cellStyle name="Normal 5 2 2 2 2 2 2 3 5" xfId="19161" xr:uid="{DC85D9A5-FEEE-4CFE-A059-D2AD9EA84EA9}"/>
    <cellStyle name="Normal 5 2 2 2 2 2 2 3 6" xfId="27601" xr:uid="{3B4F2CEE-6AFB-43FC-AF2A-8BB1BA629E98}"/>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1D0726F3-3841-4B23-AC5E-0F8056B79135}"/>
    <cellStyle name="Normal 5 2 2 2 2 2 2 4 2 2 3" xfId="25936" xr:uid="{E4CFAF31-7AF2-48ED-B45F-480BC9931D1D}"/>
    <cellStyle name="Normal 5 2 2 2 2 2 2 4 2 2 4" xfId="34376" xr:uid="{4D31E470-33C4-4B45-A14B-2BA504EC0A3A}"/>
    <cellStyle name="Normal 5 2 2 2 2 2 2 4 2 3" xfId="13278" xr:uid="{6CEBE251-843F-4EC3-BC45-B97B2F5A0FE6}"/>
    <cellStyle name="Normal 5 2 2 2 2 2 2 4 2 4" xfId="21719" xr:uid="{1387728E-5F40-4ADA-B278-EA21DD9BE600}"/>
    <cellStyle name="Normal 5 2 2 2 2 2 2 4 2 5" xfId="30159" xr:uid="{806A1A25-A8FA-43D1-B49C-CE4FA7D7DCF8}"/>
    <cellStyle name="Normal 5 2 2 2 2 2 2 4 3" xfId="6024" xr:uid="{00000000-0005-0000-0000-000006170000}"/>
    <cellStyle name="Normal 5 2 2 2 2 2 2 4 3 2" xfId="15350" xr:uid="{51F54D74-15E0-4CA4-8DC2-F8D6A6975798}"/>
    <cellStyle name="Normal 5 2 2 2 2 2 2 4 3 3" xfId="23791" xr:uid="{B6A687B4-9D69-421F-86E9-49488F174945}"/>
    <cellStyle name="Normal 5 2 2 2 2 2 2 4 3 4" xfId="32231" xr:uid="{3DA2498B-688B-4572-8633-E98F639F4AB1}"/>
    <cellStyle name="Normal 5 2 2 2 2 2 2 4 4" xfId="11133" xr:uid="{693BDE26-025D-45B4-BF67-9A1F82E3C888}"/>
    <cellStyle name="Normal 5 2 2 2 2 2 2 4 5" xfId="19574" xr:uid="{75393F11-4982-4E70-9F19-902D96A69309}"/>
    <cellStyle name="Normal 5 2 2 2 2 2 2 4 6" xfId="28014" xr:uid="{346D50E9-6AC7-4221-A3DA-448019247BB9}"/>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3C54EC47-4265-4F6F-A246-CE79D00B27EE}"/>
    <cellStyle name="Normal 5 2 2 2 2 2 2 5 2 2 3" xfId="26349" xr:uid="{4D7B92F7-2234-4F88-9945-288B7FFD2452}"/>
    <cellStyle name="Normal 5 2 2 2 2 2 2 5 2 2 4" xfId="34789" xr:uid="{D9505D96-9298-418C-877C-6C7A29CD9A49}"/>
    <cellStyle name="Normal 5 2 2 2 2 2 2 5 2 3" xfId="13691" xr:uid="{D9FB05CE-BC36-4CCF-A0C7-954F65F97040}"/>
    <cellStyle name="Normal 5 2 2 2 2 2 2 5 2 4" xfId="22132" xr:uid="{D3A732D6-3687-40AB-B4A9-3A25E771DA92}"/>
    <cellStyle name="Normal 5 2 2 2 2 2 2 5 2 5" xfId="30572" xr:uid="{2749823A-5E3E-4F9B-8734-918D7B5F88A8}"/>
    <cellStyle name="Normal 5 2 2 2 2 2 2 5 3" xfId="6437" xr:uid="{00000000-0005-0000-0000-00000A170000}"/>
    <cellStyle name="Normal 5 2 2 2 2 2 2 5 3 2" xfId="15763" xr:uid="{383C90BF-C988-4C46-A4B4-2AB5D7914D49}"/>
    <cellStyle name="Normal 5 2 2 2 2 2 2 5 3 3" xfId="24204" xr:uid="{4C39A915-DA02-4591-B27B-7870ED43C424}"/>
    <cellStyle name="Normal 5 2 2 2 2 2 2 5 3 4" xfId="32644" xr:uid="{A1D56410-6C07-497C-A876-30ACF66DE455}"/>
    <cellStyle name="Normal 5 2 2 2 2 2 2 5 4" xfId="11546" xr:uid="{523E1B49-E49E-45C3-B960-6B312B871CD1}"/>
    <cellStyle name="Normal 5 2 2 2 2 2 2 5 5" xfId="19987" xr:uid="{68617131-F927-4694-B948-E7B199318214}"/>
    <cellStyle name="Normal 5 2 2 2 2 2 2 5 6" xfId="28427" xr:uid="{5B267504-AAD9-492C-B717-4C5CE72704B3}"/>
    <cellStyle name="Normal 5 2 2 2 2 2 2 6" xfId="2567" xr:uid="{00000000-0005-0000-0000-00000B170000}"/>
    <cellStyle name="Normal 5 2 2 2 2 2 2 6 2" xfId="6850" xr:uid="{00000000-0005-0000-0000-00000C170000}"/>
    <cellStyle name="Normal 5 2 2 2 2 2 2 6 2 2" xfId="16176" xr:uid="{F44AF9F4-CADE-4051-9C65-A2E627EE06F7}"/>
    <cellStyle name="Normal 5 2 2 2 2 2 2 6 2 3" xfId="24617" xr:uid="{C734048E-AFF9-419F-972E-16B7F2137429}"/>
    <cellStyle name="Normal 5 2 2 2 2 2 2 6 2 4" xfId="33057" xr:uid="{47C24E19-6A99-44FB-8515-CB78A0E07A91}"/>
    <cellStyle name="Normal 5 2 2 2 2 2 2 6 3" xfId="11959" xr:uid="{FC3DE257-0C40-47B4-BCBD-DAFA1DFF4F25}"/>
    <cellStyle name="Normal 5 2 2 2 2 2 2 6 4" xfId="20400" xr:uid="{C98693AF-8E6F-4A6C-BB25-2F8E8B3F9EA9}"/>
    <cellStyle name="Normal 5 2 2 2 2 2 2 6 5" xfId="28840" xr:uid="{4799561E-2777-4F47-898D-D4A26178ECED}"/>
    <cellStyle name="Normal 5 2 2 2 2 2 2 7" xfId="4785" xr:uid="{00000000-0005-0000-0000-00000D170000}"/>
    <cellStyle name="Normal 5 2 2 2 2 2 2 7 2" xfId="14111" xr:uid="{37C482E1-B8AD-4AC4-922D-FB3986E328CC}"/>
    <cellStyle name="Normal 5 2 2 2 2 2 2 7 3" xfId="22552" xr:uid="{B7622FAE-3CE3-49EE-80A5-B8EC54E4D607}"/>
    <cellStyle name="Normal 5 2 2 2 2 2 2 7 4" xfId="30992" xr:uid="{BB377277-D5EC-4DFB-AA26-06A271BBC3C9}"/>
    <cellStyle name="Normal 5 2 2 2 2 2 2 8" xfId="9139" xr:uid="{CFCC7179-F81D-4929-81F2-C6E64655A093}"/>
    <cellStyle name="Normal 5 2 2 2 2 2 2 9" xfId="9894" xr:uid="{C9FC9A1E-B2A5-43BB-9631-900AFAE7E8FF}"/>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492B4F0A-D3BE-4472-961B-334BB2F2412E}"/>
    <cellStyle name="Normal 5 2 2 2 2 2 3 2 2 3" xfId="25109" xr:uid="{4FB038D4-14D7-4596-A3EC-C000A727E3AE}"/>
    <cellStyle name="Normal 5 2 2 2 2 2 3 2 2 4" xfId="33549" xr:uid="{F9AEEE53-E5DD-4722-B1DD-207F1708FFA3}"/>
    <cellStyle name="Normal 5 2 2 2 2 2 3 2 3" xfId="12451" xr:uid="{FA36822B-8563-4317-82B9-115B13E65D8B}"/>
    <cellStyle name="Normal 5 2 2 2 2 2 3 2 4" xfId="20892" xr:uid="{17049B47-29E9-4E5F-8680-1B47D7626D28}"/>
    <cellStyle name="Normal 5 2 2 2 2 2 3 2 5" xfId="29332" xr:uid="{EB89D9CD-C0C2-4E41-A08A-B4EA99371C0C}"/>
    <cellStyle name="Normal 5 2 2 2 2 2 3 3" xfId="5197" xr:uid="{00000000-0005-0000-0000-000011170000}"/>
    <cellStyle name="Normal 5 2 2 2 2 2 3 3 2" xfId="14523" xr:uid="{DDBAFD16-8460-4034-BD11-46AC10903262}"/>
    <cellStyle name="Normal 5 2 2 2 2 2 3 3 3" xfId="22964" xr:uid="{B4E2C549-9866-451A-ACA0-627A6854D031}"/>
    <cellStyle name="Normal 5 2 2 2 2 2 3 3 4" xfId="31404" xr:uid="{72C0AC6C-6888-4EB6-B419-1C9CC560B349}"/>
    <cellStyle name="Normal 5 2 2 2 2 2 3 4" xfId="9357" xr:uid="{1809EB60-9E69-4954-99A5-643CD830C5FB}"/>
    <cellStyle name="Normal 5 2 2 2 2 2 3 5" xfId="10306" xr:uid="{F81C9185-63F3-45F2-970D-79C6AE20ECF8}"/>
    <cellStyle name="Normal 5 2 2 2 2 2 3 6" xfId="18747" xr:uid="{7D44024E-FA4E-435F-8A5B-E3176664D845}"/>
    <cellStyle name="Normal 5 2 2 2 2 2 3 7" xfId="27187" xr:uid="{191E828A-AA02-4428-975F-0120B647460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B3A553DA-2FDF-4A61-9565-ABB9681998F9}"/>
    <cellStyle name="Normal 5 2 2 2 2 2 4 2 2 3" xfId="25522" xr:uid="{CE2F696C-0173-4A48-AE8A-D014177C409D}"/>
    <cellStyle name="Normal 5 2 2 2 2 2 4 2 2 4" xfId="33962" xr:uid="{B3AC2D9E-E118-4DBE-B33D-04BE4AF550E1}"/>
    <cellStyle name="Normal 5 2 2 2 2 2 4 2 3" xfId="12864" xr:uid="{953AD164-502D-4DFB-A23D-61FCABD3F956}"/>
    <cellStyle name="Normal 5 2 2 2 2 2 4 2 4" xfId="21305" xr:uid="{730BEA2D-27C4-41FE-9566-482748EC8C04}"/>
    <cellStyle name="Normal 5 2 2 2 2 2 4 2 5" xfId="29745" xr:uid="{4B1D37F7-3320-40CD-A730-B19694A15416}"/>
    <cellStyle name="Normal 5 2 2 2 2 2 4 3" xfId="5610" xr:uid="{00000000-0005-0000-0000-000015170000}"/>
    <cellStyle name="Normal 5 2 2 2 2 2 4 3 2" xfId="14936" xr:uid="{4C7FFBC6-5F70-46EE-8FEE-ED778DA7D1A4}"/>
    <cellStyle name="Normal 5 2 2 2 2 2 4 3 3" xfId="23377" xr:uid="{C8BA5BD0-7505-48A7-A703-E6BCAF5C217D}"/>
    <cellStyle name="Normal 5 2 2 2 2 2 4 3 4" xfId="31817" xr:uid="{7D0BB192-5988-4DA7-9482-95E93DAC1800}"/>
    <cellStyle name="Normal 5 2 2 2 2 2 4 4" xfId="10719" xr:uid="{C41BAA91-B06B-4B04-9C33-FE3E90FBE4A9}"/>
    <cellStyle name="Normal 5 2 2 2 2 2 4 5" xfId="19160" xr:uid="{1EA968E5-9519-4318-9C65-6C5CEE4C7217}"/>
    <cellStyle name="Normal 5 2 2 2 2 2 4 6" xfId="27600" xr:uid="{C591A970-72C4-4C3D-B8A9-EB50809C951B}"/>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F04C9D7A-39C6-4860-8BD6-B58EF61676D3}"/>
    <cellStyle name="Normal 5 2 2 2 2 2 5 2 2 3" xfId="25935" xr:uid="{91FB9429-8BFE-44AA-B41E-5965C2B05414}"/>
    <cellStyle name="Normal 5 2 2 2 2 2 5 2 2 4" xfId="34375" xr:uid="{B2949614-87EE-468B-B984-DA54DC7088C9}"/>
    <cellStyle name="Normal 5 2 2 2 2 2 5 2 3" xfId="13277" xr:uid="{A36CC7D9-DE8E-438F-99D8-7E3D53B16E06}"/>
    <cellStyle name="Normal 5 2 2 2 2 2 5 2 4" xfId="21718" xr:uid="{2118BB31-4E17-403E-AB23-9813E40C75E7}"/>
    <cellStyle name="Normal 5 2 2 2 2 2 5 2 5" xfId="30158" xr:uid="{E24F38BA-F8C5-4A8B-B1D9-F6BA1E914C31}"/>
    <cellStyle name="Normal 5 2 2 2 2 2 5 3" xfId="6023" xr:uid="{00000000-0005-0000-0000-000019170000}"/>
    <cellStyle name="Normal 5 2 2 2 2 2 5 3 2" xfId="15349" xr:uid="{59756D36-8934-479F-B6A4-6A58A6E4A861}"/>
    <cellStyle name="Normal 5 2 2 2 2 2 5 3 3" xfId="23790" xr:uid="{C7743A2B-7344-4BB1-AEF7-1572AF42A907}"/>
    <cellStyle name="Normal 5 2 2 2 2 2 5 3 4" xfId="32230" xr:uid="{4DE6CA3D-2063-4B97-A372-FB15FA2855BA}"/>
    <cellStyle name="Normal 5 2 2 2 2 2 5 4" xfId="11132" xr:uid="{3533432D-D597-401E-AD91-3C8D3C529148}"/>
    <cellStyle name="Normal 5 2 2 2 2 2 5 5" xfId="19573" xr:uid="{0D4F0BFA-9067-471C-B685-61E21804BB37}"/>
    <cellStyle name="Normal 5 2 2 2 2 2 5 6" xfId="28013" xr:uid="{F7ABAACA-BFDF-47E0-9D22-DEC4B7424494}"/>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8EAE0924-4CE9-40FB-9FFF-4D34FA36E2D7}"/>
    <cellStyle name="Normal 5 2 2 2 2 2 6 2 2 3" xfId="26348" xr:uid="{9C8F2E46-A0FE-4A4D-9A67-A2A2BD28BA7B}"/>
    <cellStyle name="Normal 5 2 2 2 2 2 6 2 2 4" xfId="34788" xr:uid="{D49854C6-633D-4A44-9FBE-AC00AC6F11E4}"/>
    <cellStyle name="Normal 5 2 2 2 2 2 6 2 3" xfId="13690" xr:uid="{67CB834E-C311-4DAF-AA2B-9CB2584493AF}"/>
    <cellStyle name="Normal 5 2 2 2 2 2 6 2 4" xfId="22131" xr:uid="{6B181EF2-C975-484A-9DB9-79EEDDFB06A7}"/>
    <cellStyle name="Normal 5 2 2 2 2 2 6 2 5" xfId="30571" xr:uid="{D12935D4-EE35-4417-93F1-5D95943863DE}"/>
    <cellStyle name="Normal 5 2 2 2 2 2 6 3" xfId="6436" xr:uid="{00000000-0005-0000-0000-00001D170000}"/>
    <cellStyle name="Normal 5 2 2 2 2 2 6 3 2" xfId="15762" xr:uid="{02181584-42D4-466E-AA0B-A31B02153CBA}"/>
    <cellStyle name="Normal 5 2 2 2 2 2 6 3 3" xfId="24203" xr:uid="{1081E455-022E-43E0-8901-0875C43C9899}"/>
    <cellStyle name="Normal 5 2 2 2 2 2 6 3 4" xfId="32643" xr:uid="{54D543E2-EB3E-4C12-84F7-CC602A93E1AA}"/>
    <cellStyle name="Normal 5 2 2 2 2 2 6 4" xfId="11545" xr:uid="{438CE9ED-45E9-43FA-A926-22230A9DE56C}"/>
    <cellStyle name="Normal 5 2 2 2 2 2 6 5" xfId="19986" xr:uid="{401D99EB-93E3-424F-B096-840C0403A3FD}"/>
    <cellStyle name="Normal 5 2 2 2 2 2 6 6" xfId="28426" xr:uid="{4C526E9D-AD9F-4A23-8070-75D337F7E466}"/>
    <cellStyle name="Normal 5 2 2 2 2 2 7" xfId="2566" xr:uid="{00000000-0005-0000-0000-00001E170000}"/>
    <cellStyle name="Normal 5 2 2 2 2 2 7 2" xfId="6849" xr:uid="{00000000-0005-0000-0000-00001F170000}"/>
    <cellStyle name="Normal 5 2 2 2 2 2 7 2 2" xfId="16175" xr:uid="{C462609A-7821-42DF-B35A-5FB78388A282}"/>
    <cellStyle name="Normal 5 2 2 2 2 2 7 2 3" xfId="24616" xr:uid="{1D483062-D1D7-46D0-931A-69FAD3DC352B}"/>
    <cellStyle name="Normal 5 2 2 2 2 2 7 2 4" xfId="33056" xr:uid="{59944493-668E-4245-B37C-0C979C2619C8}"/>
    <cellStyle name="Normal 5 2 2 2 2 2 7 3" xfId="11958" xr:uid="{347CA192-5BF8-4AAE-A548-2E056654BBFF}"/>
    <cellStyle name="Normal 5 2 2 2 2 2 7 4" xfId="20399" xr:uid="{BC82942C-8B0B-4E38-AAC1-34C8CFED159F}"/>
    <cellStyle name="Normal 5 2 2 2 2 2 7 5" xfId="28839" xr:uid="{6F110A47-4C2F-401B-B47C-FBC5BCA9F4EF}"/>
    <cellStyle name="Normal 5 2 2 2 2 2 8" xfId="4784" xr:uid="{00000000-0005-0000-0000-000020170000}"/>
    <cellStyle name="Normal 5 2 2 2 2 2 8 2" xfId="14110" xr:uid="{9B8DC2D1-DAC0-419D-A01A-B2B348C0996B}"/>
    <cellStyle name="Normal 5 2 2 2 2 2 8 3" xfId="22551" xr:uid="{C2F3F1B6-7504-42CA-9BC6-61E19C3F4CDB}"/>
    <cellStyle name="Normal 5 2 2 2 2 2 8 4" xfId="30991" xr:uid="{6B6BFF90-3E16-4B6A-B79B-7CF1EC99D6B1}"/>
    <cellStyle name="Normal 5 2 2 2 2 2 9" xfId="8932" xr:uid="{8A89D9DD-5FCE-4028-8D52-F4758EFA866E}"/>
    <cellStyle name="Normal 5 2 2 2 2 3" xfId="413" xr:uid="{00000000-0005-0000-0000-000021170000}"/>
    <cellStyle name="Normal 5 2 2 2 2 3 10" xfId="18336" xr:uid="{5E459833-27B6-48FB-87B2-259CC2F813BE}"/>
    <cellStyle name="Normal 5 2 2 2 2 3 11" xfId="26776" xr:uid="{4C54C53F-7857-4830-9D2E-AEB087302551}"/>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F6AD9942-9DCE-43A7-A42B-C0F93BF5A838}"/>
    <cellStyle name="Normal 5 2 2 2 2 3 2 2 2 3" xfId="25111" xr:uid="{78FE42DE-51E0-48DD-BEF2-21B167054335}"/>
    <cellStyle name="Normal 5 2 2 2 2 3 2 2 2 4" xfId="33551" xr:uid="{6F90A30E-FF6B-4B25-BFBD-FD565F13BA75}"/>
    <cellStyle name="Normal 5 2 2 2 2 3 2 2 3" xfId="12453" xr:uid="{CAF460C9-7ED7-4D1B-B66C-E43DE0884FB7}"/>
    <cellStyle name="Normal 5 2 2 2 2 3 2 2 4" xfId="20894" xr:uid="{3BFAEE89-1C81-49BE-9053-70CC313BBE0A}"/>
    <cellStyle name="Normal 5 2 2 2 2 3 2 2 5" xfId="29334" xr:uid="{A2CCC1DB-380E-4620-9A97-9729777130CF}"/>
    <cellStyle name="Normal 5 2 2 2 2 3 2 3" xfId="5199" xr:uid="{00000000-0005-0000-0000-000025170000}"/>
    <cellStyle name="Normal 5 2 2 2 2 3 2 3 2" xfId="14525" xr:uid="{0DAFF12E-C37D-45CD-BF01-782D89A37D31}"/>
    <cellStyle name="Normal 5 2 2 2 2 3 2 3 3" xfId="22966" xr:uid="{F0B57FB1-BBBB-45EC-95C2-634FC4A7DEBA}"/>
    <cellStyle name="Normal 5 2 2 2 2 3 2 3 4" xfId="31406" xr:uid="{ACA760BA-A13D-4F2D-898F-0676CE865178}"/>
    <cellStyle name="Normal 5 2 2 2 2 3 2 4" xfId="9461" xr:uid="{815E4D9A-ED64-4B6C-A17A-F6D83CC40A47}"/>
    <cellStyle name="Normal 5 2 2 2 2 3 2 5" xfId="10308" xr:uid="{F6E2A7C9-8649-4D2F-818A-2DF75978F0BD}"/>
    <cellStyle name="Normal 5 2 2 2 2 3 2 6" xfId="18749" xr:uid="{9A72E296-AF4C-4565-BE1F-12259A272582}"/>
    <cellStyle name="Normal 5 2 2 2 2 3 2 7" xfId="27189" xr:uid="{4AEB5092-88FB-4DFC-A211-34F70C25E45B}"/>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99DDCF36-A012-4C96-8B0E-379E914E34B6}"/>
    <cellStyle name="Normal 5 2 2 2 2 3 3 2 2 3" xfId="25524" xr:uid="{79F72484-3C30-40A5-810D-6BF4C96939FE}"/>
    <cellStyle name="Normal 5 2 2 2 2 3 3 2 2 4" xfId="33964" xr:uid="{CECECB1B-9999-453E-9128-D6DD64E99C8B}"/>
    <cellStyle name="Normal 5 2 2 2 2 3 3 2 3" xfId="12866" xr:uid="{18EE3483-E191-4CC8-AD08-5F403BFBF6A2}"/>
    <cellStyle name="Normal 5 2 2 2 2 3 3 2 4" xfId="21307" xr:uid="{8A1E797E-6E2D-4BD2-8289-1CAE7D79154E}"/>
    <cellStyle name="Normal 5 2 2 2 2 3 3 2 5" xfId="29747" xr:uid="{DBEF7B3E-EA42-4C87-9B75-C995787A05D7}"/>
    <cellStyle name="Normal 5 2 2 2 2 3 3 3" xfId="5612" xr:uid="{00000000-0005-0000-0000-000029170000}"/>
    <cellStyle name="Normal 5 2 2 2 2 3 3 3 2" xfId="14938" xr:uid="{67333219-225E-4B58-B1AF-821AB8D019E1}"/>
    <cellStyle name="Normal 5 2 2 2 2 3 3 3 3" xfId="23379" xr:uid="{29C201FC-5976-460A-B81C-8EFE1EECC9B2}"/>
    <cellStyle name="Normal 5 2 2 2 2 3 3 3 4" xfId="31819" xr:uid="{553ADBC3-5DD2-4B2E-BE2B-6A378826080C}"/>
    <cellStyle name="Normal 5 2 2 2 2 3 3 4" xfId="10721" xr:uid="{097809B1-A48C-4D87-9A94-FDC9333FAE6F}"/>
    <cellStyle name="Normal 5 2 2 2 2 3 3 5" xfId="19162" xr:uid="{21D2C1C1-E82D-49A3-8D04-72E2129B8D6A}"/>
    <cellStyle name="Normal 5 2 2 2 2 3 3 6" xfId="27602" xr:uid="{15219310-BF19-4CBE-8C5C-F822CB55FA46}"/>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B806F172-F3DD-4E3A-BEE8-D5FFB1D1C30A}"/>
    <cellStyle name="Normal 5 2 2 2 2 3 4 2 2 3" xfId="25937" xr:uid="{132CDEA5-5972-4B8D-9CD5-092C56914ECB}"/>
    <cellStyle name="Normal 5 2 2 2 2 3 4 2 2 4" xfId="34377" xr:uid="{1132878C-AC25-4EE3-9927-E6897B257BAE}"/>
    <cellStyle name="Normal 5 2 2 2 2 3 4 2 3" xfId="13279" xr:uid="{3402FB6C-351D-4563-891E-7EBD9FC0ECBB}"/>
    <cellStyle name="Normal 5 2 2 2 2 3 4 2 4" xfId="21720" xr:uid="{78025FC8-B0E7-4313-A3B7-111D2DB8AD42}"/>
    <cellStyle name="Normal 5 2 2 2 2 3 4 2 5" xfId="30160" xr:uid="{3B64753D-4214-4106-A827-733092DE07F1}"/>
    <cellStyle name="Normal 5 2 2 2 2 3 4 3" xfId="6025" xr:uid="{00000000-0005-0000-0000-00002D170000}"/>
    <cellStyle name="Normal 5 2 2 2 2 3 4 3 2" xfId="15351" xr:uid="{3A6BD38F-5CD1-466F-947A-EC52379656A9}"/>
    <cellStyle name="Normal 5 2 2 2 2 3 4 3 3" xfId="23792" xr:uid="{DE3C3EEE-F3FD-4577-877C-F32E9512BD04}"/>
    <cellStyle name="Normal 5 2 2 2 2 3 4 3 4" xfId="32232" xr:uid="{3C07411E-BAE4-4B55-AB4C-D338805F70F8}"/>
    <cellStyle name="Normal 5 2 2 2 2 3 4 4" xfId="11134" xr:uid="{8CCB3006-2F93-45AB-A9CC-FDBDA3E9F64E}"/>
    <cellStyle name="Normal 5 2 2 2 2 3 4 5" xfId="19575" xr:uid="{4B3D3E02-DF8F-4670-88F7-9774E3DBF781}"/>
    <cellStyle name="Normal 5 2 2 2 2 3 4 6" xfId="28015" xr:uid="{88094DC5-1930-4964-9D16-D078A6E4C753}"/>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9EEEA07E-99EA-422C-8901-75136341B2F8}"/>
    <cellStyle name="Normal 5 2 2 2 2 3 5 2 2 3" xfId="26350" xr:uid="{8D8A28E0-0573-4399-91B1-65078EFF8B95}"/>
    <cellStyle name="Normal 5 2 2 2 2 3 5 2 2 4" xfId="34790" xr:uid="{B0A0ABA6-27D7-4F45-807E-F9F6A1F1C32E}"/>
    <cellStyle name="Normal 5 2 2 2 2 3 5 2 3" xfId="13692" xr:uid="{F02427A5-AA44-4760-BB62-495B6E044D29}"/>
    <cellStyle name="Normal 5 2 2 2 2 3 5 2 4" xfId="22133" xr:uid="{D241BCAB-EE90-4296-865E-47E590B54405}"/>
    <cellStyle name="Normal 5 2 2 2 2 3 5 2 5" xfId="30573" xr:uid="{70D1E2DC-B809-4B72-9D7C-9FF4A369C253}"/>
    <cellStyle name="Normal 5 2 2 2 2 3 5 3" xfId="6438" xr:uid="{00000000-0005-0000-0000-000031170000}"/>
    <cellStyle name="Normal 5 2 2 2 2 3 5 3 2" xfId="15764" xr:uid="{CBA955A0-5185-49A3-A155-63D75FAF0623}"/>
    <cellStyle name="Normal 5 2 2 2 2 3 5 3 3" xfId="24205" xr:uid="{980ADDA1-DE9D-40F7-BA4E-4F18125A87AE}"/>
    <cellStyle name="Normal 5 2 2 2 2 3 5 3 4" xfId="32645" xr:uid="{2942DB9D-BFF4-47E2-AD91-D13D30D78AA7}"/>
    <cellStyle name="Normal 5 2 2 2 2 3 5 4" xfId="11547" xr:uid="{622033A5-DD99-469C-B714-27939FEC2171}"/>
    <cellStyle name="Normal 5 2 2 2 2 3 5 5" xfId="19988" xr:uid="{A0106B36-28C7-47DB-A595-E48EE9F45193}"/>
    <cellStyle name="Normal 5 2 2 2 2 3 5 6" xfId="28428" xr:uid="{8DF2A059-35E4-4323-AA7E-53AF9837EE92}"/>
    <cellStyle name="Normal 5 2 2 2 2 3 6" xfId="2568" xr:uid="{00000000-0005-0000-0000-000032170000}"/>
    <cellStyle name="Normal 5 2 2 2 2 3 6 2" xfId="6851" xr:uid="{00000000-0005-0000-0000-000033170000}"/>
    <cellStyle name="Normal 5 2 2 2 2 3 6 2 2" xfId="16177" xr:uid="{516ED790-B15F-4F5B-B162-A80193CCEA9E}"/>
    <cellStyle name="Normal 5 2 2 2 2 3 6 2 3" xfId="24618" xr:uid="{0AAFE89A-1B50-4CF3-9C47-34E6EBA16496}"/>
    <cellStyle name="Normal 5 2 2 2 2 3 6 2 4" xfId="33058" xr:uid="{329D2FD9-87E6-4DFF-9D96-812B851346DA}"/>
    <cellStyle name="Normal 5 2 2 2 2 3 6 3" xfId="11960" xr:uid="{5F9CC0EF-230C-4EB7-B1BF-B543D17B55CE}"/>
    <cellStyle name="Normal 5 2 2 2 2 3 6 4" xfId="20401" xr:uid="{F573682A-10D7-48FE-A98F-D59F75A31738}"/>
    <cellStyle name="Normal 5 2 2 2 2 3 6 5" xfId="28841" xr:uid="{827D8F15-1012-494B-92A3-4C27B65ADD6D}"/>
    <cellStyle name="Normal 5 2 2 2 2 3 7" xfId="4786" xr:uid="{00000000-0005-0000-0000-000034170000}"/>
    <cellStyle name="Normal 5 2 2 2 2 3 7 2" xfId="14112" xr:uid="{70EB830A-FC75-4577-AF7F-7D02F25FFDBF}"/>
    <cellStyle name="Normal 5 2 2 2 2 3 7 3" xfId="22553" xr:uid="{6872043D-28FD-4D1B-A8A0-7B21E1249871}"/>
    <cellStyle name="Normal 5 2 2 2 2 3 7 4" xfId="30993" xr:uid="{9FE6ECA0-A667-4D82-917E-112C398D9B6D}"/>
    <cellStyle name="Normal 5 2 2 2 2 3 8" xfId="9036" xr:uid="{2B9BC3AC-900A-42EE-A23F-E5574B6E75BC}"/>
    <cellStyle name="Normal 5 2 2 2 2 3 9" xfId="9895" xr:uid="{B6B8F1DA-109C-4634-AFB7-3160B8B7EE6F}"/>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BC39960E-DC9A-4BAB-98D6-7FFA0F9654E8}"/>
    <cellStyle name="Normal 5 2 2 2 2 4 2 2 3" xfId="25108" xr:uid="{A9AAD9EE-867D-45A4-9F16-C7363EF7513D}"/>
    <cellStyle name="Normal 5 2 2 2 2 4 2 2 4" xfId="33548" xr:uid="{A3ADD20A-BE77-4ACA-91AD-25FC96DC74C5}"/>
    <cellStyle name="Normal 5 2 2 2 2 4 2 3" xfId="12450" xr:uid="{3FAC2E77-A116-422F-BE2E-C01BD7732748}"/>
    <cellStyle name="Normal 5 2 2 2 2 4 2 4" xfId="20891" xr:uid="{66A076F3-EAD8-4D38-98EB-42EB073AAD71}"/>
    <cellStyle name="Normal 5 2 2 2 2 4 2 5" xfId="29331" xr:uid="{AA9C610F-B196-43E7-8D14-CC46E15B25C2}"/>
    <cellStyle name="Normal 5 2 2 2 2 4 3" xfId="5196" xr:uid="{00000000-0005-0000-0000-000038170000}"/>
    <cellStyle name="Normal 5 2 2 2 2 4 3 2" xfId="14522" xr:uid="{7486D92A-66A3-4963-98D7-1FC05E1457A1}"/>
    <cellStyle name="Normal 5 2 2 2 2 4 3 3" xfId="22963" xr:uid="{80E16D47-FA84-445E-92D4-48552AB0FB4D}"/>
    <cellStyle name="Normal 5 2 2 2 2 4 3 4" xfId="31403" xr:uid="{63B2628C-0F43-4CB9-9845-570DE74D18DC}"/>
    <cellStyle name="Normal 5 2 2 2 2 4 4" xfId="9254" xr:uid="{B0B4DA0D-4C0F-4712-8BF0-280C2A85D575}"/>
    <cellStyle name="Normal 5 2 2 2 2 4 5" xfId="10305" xr:uid="{15CD0149-0D26-4366-9089-2B842A4386E3}"/>
    <cellStyle name="Normal 5 2 2 2 2 4 6" xfId="18746" xr:uid="{2DE6BDE3-ADB4-4706-92F4-BDAD93B92EF0}"/>
    <cellStyle name="Normal 5 2 2 2 2 4 7" xfId="27186" xr:uid="{FD8F74D2-C241-4411-87BE-38535CDE7EB7}"/>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A19AB267-E00F-4299-9E35-6F68884F52FE}"/>
    <cellStyle name="Normal 5 2 2 2 2 5 2 2 3" xfId="25521" xr:uid="{811A3B92-2CFD-4E95-8783-D472C770F455}"/>
    <cellStyle name="Normal 5 2 2 2 2 5 2 2 4" xfId="33961" xr:uid="{8764AEE9-BD79-4979-83DA-9EBD6D194707}"/>
    <cellStyle name="Normal 5 2 2 2 2 5 2 3" xfId="12863" xr:uid="{E941ADA0-3ECC-4682-9208-21DAE48AC58D}"/>
    <cellStyle name="Normal 5 2 2 2 2 5 2 4" xfId="21304" xr:uid="{3B1CC0C9-8D10-4F90-9B42-2792B990DC5B}"/>
    <cellStyle name="Normal 5 2 2 2 2 5 2 5" xfId="29744" xr:uid="{DDA33D91-420F-4970-AC98-D95D4B4F162D}"/>
    <cellStyle name="Normal 5 2 2 2 2 5 3" xfId="5609" xr:uid="{00000000-0005-0000-0000-00003C170000}"/>
    <cellStyle name="Normal 5 2 2 2 2 5 3 2" xfId="14935" xr:uid="{A71DCC01-6F5F-4D92-9E4D-68B6F88A6A80}"/>
    <cellStyle name="Normal 5 2 2 2 2 5 3 3" xfId="23376" xr:uid="{37F1944F-AFD9-494D-B5C4-C8305E30E93D}"/>
    <cellStyle name="Normal 5 2 2 2 2 5 3 4" xfId="31816" xr:uid="{BD81F117-F3AD-41A8-B5E4-8AC42B30E584}"/>
    <cellStyle name="Normal 5 2 2 2 2 5 4" xfId="10718" xr:uid="{CEB510D6-7DE2-44E8-B393-6FE57AEEA0D7}"/>
    <cellStyle name="Normal 5 2 2 2 2 5 5" xfId="19159" xr:uid="{702C1CF5-E1D8-49F4-800D-AE553CB34107}"/>
    <cellStyle name="Normal 5 2 2 2 2 5 6" xfId="27599" xr:uid="{92068CD0-3F45-41D2-833A-25EA4475F20A}"/>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2C2B00BF-3D3B-4DBE-B6E3-0B16FDCB092C}"/>
    <cellStyle name="Normal 5 2 2 2 2 6 2 2 3" xfId="25934" xr:uid="{B3F4C653-7333-4F8F-8EFE-69F28B1F2BD4}"/>
    <cellStyle name="Normal 5 2 2 2 2 6 2 2 4" xfId="34374" xr:uid="{DD50F614-2C76-4E39-B0F0-68686EB747E5}"/>
    <cellStyle name="Normal 5 2 2 2 2 6 2 3" xfId="13276" xr:uid="{1A231466-04E3-4039-B24D-715DECE44035}"/>
    <cellStyle name="Normal 5 2 2 2 2 6 2 4" xfId="21717" xr:uid="{5DEE72D3-2005-4579-8458-1050FC2AF98C}"/>
    <cellStyle name="Normal 5 2 2 2 2 6 2 5" xfId="30157" xr:uid="{DE6AE206-589B-4282-BE7A-EA379DBCC474}"/>
    <cellStyle name="Normal 5 2 2 2 2 6 3" xfId="6022" xr:uid="{00000000-0005-0000-0000-000040170000}"/>
    <cellStyle name="Normal 5 2 2 2 2 6 3 2" xfId="15348" xr:uid="{9C284A6D-8A37-4E3F-832B-E27B0313F9E4}"/>
    <cellStyle name="Normal 5 2 2 2 2 6 3 3" xfId="23789" xr:uid="{0D9D851C-CCAA-4C05-99C0-0E4DBB05F4D3}"/>
    <cellStyle name="Normal 5 2 2 2 2 6 3 4" xfId="32229" xr:uid="{E8F24CC4-E6DD-4FE7-A2C7-89408DFA7724}"/>
    <cellStyle name="Normal 5 2 2 2 2 6 4" xfId="11131" xr:uid="{56489311-EE43-4535-B9F3-45C70CF5C80C}"/>
    <cellStyle name="Normal 5 2 2 2 2 6 5" xfId="19572" xr:uid="{20A772F4-5BAF-4108-9CCF-1C868175A72B}"/>
    <cellStyle name="Normal 5 2 2 2 2 6 6" xfId="28012" xr:uid="{B510365D-6DF8-436A-8E5A-C21E0D8CC578}"/>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6FFB2C04-90F8-4521-9F56-4E064D8FFE62}"/>
    <cellStyle name="Normal 5 2 2 2 2 7 2 2 3" xfId="26347" xr:uid="{D614A426-7EBA-4E09-BA9A-2EB437B362AB}"/>
    <cellStyle name="Normal 5 2 2 2 2 7 2 2 4" xfId="34787" xr:uid="{F529B39A-6C2B-4E42-B68C-EEE6F1E81265}"/>
    <cellStyle name="Normal 5 2 2 2 2 7 2 3" xfId="13689" xr:uid="{6BD4AB07-BB8F-413B-99AB-71167D0CBBB2}"/>
    <cellStyle name="Normal 5 2 2 2 2 7 2 4" xfId="22130" xr:uid="{3D41ED93-9D7F-461E-9F10-5539F5F0D1CB}"/>
    <cellStyle name="Normal 5 2 2 2 2 7 2 5" xfId="30570" xr:uid="{CC80EE03-B7D5-4365-8676-352C272A1AAA}"/>
    <cellStyle name="Normal 5 2 2 2 2 7 3" xfId="6435" xr:uid="{00000000-0005-0000-0000-000044170000}"/>
    <cellStyle name="Normal 5 2 2 2 2 7 3 2" xfId="15761" xr:uid="{821848D5-DF81-44B9-AFF9-051ED190B4ED}"/>
    <cellStyle name="Normal 5 2 2 2 2 7 3 3" xfId="24202" xr:uid="{A1ECC123-DB70-4102-8126-01AEA5E76199}"/>
    <cellStyle name="Normal 5 2 2 2 2 7 3 4" xfId="32642" xr:uid="{028169F7-8ED5-4908-8363-37D001420E30}"/>
    <cellStyle name="Normal 5 2 2 2 2 7 4" xfId="11544" xr:uid="{9BCBB627-C606-456C-9EF0-809718ED6ADF}"/>
    <cellStyle name="Normal 5 2 2 2 2 7 5" xfId="19985" xr:uid="{EFCCD562-4FDE-4489-866C-CF9B994BFFF3}"/>
    <cellStyle name="Normal 5 2 2 2 2 7 6" xfId="28425" xr:uid="{BF5AFFB8-C8FD-4256-AF84-F19D84AEEC83}"/>
    <cellStyle name="Normal 5 2 2 2 2 8" xfId="2565" xr:uid="{00000000-0005-0000-0000-000045170000}"/>
    <cellStyle name="Normal 5 2 2 2 2 8 2" xfId="6848" xr:uid="{00000000-0005-0000-0000-000046170000}"/>
    <cellStyle name="Normal 5 2 2 2 2 8 2 2" xfId="16174" xr:uid="{80E25447-4C4A-4902-9AD2-0075F24DA0A7}"/>
    <cellStyle name="Normal 5 2 2 2 2 8 2 3" xfId="24615" xr:uid="{AD260463-8551-420E-9DEF-EA82B4693AEA}"/>
    <cellStyle name="Normal 5 2 2 2 2 8 2 4" xfId="33055" xr:uid="{1E2192C2-B4B6-4401-B7DD-B61A40B2331F}"/>
    <cellStyle name="Normal 5 2 2 2 2 8 3" xfId="11957" xr:uid="{8C409B4D-007C-4D14-8444-A7932D1A45B0}"/>
    <cellStyle name="Normal 5 2 2 2 2 8 4" xfId="20398" xr:uid="{F5C76C79-0931-4BCD-B8EC-6AA8693EA9BD}"/>
    <cellStyle name="Normal 5 2 2 2 2 8 5" xfId="28838" xr:uid="{5FAB4C64-4A54-4BC9-BB34-E986825C88CB}"/>
    <cellStyle name="Normal 5 2 2 2 2 9" xfId="4783" xr:uid="{00000000-0005-0000-0000-000047170000}"/>
    <cellStyle name="Normal 5 2 2 2 2 9 2" xfId="14109" xr:uid="{2AFC24E4-A97C-4ED9-86C4-4BB02301E1C4}"/>
    <cellStyle name="Normal 5 2 2 2 2 9 3" xfId="22550" xr:uid="{5A65E563-37B8-4FF3-992B-41F61450CBB4}"/>
    <cellStyle name="Normal 5 2 2 2 2 9 4" xfId="30990" xr:uid="{975AE8F3-A8A7-4D1D-A8C7-B59A5331FFEC}"/>
    <cellStyle name="Normal 5 2 2 2 3" xfId="414" xr:uid="{00000000-0005-0000-0000-000048170000}"/>
    <cellStyle name="Normal 5 2 2 2 3 10" xfId="9896" xr:uid="{21AD79DD-9F2E-4544-B078-AD5B9E8954AF}"/>
    <cellStyle name="Normal 5 2 2 2 3 11" xfId="18337" xr:uid="{9A9F1B7C-008C-48A2-8055-C785F6CF9FC8}"/>
    <cellStyle name="Normal 5 2 2 2 3 12" xfId="26777" xr:uid="{0B81F50D-A3A1-4152-B678-1F723569D33F}"/>
    <cellStyle name="Normal 5 2 2 2 3 2" xfId="415" xr:uid="{00000000-0005-0000-0000-000049170000}"/>
    <cellStyle name="Normal 5 2 2 2 3 2 10" xfId="18338" xr:uid="{72A5FBC7-2572-45B1-8DB7-096032F1D31D}"/>
    <cellStyle name="Normal 5 2 2 2 3 2 11" xfId="26778" xr:uid="{1DF90E22-A7E5-437E-BDC0-A335B32B79EB}"/>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20053C54-A9E5-492C-BBEE-9A312E2DEA26}"/>
    <cellStyle name="Normal 5 2 2 2 3 2 2 2 2 3" xfId="25113" xr:uid="{2D4A6312-552C-4034-BEAD-3B4B55226D30}"/>
    <cellStyle name="Normal 5 2 2 2 3 2 2 2 2 4" xfId="33553" xr:uid="{BFEE8974-5968-4E5E-810E-53012C9FB173}"/>
    <cellStyle name="Normal 5 2 2 2 3 2 2 2 3" xfId="12455" xr:uid="{BB6CAB65-CEBC-4566-9E3A-5DAA8927B413}"/>
    <cellStyle name="Normal 5 2 2 2 3 2 2 2 4" xfId="20896" xr:uid="{ADD1B70E-6738-4BC0-911C-6D8BA9C1E90D}"/>
    <cellStyle name="Normal 5 2 2 2 3 2 2 2 5" xfId="29336" xr:uid="{A1BEBD2C-CB40-4FC7-9525-9976B899CE0B}"/>
    <cellStyle name="Normal 5 2 2 2 3 2 2 3" xfId="5201" xr:uid="{00000000-0005-0000-0000-00004D170000}"/>
    <cellStyle name="Normal 5 2 2 2 3 2 2 3 2" xfId="14527" xr:uid="{B1F85108-070F-4801-B9F4-81D808E1FBD0}"/>
    <cellStyle name="Normal 5 2 2 2 3 2 2 3 3" xfId="22968" xr:uid="{25295001-8DE8-4C56-B1D9-86F7A847C5E2}"/>
    <cellStyle name="Normal 5 2 2 2 3 2 2 3 4" xfId="31408" xr:uid="{5D66B79E-FEB9-4450-9A20-D37222EEC128}"/>
    <cellStyle name="Normal 5 2 2 2 3 2 2 4" xfId="9506" xr:uid="{65E8E1F9-5B62-47C9-8131-412DF42F5268}"/>
    <cellStyle name="Normal 5 2 2 2 3 2 2 5" xfId="10310" xr:uid="{5D62AAB9-67DC-44C8-B4D1-35A338B473E4}"/>
    <cellStyle name="Normal 5 2 2 2 3 2 2 6" xfId="18751" xr:uid="{9A842461-0CFD-4702-9CB0-E70EE6C49DA5}"/>
    <cellStyle name="Normal 5 2 2 2 3 2 2 7" xfId="27191" xr:uid="{EE96596C-BF19-438E-8EE2-C68B609C7AB3}"/>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7D31A00A-C707-4872-99C8-DE8F38E63ACF}"/>
    <cellStyle name="Normal 5 2 2 2 3 2 3 2 2 3" xfId="25526" xr:uid="{8D336663-1CB5-4174-86E5-D90987D618DA}"/>
    <cellStyle name="Normal 5 2 2 2 3 2 3 2 2 4" xfId="33966" xr:uid="{E88A52BA-56E9-416F-8535-E00D3B187C6F}"/>
    <cellStyle name="Normal 5 2 2 2 3 2 3 2 3" xfId="12868" xr:uid="{6A7583AC-182C-4CDA-80E5-D969BE80BCC5}"/>
    <cellStyle name="Normal 5 2 2 2 3 2 3 2 4" xfId="21309" xr:uid="{21CAC609-6789-437A-876A-BEC61A4F7087}"/>
    <cellStyle name="Normal 5 2 2 2 3 2 3 2 5" xfId="29749" xr:uid="{4CA9AD4C-FB88-4073-9F15-0818190A78D0}"/>
    <cellStyle name="Normal 5 2 2 2 3 2 3 3" xfId="5614" xr:uid="{00000000-0005-0000-0000-000051170000}"/>
    <cellStyle name="Normal 5 2 2 2 3 2 3 3 2" xfId="14940" xr:uid="{F327DD1F-A273-464D-AB4F-C5F948E0F242}"/>
    <cellStyle name="Normal 5 2 2 2 3 2 3 3 3" xfId="23381" xr:uid="{5639B51D-9CE4-4F3E-803F-CC3E09326E26}"/>
    <cellStyle name="Normal 5 2 2 2 3 2 3 3 4" xfId="31821" xr:uid="{22DE28FB-CFC1-4975-9A75-00903F2D54AA}"/>
    <cellStyle name="Normal 5 2 2 2 3 2 3 4" xfId="10723" xr:uid="{6900CA39-F7E1-48BC-8345-8CBFE0474BE8}"/>
    <cellStyle name="Normal 5 2 2 2 3 2 3 5" xfId="19164" xr:uid="{3A800271-7226-4248-9588-9AFD88D11905}"/>
    <cellStyle name="Normal 5 2 2 2 3 2 3 6" xfId="27604" xr:uid="{6579F0D3-D5E6-4C81-96EF-E3A0EBF8E348}"/>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0556C330-1147-48D9-8A64-B95A923BE1EE}"/>
    <cellStyle name="Normal 5 2 2 2 3 2 4 2 2 3" xfId="25939" xr:uid="{D647473F-3E94-41A9-BCE7-711FA30F77FC}"/>
    <cellStyle name="Normal 5 2 2 2 3 2 4 2 2 4" xfId="34379" xr:uid="{11A12689-CA64-4396-AF73-D70283E8649A}"/>
    <cellStyle name="Normal 5 2 2 2 3 2 4 2 3" xfId="13281" xr:uid="{7DEB8E7C-6807-460F-85DD-3AFEC2C430D1}"/>
    <cellStyle name="Normal 5 2 2 2 3 2 4 2 4" xfId="21722" xr:uid="{12A27C6F-5322-40CE-B970-24DF53356BCF}"/>
    <cellStyle name="Normal 5 2 2 2 3 2 4 2 5" xfId="30162" xr:uid="{3A58027F-F4F0-415C-83F3-1671788E0605}"/>
    <cellStyle name="Normal 5 2 2 2 3 2 4 3" xfId="6027" xr:uid="{00000000-0005-0000-0000-000055170000}"/>
    <cellStyle name="Normal 5 2 2 2 3 2 4 3 2" xfId="15353" xr:uid="{837DD12F-41F1-4E6D-9C80-D222FB3BBBE6}"/>
    <cellStyle name="Normal 5 2 2 2 3 2 4 3 3" xfId="23794" xr:uid="{4F8C792C-DB74-4411-A067-B8C85E3F36E5}"/>
    <cellStyle name="Normal 5 2 2 2 3 2 4 3 4" xfId="32234" xr:uid="{697FE89E-D7C8-4FDE-A9B5-B32CAED2128D}"/>
    <cellStyle name="Normal 5 2 2 2 3 2 4 4" xfId="11136" xr:uid="{8D341F3A-8477-4E41-A45F-9D6D65057070}"/>
    <cellStyle name="Normal 5 2 2 2 3 2 4 5" xfId="19577" xr:uid="{E48EFF31-4D36-4810-B581-B6E9CD7E7DAE}"/>
    <cellStyle name="Normal 5 2 2 2 3 2 4 6" xfId="28017" xr:uid="{06BA3258-EBCC-482A-AB8E-9DFF22E51222}"/>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FCC13EAD-4E1A-44A9-83D5-1271164829BC}"/>
    <cellStyle name="Normal 5 2 2 2 3 2 5 2 2 3" xfId="26352" xr:uid="{26A98E3B-95D1-4FDF-B540-0837E7BC7002}"/>
    <cellStyle name="Normal 5 2 2 2 3 2 5 2 2 4" xfId="34792" xr:uid="{B3A91B0B-6F35-4D81-B2D4-4FDFA7658749}"/>
    <cellStyle name="Normal 5 2 2 2 3 2 5 2 3" xfId="13694" xr:uid="{E4DF3DD1-76F4-41F6-A124-35A3506A7C55}"/>
    <cellStyle name="Normal 5 2 2 2 3 2 5 2 4" xfId="22135" xr:uid="{A6A1EB90-79FC-4EAE-8EE5-0DB1232DDAAC}"/>
    <cellStyle name="Normal 5 2 2 2 3 2 5 2 5" xfId="30575" xr:uid="{A66B871B-972C-4308-990A-8B9154C0CD98}"/>
    <cellStyle name="Normal 5 2 2 2 3 2 5 3" xfId="6440" xr:uid="{00000000-0005-0000-0000-000059170000}"/>
    <cellStyle name="Normal 5 2 2 2 3 2 5 3 2" xfId="15766" xr:uid="{460E6FAF-FDA6-4653-B3EC-3F89CF60B676}"/>
    <cellStyle name="Normal 5 2 2 2 3 2 5 3 3" xfId="24207" xr:uid="{96A56658-83CE-4382-8ECA-CBD0E08F44D0}"/>
    <cellStyle name="Normal 5 2 2 2 3 2 5 3 4" xfId="32647" xr:uid="{4F7D7BEC-1E16-4C31-B840-228EEE479F64}"/>
    <cellStyle name="Normal 5 2 2 2 3 2 5 4" xfId="11549" xr:uid="{35B09D65-B815-446D-BA83-E08424740AB9}"/>
    <cellStyle name="Normal 5 2 2 2 3 2 5 5" xfId="19990" xr:uid="{B5462189-F092-491E-8909-55387607B583}"/>
    <cellStyle name="Normal 5 2 2 2 3 2 5 6" xfId="28430" xr:uid="{A0980496-F1E8-489A-B12E-6F2A909258C5}"/>
    <cellStyle name="Normal 5 2 2 2 3 2 6" xfId="2570" xr:uid="{00000000-0005-0000-0000-00005A170000}"/>
    <cellStyle name="Normal 5 2 2 2 3 2 6 2" xfId="6853" xr:uid="{00000000-0005-0000-0000-00005B170000}"/>
    <cellStyle name="Normal 5 2 2 2 3 2 6 2 2" xfId="16179" xr:uid="{F6D53A7E-8AEC-4293-9507-6D70D8A36DD0}"/>
    <cellStyle name="Normal 5 2 2 2 3 2 6 2 3" xfId="24620" xr:uid="{89F531D3-E067-4914-863D-16FE71C7B1A8}"/>
    <cellStyle name="Normal 5 2 2 2 3 2 6 2 4" xfId="33060" xr:uid="{F595C452-9BDE-4BC5-A072-9E68BD2CEDC9}"/>
    <cellStyle name="Normal 5 2 2 2 3 2 6 3" xfId="11962" xr:uid="{CC65E873-2AB5-4C0B-A8CF-A733D437955D}"/>
    <cellStyle name="Normal 5 2 2 2 3 2 6 4" xfId="20403" xr:uid="{8230B45F-1792-4669-B8E3-2317F5662035}"/>
    <cellStyle name="Normal 5 2 2 2 3 2 6 5" xfId="28843" xr:uid="{F78642EA-6DF6-4971-83DF-E2F47A735DF2}"/>
    <cellStyle name="Normal 5 2 2 2 3 2 7" xfId="4788" xr:uid="{00000000-0005-0000-0000-00005C170000}"/>
    <cellStyle name="Normal 5 2 2 2 3 2 7 2" xfId="14114" xr:uid="{3E999F01-0719-4FBC-B5FB-2657C2AB4C46}"/>
    <cellStyle name="Normal 5 2 2 2 3 2 7 3" xfId="22555" xr:uid="{6C2E0081-09E7-4374-9B88-8C52A7287202}"/>
    <cellStyle name="Normal 5 2 2 2 3 2 7 4" xfId="30995" xr:uid="{60E52574-52D6-418F-9103-D5A6E244A090}"/>
    <cellStyle name="Normal 5 2 2 2 3 2 8" xfId="9081" xr:uid="{B0400C6D-4400-4F06-9092-2DCAD3324CF1}"/>
    <cellStyle name="Normal 5 2 2 2 3 2 9" xfId="9897" xr:uid="{66496306-AECC-4E1D-BBD2-982E51ADDAC7}"/>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DA65BAB7-7649-46D4-9621-52D4130234C2}"/>
    <cellStyle name="Normal 5 2 2 2 3 3 2 2 3" xfId="25112" xr:uid="{9091FDDE-D07D-45B8-926D-E7CAB02295D2}"/>
    <cellStyle name="Normal 5 2 2 2 3 3 2 2 4" xfId="33552" xr:uid="{F7A58B79-123B-4E31-ABE6-D63F2ECEEC70}"/>
    <cellStyle name="Normal 5 2 2 2 3 3 2 3" xfId="12454" xr:uid="{2DAEC5FB-7211-4342-BC15-4831BC58377B}"/>
    <cellStyle name="Normal 5 2 2 2 3 3 2 4" xfId="20895" xr:uid="{2E948008-17E4-4AD9-9D66-688807486A84}"/>
    <cellStyle name="Normal 5 2 2 2 3 3 2 5" xfId="29335" xr:uid="{C5D998BB-E2EF-4977-9724-FE1AD96DDF84}"/>
    <cellStyle name="Normal 5 2 2 2 3 3 3" xfId="5200" xr:uid="{00000000-0005-0000-0000-000060170000}"/>
    <cellStyle name="Normal 5 2 2 2 3 3 3 2" xfId="14526" xr:uid="{86561C97-9482-41F0-B70D-77AAA4D68757}"/>
    <cellStyle name="Normal 5 2 2 2 3 3 3 3" xfId="22967" xr:uid="{BD8193B4-5673-4EC2-AD90-364DF3D9E6A7}"/>
    <cellStyle name="Normal 5 2 2 2 3 3 3 4" xfId="31407" xr:uid="{8F01BB95-7ED3-433C-B007-1BA905CAE1A1}"/>
    <cellStyle name="Normal 5 2 2 2 3 3 4" xfId="9299" xr:uid="{85780536-A38F-4D86-8846-D9FA6BB2D61D}"/>
    <cellStyle name="Normal 5 2 2 2 3 3 5" xfId="10309" xr:uid="{BBC0FF39-B582-4BEE-BCA5-2E219F3B6D2D}"/>
    <cellStyle name="Normal 5 2 2 2 3 3 6" xfId="18750" xr:uid="{EC34786A-525F-41C0-B16C-737995702E4E}"/>
    <cellStyle name="Normal 5 2 2 2 3 3 7" xfId="27190" xr:uid="{0D9A59B7-9C90-4989-850A-96B4EE43EB2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453C36E7-513E-459F-8CA7-775C1AA8449A}"/>
    <cellStyle name="Normal 5 2 2 2 3 4 2 2 3" xfId="25525" xr:uid="{2F020D8F-3605-4C44-A814-DE77D9400A8B}"/>
    <cellStyle name="Normal 5 2 2 2 3 4 2 2 4" xfId="33965" xr:uid="{42B6737E-7A94-43B0-AFDF-556B12D25B41}"/>
    <cellStyle name="Normal 5 2 2 2 3 4 2 3" xfId="12867" xr:uid="{CB7ED33F-74C4-4036-93EB-A8FB68EA853D}"/>
    <cellStyle name="Normal 5 2 2 2 3 4 2 4" xfId="21308" xr:uid="{044C9264-1962-4279-939C-754CC11B0322}"/>
    <cellStyle name="Normal 5 2 2 2 3 4 2 5" xfId="29748" xr:uid="{D19C51F4-11CE-4D27-841C-A32ABB2BC513}"/>
    <cellStyle name="Normal 5 2 2 2 3 4 3" xfId="5613" xr:uid="{00000000-0005-0000-0000-000064170000}"/>
    <cellStyle name="Normal 5 2 2 2 3 4 3 2" xfId="14939" xr:uid="{6B14BCE3-1327-48F6-B2D9-0CB23E2D72C3}"/>
    <cellStyle name="Normal 5 2 2 2 3 4 3 3" xfId="23380" xr:uid="{1B765102-9E15-4076-84A8-BBCEC7CCC807}"/>
    <cellStyle name="Normal 5 2 2 2 3 4 3 4" xfId="31820" xr:uid="{A2B01E10-0444-4A4D-8276-34134118F220}"/>
    <cellStyle name="Normal 5 2 2 2 3 4 4" xfId="10722" xr:uid="{8907D3B4-3588-47DE-AC6C-39DF5DFDD78D}"/>
    <cellStyle name="Normal 5 2 2 2 3 4 5" xfId="19163" xr:uid="{59F06942-A72D-488E-90D1-CB75CEEE5ADC}"/>
    <cellStyle name="Normal 5 2 2 2 3 4 6" xfId="27603" xr:uid="{200FE7C2-C424-4F9C-9C62-388B5A63237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89217C81-3467-44A1-B9A6-20D8AE8B2762}"/>
    <cellStyle name="Normal 5 2 2 2 3 5 2 2 3" xfId="25938" xr:uid="{6489C915-55D2-4BEB-8652-1C5C9C47A896}"/>
    <cellStyle name="Normal 5 2 2 2 3 5 2 2 4" xfId="34378" xr:uid="{F0BCDDEE-3BC8-4775-A169-09AAF8E20DE1}"/>
    <cellStyle name="Normal 5 2 2 2 3 5 2 3" xfId="13280" xr:uid="{D0313AF3-8AFF-478B-BC6B-E3F6D77C98D0}"/>
    <cellStyle name="Normal 5 2 2 2 3 5 2 4" xfId="21721" xr:uid="{AB5EFB39-1D7B-4D51-A8CC-3BE123CCF595}"/>
    <cellStyle name="Normal 5 2 2 2 3 5 2 5" xfId="30161" xr:uid="{D76B75BC-D0CA-460A-9F6D-DAF38C870851}"/>
    <cellStyle name="Normal 5 2 2 2 3 5 3" xfId="6026" xr:uid="{00000000-0005-0000-0000-000068170000}"/>
    <cellStyle name="Normal 5 2 2 2 3 5 3 2" xfId="15352" xr:uid="{DCB20CB3-A73E-40D0-86A0-3DB120905699}"/>
    <cellStyle name="Normal 5 2 2 2 3 5 3 3" xfId="23793" xr:uid="{226FE948-28D2-4334-A54B-E0C8BE200CF4}"/>
    <cellStyle name="Normal 5 2 2 2 3 5 3 4" xfId="32233" xr:uid="{B7E19035-3D58-4673-B925-79AF6158D2A7}"/>
    <cellStyle name="Normal 5 2 2 2 3 5 4" xfId="11135" xr:uid="{924469B5-C5B8-4911-8364-C1F7B3805B10}"/>
    <cellStyle name="Normal 5 2 2 2 3 5 5" xfId="19576" xr:uid="{20BAB7AC-D518-4724-A24C-79FD683132D0}"/>
    <cellStyle name="Normal 5 2 2 2 3 5 6" xfId="28016" xr:uid="{57D2E587-F6C8-485A-B648-C59AAE9118C6}"/>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DEB32A42-10F5-4449-85A6-6DAF0EF97186}"/>
    <cellStyle name="Normal 5 2 2 2 3 6 2 2 3" xfId="26351" xr:uid="{E9DC0A21-524D-4D5A-ACF9-8F514742938B}"/>
    <cellStyle name="Normal 5 2 2 2 3 6 2 2 4" xfId="34791" xr:uid="{9647B1D1-9599-4D5D-A0E5-280ADEC39EBC}"/>
    <cellStyle name="Normal 5 2 2 2 3 6 2 3" xfId="13693" xr:uid="{9AD97776-212E-4855-ABB0-05EE61DABDF8}"/>
    <cellStyle name="Normal 5 2 2 2 3 6 2 4" xfId="22134" xr:uid="{0F7C7E80-A88D-47D1-931B-334716D2EA83}"/>
    <cellStyle name="Normal 5 2 2 2 3 6 2 5" xfId="30574" xr:uid="{809164BD-A388-4E61-B136-891B498CF002}"/>
    <cellStyle name="Normal 5 2 2 2 3 6 3" xfId="6439" xr:uid="{00000000-0005-0000-0000-00006C170000}"/>
    <cellStyle name="Normal 5 2 2 2 3 6 3 2" xfId="15765" xr:uid="{32E7F78F-BFEA-47B8-B624-8DADF3586488}"/>
    <cellStyle name="Normal 5 2 2 2 3 6 3 3" xfId="24206" xr:uid="{1F3E592A-2246-4246-8B73-003CDD105470}"/>
    <cellStyle name="Normal 5 2 2 2 3 6 3 4" xfId="32646" xr:uid="{B4555D50-F448-40BA-B45F-ECFE4B000C56}"/>
    <cellStyle name="Normal 5 2 2 2 3 6 4" xfId="11548" xr:uid="{83C1C578-8FDC-432A-B02F-5ED214AC9B50}"/>
    <cellStyle name="Normal 5 2 2 2 3 6 5" xfId="19989" xr:uid="{302079E6-B29E-4194-9896-34C26F7771A6}"/>
    <cellStyle name="Normal 5 2 2 2 3 6 6" xfId="28429" xr:uid="{D0F15316-D86E-484B-9C50-AA3E95A454A6}"/>
    <cellStyle name="Normal 5 2 2 2 3 7" xfId="2569" xr:uid="{00000000-0005-0000-0000-00006D170000}"/>
    <cellStyle name="Normal 5 2 2 2 3 7 2" xfId="6852" xr:uid="{00000000-0005-0000-0000-00006E170000}"/>
    <cellStyle name="Normal 5 2 2 2 3 7 2 2" xfId="16178" xr:uid="{B6526F19-D3C5-4E3A-BCA7-FA729968DBF9}"/>
    <cellStyle name="Normal 5 2 2 2 3 7 2 3" xfId="24619" xr:uid="{0A76AF4F-8601-4C68-B4AD-ABC8A07DCF0B}"/>
    <cellStyle name="Normal 5 2 2 2 3 7 2 4" xfId="33059" xr:uid="{8CB598E8-4E90-4EE5-91B6-D5C364E0C294}"/>
    <cellStyle name="Normal 5 2 2 2 3 7 3" xfId="11961" xr:uid="{7D03387B-0655-4504-89CF-6226AE4C2D6F}"/>
    <cellStyle name="Normal 5 2 2 2 3 7 4" xfId="20402" xr:uid="{AB4A66C8-B114-4728-A604-E03B1B9C19CB}"/>
    <cellStyle name="Normal 5 2 2 2 3 7 5" xfId="28842" xr:uid="{56D96819-969C-48EA-AAF7-3E2325E7C670}"/>
    <cellStyle name="Normal 5 2 2 2 3 8" xfId="4787" xr:uid="{00000000-0005-0000-0000-00006F170000}"/>
    <cellStyle name="Normal 5 2 2 2 3 8 2" xfId="14113" xr:uid="{BD182D93-5D75-456E-9C12-54724989A026}"/>
    <cellStyle name="Normal 5 2 2 2 3 8 3" xfId="22554" xr:uid="{EB84949F-E651-4915-B4A8-FF4BE435C040}"/>
    <cellStyle name="Normal 5 2 2 2 3 8 4" xfId="30994" xr:uid="{09D18758-1926-459E-9777-76A070736C96}"/>
    <cellStyle name="Normal 5 2 2 2 3 9" xfId="8874" xr:uid="{D7CEB9F3-DFA5-483F-B08A-C4A582DD7FE8}"/>
    <cellStyle name="Normal 5 2 2 2 4" xfId="416" xr:uid="{00000000-0005-0000-0000-000070170000}"/>
    <cellStyle name="Normal 5 2 2 2 4 10" xfId="18339" xr:uid="{684038CF-B051-4542-B9EB-A1FA3C829CBA}"/>
    <cellStyle name="Normal 5 2 2 2 4 11" xfId="26779" xr:uid="{93B5914C-38C9-4D28-9E0D-89E6557A09C5}"/>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83FA63B1-E210-47C7-B5B2-B6A0F7C57CF4}"/>
    <cellStyle name="Normal 5 2 2 2 4 2 2 2 3" xfId="25114" xr:uid="{6847BFD2-78BD-4823-96CC-89CD28E882F3}"/>
    <cellStyle name="Normal 5 2 2 2 4 2 2 2 4" xfId="33554" xr:uid="{9E6C5B1C-4D20-4A2F-81DB-6DECDA2FBB8A}"/>
    <cellStyle name="Normal 5 2 2 2 4 2 2 3" xfId="12456" xr:uid="{01294D92-A089-471D-92CB-CAA5CEB9AF6B}"/>
    <cellStyle name="Normal 5 2 2 2 4 2 2 4" xfId="20897" xr:uid="{827DFDEC-214D-4151-8193-2982C9BA0C25}"/>
    <cellStyle name="Normal 5 2 2 2 4 2 2 5" xfId="29337" xr:uid="{35741F60-2657-4745-BE54-7244A337DAF0}"/>
    <cellStyle name="Normal 5 2 2 2 4 2 3" xfId="5202" xr:uid="{00000000-0005-0000-0000-000074170000}"/>
    <cellStyle name="Normal 5 2 2 2 4 2 3 2" xfId="14528" xr:uid="{A110E1A1-E495-4C14-80C2-B12BACFC586B}"/>
    <cellStyle name="Normal 5 2 2 2 4 2 3 3" xfId="22969" xr:uid="{D89953D7-DAC1-4003-A397-9AC928A1ADF1}"/>
    <cellStyle name="Normal 5 2 2 2 4 2 3 4" xfId="31409" xr:uid="{B3752670-A8C1-4D4C-9EDD-25C5B529C69F}"/>
    <cellStyle name="Normal 5 2 2 2 4 2 4" xfId="9403" xr:uid="{DDA7C497-662A-4A76-A324-A27E6A0A2B3D}"/>
    <cellStyle name="Normal 5 2 2 2 4 2 5" xfId="10311" xr:uid="{92E22C8A-1AC9-4F32-BF3D-888ACF44F90B}"/>
    <cellStyle name="Normal 5 2 2 2 4 2 6" xfId="18752" xr:uid="{F548B39C-5BE6-45F7-864A-547F7104C3CA}"/>
    <cellStyle name="Normal 5 2 2 2 4 2 7" xfId="27192" xr:uid="{F17E673D-7AB1-4A8A-817D-E0E5DBDBDDAC}"/>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B2100DFE-54BC-4A04-BBF7-957423C801B7}"/>
    <cellStyle name="Normal 5 2 2 2 4 3 2 2 3" xfId="25527" xr:uid="{BB62CEA3-22B5-4454-9C79-B1B2430BEF4C}"/>
    <cellStyle name="Normal 5 2 2 2 4 3 2 2 4" xfId="33967" xr:uid="{A20567E9-95D6-4BCD-BB76-AC496BE49F54}"/>
    <cellStyle name="Normal 5 2 2 2 4 3 2 3" xfId="12869" xr:uid="{B77C43E4-FA6E-410F-A995-C63376F24C20}"/>
    <cellStyle name="Normal 5 2 2 2 4 3 2 4" xfId="21310" xr:uid="{999B73BE-63B8-45F8-BAE9-50A92C8F4D30}"/>
    <cellStyle name="Normal 5 2 2 2 4 3 2 5" xfId="29750" xr:uid="{8EEDFC0F-4A83-4AD0-ADAF-2A33F7F94E89}"/>
    <cellStyle name="Normal 5 2 2 2 4 3 3" xfId="5615" xr:uid="{00000000-0005-0000-0000-000078170000}"/>
    <cellStyle name="Normal 5 2 2 2 4 3 3 2" xfId="14941" xr:uid="{2A191BA3-881A-4140-8856-A4B6D5F9576F}"/>
    <cellStyle name="Normal 5 2 2 2 4 3 3 3" xfId="23382" xr:uid="{5286E8E6-B86F-489B-8822-8D0E77415D1F}"/>
    <cellStyle name="Normal 5 2 2 2 4 3 3 4" xfId="31822" xr:uid="{A5ED45E3-911A-4560-BB63-C96FE1ED7C0F}"/>
    <cellStyle name="Normal 5 2 2 2 4 3 4" xfId="10724" xr:uid="{10C1624A-570E-4899-94AB-EC99CBDC1FDD}"/>
    <cellStyle name="Normal 5 2 2 2 4 3 5" xfId="19165" xr:uid="{90560069-D676-4C55-AEFA-B7C67C8C3466}"/>
    <cellStyle name="Normal 5 2 2 2 4 3 6" xfId="27605" xr:uid="{759A73DA-0CDE-4075-9000-877F80B3BCE9}"/>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BDD5FC76-204F-4FB3-8820-5181DDB73A3C}"/>
    <cellStyle name="Normal 5 2 2 2 4 4 2 2 3" xfId="25940" xr:uid="{0AD7185D-A6EB-42F2-BCE4-9278B9B5ED29}"/>
    <cellStyle name="Normal 5 2 2 2 4 4 2 2 4" xfId="34380" xr:uid="{962B4BEA-50DE-45D6-94D7-4FC51ABD176B}"/>
    <cellStyle name="Normal 5 2 2 2 4 4 2 3" xfId="13282" xr:uid="{2C9E546E-4565-4998-9B55-D09BC3F2AEDA}"/>
    <cellStyle name="Normal 5 2 2 2 4 4 2 4" xfId="21723" xr:uid="{713C87AD-7F1F-46C4-8C26-A142822F5E68}"/>
    <cellStyle name="Normal 5 2 2 2 4 4 2 5" xfId="30163" xr:uid="{9D6A4B1B-A5EA-4570-A407-65E309067A73}"/>
    <cellStyle name="Normal 5 2 2 2 4 4 3" xfId="6028" xr:uid="{00000000-0005-0000-0000-00007C170000}"/>
    <cellStyle name="Normal 5 2 2 2 4 4 3 2" xfId="15354" xr:uid="{7C73EACE-78C7-4BBE-94A6-FC63E1EC7BAF}"/>
    <cellStyle name="Normal 5 2 2 2 4 4 3 3" xfId="23795" xr:uid="{AFB4F839-6F88-44CB-84AB-2FDE4E9CA5DC}"/>
    <cellStyle name="Normal 5 2 2 2 4 4 3 4" xfId="32235" xr:uid="{90C14990-7B54-428E-89EA-9DAA36625D2D}"/>
    <cellStyle name="Normal 5 2 2 2 4 4 4" xfId="11137" xr:uid="{B50E6656-31AC-4059-A9EA-11624F0EF7A8}"/>
    <cellStyle name="Normal 5 2 2 2 4 4 5" xfId="19578" xr:uid="{D323166F-7E40-4BDA-BA65-28BA3F4EEE83}"/>
    <cellStyle name="Normal 5 2 2 2 4 4 6" xfId="28018" xr:uid="{31488CE1-9987-4B7D-8C41-A52282F14305}"/>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E163ED63-2BBA-4701-A87E-66F680DBA6B7}"/>
    <cellStyle name="Normal 5 2 2 2 4 5 2 2 3" xfId="26353" xr:uid="{73EFC409-5B42-4ACE-8354-48644270E95A}"/>
    <cellStyle name="Normal 5 2 2 2 4 5 2 2 4" xfId="34793" xr:uid="{AE1AB3D8-C3EB-48FB-8809-BCBA67AF48F1}"/>
    <cellStyle name="Normal 5 2 2 2 4 5 2 3" xfId="13695" xr:uid="{D610BC0B-A0FC-4B85-B194-C67305305355}"/>
    <cellStyle name="Normal 5 2 2 2 4 5 2 4" xfId="22136" xr:uid="{C4CCBEF0-8CDB-4EA4-93FD-D25A4FC4E6F9}"/>
    <cellStyle name="Normal 5 2 2 2 4 5 2 5" xfId="30576" xr:uid="{9773CC3E-C798-4257-BCE5-0D567669050F}"/>
    <cellStyle name="Normal 5 2 2 2 4 5 3" xfId="6441" xr:uid="{00000000-0005-0000-0000-000080170000}"/>
    <cellStyle name="Normal 5 2 2 2 4 5 3 2" xfId="15767" xr:uid="{4933414D-7F2C-4A08-A44F-99D2031896BE}"/>
    <cellStyle name="Normal 5 2 2 2 4 5 3 3" xfId="24208" xr:uid="{AA9BBF71-59B0-49E0-96CD-83E44D9F461B}"/>
    <cellStyle name="Normal 5 2 2 2 4 5 3 4" xfId="32648" xr:uid="{C0524F78-EF28-4976-9137-62CBC0ECEF95}"/>
    <cellStyle name="Normal 5 2 2 2 4 5 4" xfId="11550" xr:uid="{5500C634-0FAA-4BD5-A888-AA9575AD9D8B}"/>
    <cellStyle name="Normal 5 2 2 2 4 5 5" xfId="19991" xr:uid="{55221648-5965-4129-98B5-430D8CA82AAD}"/>
    <cellStyle name="Normal 5 2 2 2 4 5 6" xfId="28431" xr:uid="{3276E4D6-E8DB-45A8-BBBE-ED3666BCE577}"/>
    <cellStyle name="Normal 5 2 2 2 4 6" xfId="2571" xr:uid="{00000000-0005-0000-0000-000081170000}"/>
    <cellStyle name="Normal 5 2 2 2 4 6 2" xfId="6854" xr:uid="{00000000-0005-0000-0000-000082170000}"/>
    <cellStyle name="Normal 5 2 2 2 4 6 2 2" xfId="16180" xr:uid="{DD1B644B-CC04-4718-A292-494CF9984645}"/>
    <cellStyle name="Normal 5 2 2 2 4 6 2 3" xfId="24621" xr:uid="{3D9E2929-74EC-4E3C-93BF-108105A4D7E8}"/>
    <cellStyle name="Normal 5 2 2 2 4 6 2 4" xfId="33061" xr:uid="{B4BFE055-9D6A-49B0-B28C-FEA83E027631}"/>
    <cellStyle name="Normal 5 2 2 2 4 6 3" xfId="11963" xr:uid="{5756A349-6E9F-4A2E-B355-06A6BEDA6D02}"/>
    <cellStyle name="Normal 5 2 2 2 4 6 4" xfId="20404" xr:uid="{6C19D34A-55C9-406A-B131-C66B4D5AD65F}"/>
    <cellStyle name="Normal 5 2 2 2 4 6 5" xfId="28844" xr:uid="{82AE89D9-DCF8-4754-A3D1-7513B8B31659}"/>
    <cellStyle name="Normal 5 2 2 2 4 7" xfId="4789" xr:uid="{00000000-0005-0000-0000-000083170000}"/>
    <cellStyle name="Normal 5 2 2 2 4 7 2" xfId="14115" xr:uid="{98B2450F-578F-4DBE-9AA0-2A5E13BB7154}"/>
    <cellStyle name="Normal 5 2 2 2 4 7 3" xfId="22556" xr:uid="{0F93757C-AA68-4207-A641-ADEDDDA196FF}"/>
    <cellStyle name="Normal 5 2 2 2 4 7 4" xfId="30996" xr:uid="{6EFE5623-3B16-4B24-9786-8F833156FFE3}"/>
    <cellStyle name="Normal 5 2 2 2 4 8" xfId="8978" xr:uid="{5B5F86B4-BA0F-43A7-920A-E466FD014739}"/>
    <cellStyle name="Normal 5 2 2 2 4 9" xfId="9898" xr:uid="{E70BE378-BF8F-480E-A17D-854E024013AC}"/>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CF9E7758-4880-4E69-81CF-11BCB9E5513E}"/>
    <cellStyle name="Normal 5 2 2 2 5 2 2 3" xfId="25107" xr:uid="{67E8CA08-8130-4829-822A-24FDE876E558}"/>
    <cellStyle name="Normal 5 2 2 2 5 2 2 4" xfId="33547" xr:uid="{4FB65E16-AA42-478C-AFD1-6ABB5EA69F23}"/>
    <cellStyle name="Normal 5 2 2 2 5 2 3" xfId="12449" xr:uid="{68828A09-AB45-4A09-8224-F27700B3CDCD}"/>
    <cellStyle name="Normal 5 2 2 2 5 2 4" xfId="20890" xr:uid="{ED7EBC51-3EF4-4E14-B94C-2102C7249836}"/>
    <cellStyle name="Normal 5 2 2 2 5 2 5" xfId="29330" xr:uid="{BC0990CE-103A-419C-A9C0-71E394F9D054}"/>
    <cellStyle name="Normal 5 2 2 2 5 3" xfId="5195" xr:uid="{00000000-0005-0000-0000-000087170000}"/>
    <cellStyle name="Normal 5 2 2 2 5 3 2" xfId="14521" xr:uid="{9F1514A3-5371-472D-8A4E-E76802064B46}"/>
    <cellStyle name="Normal 5 2 2 2 5 3 3" xfId="22962" xr:uid="{0B36C9DE-F06F-485C-8F4D-95367CB91809}"/>
    <cellStyle name="Normal 5 2 2 2 5 3 4" xfId="31402" xr:uid="{51BD7A27-F077-40C3-8FE0-D4D7E07BBD0C}"/>
    <cellStyle name="Normal 5 2 2 2 5 4" xfId="9195" xr:uid="{A7E71EA0-2CA4-4918-870E-A32EEF45C61A}"/>
    <cellStyle name="Normal 5 2 2 2 5 5" xfId="10304" xr:uid="{FDF92530-CDE3-402C-887F-FE689EDF9759}"/>
    <cellStyle name="Normal 5 2 2 2 5 6" xfId="18745" xr:uid="{06B1AF41-E51B-43B2-81DE-74A8A49B7D1C}"/>
    <cellStyle name="Normal 5 2 2 2 5 7" xfId="27185" xr:uid="{49B334F1-D960-4849-B01E-65B3319C88B0}"/>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B9AD3479-B336-4489-BA29-B818D4832F69}"/>
    <cellStyle name="Normal 5 2 2 2 6 2 2 3" xfId="25520" xr:uid="{092A5F3C-8C6A-407B-8A60-C2509D21142F}"/>
    <cellStyle name="Normal 5 2 2 2 6 2 2 4" xfId="33960" xr:uid="{7A0AF45E-6DA1-46EF-A197-6C6224052E1D}"/>
    <cellStyle name="Normal 5 2 2 2 6 2 3" xfId="12862" xr:uid="{7488A716-A9A9-4B84-B3BB-0942CA00846C}"/>
    <cellStyle name="Normal 5 2 2 2 6 2 4" xfId="21303" xr:uid="{E1BFAC93-D9A8-4C36-B370-1072CB08006B}"/>
    <cellStyle name="Normal 5 2 2 2 6 2 5" xfId="29743" xr:uid="{C9E89FBD-BC1E-447C-AC67-E8BD12DEAEA2}"/>
    <cellStyle name="Normal 5 2 2 2 6 3" xfId="5608" xr:uid="{00000000-0005-0000-0000-00008B170000}"/>
    <cellStyle name="Normal 5 2 2 2 6 3 2" xfId="14934" xr:uid="{F4F6C3C6-A16D-42E3-87C4-2416E2740E0B}"/>
    <cellStyle name="Normal 5 2 2 2 6 3 3" xfId="23375" xr:uid="{6D7B8ADA-2454-4862-AC2D-CE076A2C7927}"/>
    <cellStyle name="Normal 5 2 2 2 6 3 4" xfId="31815" xr:uid="{B5665285-A4E8-41C0-957C-AD106E2D158C}"/>
    <cellStyle name="Normal 5 2 2 2 6 4" xfId="10717" xr:uid="{2EAD4A9B-E0CD-4717-A3A9-8D8B6533979A}"/>
    <cellStyle name="Normal 5 2 2 2 6 5" xfId="19158" xr:uid="{01AA4B45-9AAB-4249-9E42-242989A309D3}"/>
    <cellStyle name="Normal 5 2 2 2 6 6" xfId="27598" xr:uid="{B19DC58A-7E84-48CC-AAB4-A8C1966484D8}"/>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169505E1-12AF-42C8-8613-3B2BAA00CA3D}"/>
    <cellStyle name="Normal 5 2 2 2 7 2 2 3" xfId="25933" xr:uid="{1D1D8799-4957-4982-8790-C0EB5396572D}"/>
    <cellStyle name="Normal 5 2 2 2 7 2 2 4" xfId="34373" xr:uid="{4900A373-2815-4BFA-814D-17A4C7D750F4}"/>
    <cellStyle name="Normal 5 2 2 2 7 2 3" xfId="13275" xr:uid="{EC430E8C-50E9-4A19-9420-3C5F76862148}"/>
    <cellStyle name="Normal 5 2 2 2 7 2 4" xfId="21716" xr:uid="{09863978-1734-4BE4-9EC2-570F5DA71995}"/>
    <cellStyle name="Normal 5 2 2 2 7 2 5" xfId="30156" xr:uid="{B496B52B-88D2-414E-8318-49D3E744ECBC}"/>
    <cellStyle name="Normal 5 2 2 2 7 3" xfId="6021" xr:uid="{00000000-0005-0000-0000-00008F170000}"/>
    <cellStyle name="Normal 5 2 2 2 7 3 2" xfId="15347" xr:uid="{9F47B0C2-093F-4A75-8707-037212C4E41F}"/>
    <cellStyle name="Normal 5 2 2 2 7 3 3" xfId="23788" xr:uid="{C9039CF1-C838-4924-ACE9-1288AB2F216F}"/>
    <cellStyle name="Normal 5 2 2 2 7 3 4" xfId="32228" xr:uid="{85370D4A-9A76-48A4-B168-7BF5712B32D5}"/>
    <cellStyle name="Normal 5 2 2 2 7 4" xfId="11130" xr:uid="{5366F9CF-916C-4461-B7A2-2FE90F3F66DA}"/>
    <cellStyle name="Normal 5 2 2 2 7 5" xfId="19571" xr:uid="{3E874EB2-D495-4E6F-85B1-9CD781482752}"/>
    <cellStyle name="Normal 5 2 2 2 7 6" xfId="28011" xr:uid="{FF411237-717B-4B79-AFA7-071A2CC67B52}"/>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9051AE40-9E8F-42AC-BF0D-CD244268C91F}"/>
    <cellStyle name="Normal 5 2 2 2 8 2 2 3" xfId="26346" xr:uid="{707CD066-D567-4A3C-9BDC-0137B5F5E6C5}"/>
    <cellStyle name="Normal 5 2 2 2 8 2 2 4" xfId="34786" xr:uid="{2E692749-AB1F-4F0F-92DB-B1310555A876}"/>
    <cellStyle name="Normal 5 2 2 2 8 2 3" xfId="13688" xr:uid="{E53E767D-7F29-4431-8DDD-F66D94E35D41}"/>
    <cellStyle name="Normal 5 2 2 2 8 2 4" xfId="22129" xr:uid="{256FE332-5DC9-4066-B7C8-B2A48E8A4BB8}"/>
    <cellStyle name="Normal 5 2 2 2 8 2 5" xfId="30569" xr:uid="{6E07148E-B7DB-4697-8B50-6F756A96B606}"/>
    <cellStyle name="Normal 5 2 2 2 8 3" xfId="6434" xr:uid="{00000000-0005-0000-0000-000093170000}"/>
    <cellStyle name="Normal 5 2 2 2 8 3 2" xfId="15760" xr:uid="{1B08ED59-B79C-4F0D-B0A3-ED63BE5DABE8}"/>
    <cellStyle name="Normal 5 2 2 2 8 3 3" xfId="24201" xr:uid="{ED868E8E-DC91-4643-8C49-9D2E7A6E0EB2}"/>
    <cellStyle name="Normal 5 2 2 2 8 3 4" xfId="32641" xr:uid="{6E7A2A7A-94DE-4F67-897A-92D890FC497B}"/>
    <cellStyle name="Normal 5 2 2 2 8 4" xfId="11543" xr:uid="{E2E8BEAF-201E-490E-8EAD-DF14D25B3D0D}"/>
    <cellStyle name="Normal 5 2 2 2 8 5" xfId="19984" xr:uid="{F7FB9A53-6AB0-4BE6-8711-8C98C491346A}"/>
    <cellStyle name="Normal 5 2 2 2 8 6" xfId="28424" xr:uid="{6779A61E-A220-4EF1-9016-D8658A2D0A9E}"/>
    <cellStyle name="Normal 5 2 2 2 9" xfId="2564" xr:uid="{00000000-0005-0000-0000-000094170000}"/>
    <cellStyle name="Normal 5 2 2 2 9 2" xfId="6847" xr:uid="{00000000-0005-0000-0000-000095170000}"/>
    <cellStyle name="Normal 5 2 2 2 9 2 2" xfId="16173" xr:uid="{7075DC1D-E79E-46D2-9590-1AC21E72BB70}"/>
    <cellStyle name="Normal 5 2 2 2 9 2 3" xfId="24614" xr:uid="{45DE2CAA-73E8-4E52-8A21-0C729B0B6907}"/>
    <cellStyle name="Normal 5 2 2 2 9 2 4" xfId="33054" xr:uid="{1DAEF173-1F4B-4732-9883-9E148B59CAF5}"/>
    <cellStyle name="Normal 5 2 2 2 9 3" xfId="11956" xr:uid="{65217AE2-B52A-4553-AFA6-434761408582}"/>
    <cellStyle name="Normal 5 2 2 2 9 4" xfId="20397" xr:uid="{11521D33-561D-4B5B-B3DE-EF83CD0F23BD}"/>
    <cellStyle name="Normal 5 2 2 2 9 5" xfId="28837" xr:uid="{FBE1E6E4-4936-468F-98E9-548B94D9B17A}"/>
    <cellStyle name="Normal 5 2 2 3" xfId="417" xr:uid="{00000000-0005-0000-0000-000096170000}"/>
    <cellStyle name="Normal 5 2 2 3 10" xfId="8828" xr:uid="{5CED8211-F967-469B-812B-9DF6FC250177}"/>
    <cellStyle name="Normal 5 2 2 3 11" xfId="9899" xr:uid="{89AF1201-15DD-4C1C-807A-50525E7B5F33}"/>
    <cellStyle name="Normal 5 2 2 3 12" xfId="18340" xr:uid="{ABBC53BB-9899-4015-B6F0-AC463A58E923}"/>
    <cellStyle name="Normal 5 2 2 3 13" xfId="26780" xr:uid="{967A9A0C-CD0B-4E6C-ABE1-27265E9DB6AB}"/>
    <cellStyle name="Normal 5 2 2 3 2" xfId="418" xr:uid="{00000000-0005-0000-0000-000097170000}"/>
    <cellStyle name="Normal 5 2 2 3 2 10" xfId="9900" xr:uid="{456B1F7A-4F11-40B0-A3FC-F952D17F4131}"/>
    <cellStyle name="Normal 5 2 2 3 2 11" xfId="18341" xr:uid="{69C6C05B-47C3-4E46-8FA1-E051DE04D077}"/>
    <cellStyle name="Normal 5 2 2 3 2 12" xfId="26781" xr:uid="{8284A37A-C960-46FA-809E-40BD2C484EE4}"/>
    <cellStyle name="Normal 5 2 2 3 2 2" xfId="419" xr:uid="{00000000-0005-0000-0000-000098170000}"/>
    <cellStyle name="Normal 5 2 2 3 2 2 10" xfId="18342" xr:uid="{53CF9916-04F6-4665-ABB7-BEF5BA559DDC}"/>
    <cellStyle name="Normal 5 2 2 3 2 2 11" xfId="26782" xr:uid="{4FD5411C-7526-4BD2-BB62-E231E8081467}"/>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DBA1DA20-0E8D-47C1-938D-7A5044857204}"/>
    <cellStyle name="Normal 5 2 2 3 2 2 2 2 2 3" xfId="25117" xr:uid="{2E5495EE-8EE7-42D4-8B24-F439DAD66894}"/>
    <cellStyle name="Normal 5 2 2 3 2 2 2 2 2 4" xfId="33557" xr:uid="{456CE5E6-F671-4DDA-A3AD-C14B1200A04B}"/>
    <cellStyle name="Normal 5 2 2 3 2 2 2 2 3" xfId="12459" xr:uid="{300ADD81-E4F9-410C-8745-E5B489F17CAA}"/>
    <cellStyle name="Normal 5 2 2 3 2 2 2 2 4" xfId="20900" xr:uid="{6F9F42BD-66A9-443C-A22E-78DA836F2392}"/>
    <cellStyle name="Normal 5 2 2 3 2 2 2 2 5" xfId="29340" xr:uid="{02F80BAE-BC4A-4E72-8D18-01A1677BFF93}"/>
    <cellStyle name="Normal 5 2 2 3 2 2 2 3" xfId="5205" xr:uid="{00000000-0005-0000-0000-00009C170000}"/>
    <cellStyle name="Normal 5 2 2 3 2 2 2 3 2" xfId="14531" xr:uid="{C9D8A8AF-B668-4F49-A819-8C1C7BD87FC4}"/>
    <cellStyle name="Normal 5 2 2 3 2 2 2 3 3" xfId="22972" xr:uid="{CE7F219D-8649-45CE-9F26-574E34CDECFB}"/>
    <cellStyle name="Normal 5 2 2 3 2 2 2 3 4" xfId="31412" xr:uid="{BACFDC9A-A1CC-470F-90CD-36AC1D77ED68}"/>
    <cellStyle name="Normal 5 2 2 3 2 2 2 4" xfId="9563" xr:uid="{804E641C-B5FA-46A3-B805-C1D4AF390C28}"/>
    <cellStyle name="Normal 5 2 2 3 2 2 2 5" xfId="10314" xr:uid="{14C20B86-7A49-4F45-B4F9-CA7CEF6E4A5F}"/>
    <cellStyle name="Normal 5 2 2 3 2 2 2 6" xfId="18755" xr:uid="{AE53DD70-9C86-4105-B1BA-A6D17F63B885}"/>
    <cellStyle name="Normal 5 2 2 3 2 2 2 7" xfId="27195" xr:uid="{20E81E16-F12D-4072-92E2-8893BAED0EA3}"/>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D486472B-C4D6-443F-83D1-D7BE851DB71C}"/>
    <cellStyle name="Normal 5 2 2 3 2 2 3 2 2 3" xfId="25530" xr:uid="{143B1735-9573-4CEB-9285-262EF42F2628}"/>
    <cellStyle name="Normal 5 2 2 3 2 2 3 2 2 4" xfId="33970" xr:uid="{636C5847-A3A5-471A-A2A6-A7D7C0522C09}"/>
    <cellStyle name="Normal 5 2 2 3 2 2 3 2 3" xfId="12872" xr:uid="{2B6D6298-FA66-4B9A-A492-7EE96061A7B7}"/>
    <cellStyle name="Normal 5 2 2 3 2 2 3 2 4" xfId="21313" xr:uid="{7D75CD13-6FA1-4A39-ACCA-C337796B8538}"/>
    <cellStyle name="Normal 5 2 2 3 2 2 3 2 5" xfId="29753" xr:uid="{4145829C-F314-4927-A036-BA25EEFEB80E}"/>
    <cellStyle name="Normal 5 2 2 3 2 2 3 3" xfId="5618" xr:uid="{00000000-0005-0000-0000-0000A0170000}"/>
    <cellStyle name="Normal 5 2 2 3 2 2 3 3 2" xfId="14944" xr:uid="{DE07E4FD-711E-4639-A1B9-29C7184AFD43}"/>
    <cellStyle name="Normal 5 2 2 3 2 2 3 3 3" xfId="23385" xr:uid="{84E431DF-54BF-4789-BB51-460DB0949660}"/>
    <cellStyle name="Normal 5 2 2 3 2 2 3 3 4" xfId="31825" xr:uid="{835CBD4F-1EDA-40A7-A7AC-F2C4149DD580}"/>
    <cellStyle name="Normal 5 2 2 3 2 2 3 4" xfId="10727" xr:uid="{1F6274B4-22D0-4E76-B3D4-3C919EA48BF0}"/>
    <cellStyle name="Normal 5 2 2 3 2 2 3 5" xfId="19168" xr:uid="{AC288947-D09B-4A92-BDC9-4810E741A26B}"/>
    <cellStyle name="Normal 5 2 2 3 2 2 3 6" xfId="27608" xr:uid="{9A50C04F-3B66-48E1-935E-7A89BE4DDF35}"/>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13AF4AFB-AC32-4F88-9037-59B37A078289}"/>
    <cellStyle name="Normal 5 2 2 3 2 2 4 2 2 3" xfId="25943" xr:uid="{8FEE177E-514E-462B-997B-4E2F638C1AE4}"/>
    <cellStyle name="Normal 5 2 2 3 2 2 4 2 2 4" xfId="34383" xr:uid="{8A026380-03B5-45AB-B390-A8C9E4D2F5E2}"/>
    <cellStyle name="Normal 5 2 2 3 2 2 4 2 3" xfId="13285" xr:uid="{4C098EE3-2D34-4FBE-B40E-ED7BDBC4FAC3}"/>
    <cellStyle name="Normal 5 2 2 3 2 2 4 2 4" xfId="21726" xr:uid="{D3B8DC8C-902D-485E-A227-2FD7E99A49FA}"/>
    <cellStyle name="Normal 5 2 2 3 2 2 4 2 5" xfId="30166" xr:uid="{F2910B87-6E5F-493F-AD88-3974993F3749}"/>
    <cellStyle name="Normal 5 2 2 3 2 2 4 3" xfId="6031" xr:uid="{00000000-0005-0000-0000-0000A4170000}"/>
    <cellStyle name="Normal 5 2 2 3 2 2 4 3 2" xfId="15357" xr:uid="{8F083774-F633-461E-84DB-8B0A2A766766}"/>
    <cellStyle name="Normal 5 2 2 3 2 2 4 3 3" xfId="23798" xr:uid="{085E31E4-D000-4ED7-A968-DFC338CBCF14}"/>
    <cellStyle name="Normal 5 2 2 3 2 2 4 3 4" xfId="32238" xr:uid="{81A65EA5-2363-4AE7-AB03-BF85DE4884AA}"/>
    <cellStyle name="Normal 5 2 2 3 2 2 4 4" xfId="11140" xr:uid="{3A7FBC8B-BA00-4B77-9CC3-5CCD92BDC6EB}"/>
    <cellStyle name="Normal 5 2 2 3 2 2 4 5" xfId="19581" xr:uid="{CAD69C22-0DFC-4B14-BBDB-1C381D13F70A}"/>
    <cellStyle name="Normal 5 2 2 3 2 2 4 6" xfId="28021" xr:uid="{AE09DAFC-B374-4C64-8DF9-8CBF5CD34CDF}"/>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AE14A7BB-1748-4D0C-A806-EF160C465222}"/>
    <cellStyle name="Normal 5 2 2 3 2 2 5 2 2 3" xfId="26356" xr:uid="{969E7C6E-F1A9-484A-8860-89F687A450EC}"/>
    <cellStyle name="Normal 5 2 2 3 2 2 5 2 2 4" xfId="34796" xr:uid="{D8745506-049D-4F55-BDDB-94F289E78514}"/>
    <cellStyle name="Normal 5 2 2 3 2 2 5 2 3" xfId="13698" xr:uid="{69396AB6-4DFB-4FA0-879C-F575A0F47339}"/>
    <cellStyle name="Normal 5 2 2 3 2 2 5 2 4" xfId="22139" xr:uid="{5AD2A44E-3436-4184-8C03-28F2FECEB7CF}"/>
    <cellStyle name="Normal 5 2 2 3 2 2 5 2 5" xfId="30579" xr:uid="{D52D79B9-1D7B-4C67-AFB5-6FB04F94D221}"/>
    <cellStyle name="Normal 5 2 2 3 2 2 5 3" xfId="6444" xr:uid="{00000000-0005-0000-0000-0000A8170000}"/>
    <cellStyle name="Normal 5 2 2 3 2 2 5 3 2" xfId="15770" xr:uid="{88C0BE88-A027-4839-9CF9-AFEE32804A78}"/>
    <cellStyle name="Normal 5 2 2 3 2 2 5 3 3" xfId="24211" xr:uid="{7CC8F43E-EEF9-4D6E-B81A-0F2BB0B94EAC}"/>
    <cellStyle name="Normal 5 2 2 3 2 2 5 3 4" xfId="32651" xr:uid="{34B5D257-F12F-47B2-8048-E6B4B9D7A4EF}"/>
    <cellStyle name="Normal 5 2 2 3 2 2 5 4" xfId="11553" xr:uid="{22D8DA47-2783-413E-864F-9F9999436D62}"/>
    <cellStyle name="Normal 5 2 2 3 2 2 5 5" xfId="19994" xr:uid="{6B324177-FF9C-4E45-BF9F-72447208AB0A}"/>
    <cellStyle name="Normal 5 2 2 3 2 2 5 6" xfId="28434" xr:uid="{461AF895-7B67-4D68-8AD5-C904B89FABB9}"/>
    <cellStyle name="Normal 5 2 2 3 2 2 6" xfId="2574" xr:uid="{00000000-0005-0000-0000-0000A9170000}"/>
    <cellStyle name="Normal 5 2 2 3 2 2 6 2" xfId="6857" xr:uid="{00000000-0005-0000-0000-0000AA170000}"/>
    <cellStyle name="Normal 5 2 2 3 2 2 6 2 2" xfId="16183" xr:uid="{CC4F5FB1-4F1A-4A00-BA60-6E1AC195DCE7}"/>
    <cellStyle name="Normal 5 2 2 3 2 2 6 2 3" xfId="24624" xr:uid="{6D7CC158-2AEC-4C29-9D4F-FAF618349E4D}"/>
    <cellStyle name="Normal 5 2 2 3 2 2 6 2 4" xfId="33064" xr:uid="{A27A04D6-B81F-44BF-A195-9C2A5762FC1B}"/>
    <cellStyle name="Normal 5 2 2 3 2 2 6 3" xfId="11966" xr:uid="{A6AB9CA0-7007-4432-9611-11605984183C}"/>
    <cellStyle name="Normal 5 2 2 3 2 2 6 4" xfId="20407" xr:uid="{3B3F4FC2-C97F-464D-B107-35A3645DF3E0}"/>
    <cellStyle name="Normal 5 2 2 3 2 2 6 5" xfId="28847" xr:uid="{A7E53793-CF7B-496A-A3C1-42E6FBE5CAB3}"/>
    <cellStyle name="Normal 5 2 2 3 2 2 7" xfId="4792" xr:uid="{00000000-0005-0000-0000-0000AB170000}"/>
    <cellStyle name="Normal 5 2 2 3 2 2 7 2" xfId="14118" xr:uid="{13518978-4B9C-4213-8C96-42FF84114212}"/>
    <cellStyle name="Normal 5 2 2 3 2 2 7 3" xfId="22559" xr:uid="{CFCC65C7-ECC1-48E1-9F96-6EFD031F7830}"/>
    <cellStyle name="Normal 5 2 2 3 2 2 7 4" xfId="30999" xr:uid="{F22C7743-0D2F-4E69-9C86-4F419B0BD82F}"/>
    <cellStyle name="Normal 5 2 2 3 2 2 8" xfId="9138" xr:uid="{BE73D583-3CAB-48A9-8A6F-E88EE69D1D1D}"/>
    <cellStyle name="Normal 5 2 2 3 2 2 9" xfId="9901" xr:uid="{BB6C5A62-87AE-419F-ADDA-64CE27D05B3B}"/>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494A8E9E-6A00-4C0B-9CE2-21FA511C95A2}"/>
    <cellStyle name="Normal 5 2 2 3 2 3 2 2 3" xfId="25116" xr:uid="{97781466-6A34-4302-A385-01D1B5BAA9A4}"/>
    <cellStyle name="Normal 5 2 2 3 2 3 2 2 4" xfId="33556" xr:uid="{04691BD4-9262-4F77-AED9-527F97C95CEF}"/>
    <cellStyle name="Normal 5 2 2 3 2 3 2 3" xfId="12458" xr:uid="{02ECC3D7-246D-437E-87D4-542B27FEBBD1}"/>
    <cellStyle name="Normal 5 2 2 3 2 3 2 4" xfId="20899" xr:uid="{C6ED3531-4F81-4608-A268-8D29B9CF51BE}"/>
    <cellStyle name="Normal 5 2 2 3 2 3 2 5" xfId="29339" xr:uid="{CB155EBA-CF8A-4454-949F-8D2AD11190F4}"/>
    <cellStyle name="Normal 5 2 2 3 2 3 3" xfId="5204" xr:uid="{00000000-0005-0000-0000-0000AF170000}"/>
    <cellStyle name="Normal 5 2 2 3 2 3 3 2" xfId="14530" xr:uid="{3A5BB21A-38DF-469B-AF92-CAF6870A2364}"/>
    <cellStyle name="Normal 5 2 2 3 2 3 3 3" xfId="22971" xr:uid="{49513FF9-2D51-4D14-8384-3007B27538EB}"/>
    <cellStyle name="Normal 5 2 2 3 2 3 3 4" xfId="31411" xr:uid="{043C50CB-D658-4C30-8B81-DD230DD81ED7}"/>
    <cellStyle name="Normal 5 2 2 3 2 3 4" xfId="9356" xr:uid="{58BAA3B3-A7A2-4F6F-9929-D8BE9F0A557D}"/>
    <cellStyle name="Normal 5 2 2 3 2 3 5" xfId="10313" xr:uid="{5D6BF3D7-21A2-436F-9F9D-DCE0A90D1796}"/>
    <cellStyle name="Normal 5 2 2 3 2 3 6" xfId="18754" xr:uid="{08BEB76C-4F68-4B2D-9C58-4AD62ECC100E}"/>
    <cellStyle name="Normal 5 2 2 3 2 3 7" xfId="27194" xr:uid="{2C83C2E3-A0B9-4EC7-970C-AB6FA8082F21}"/>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2EB9769D-FE05-4410-A1EF-22CC67DDD7BD}"/>
    <cellStyle name="Normal 5 2 2 3 2 4 2 2 3" xfId="25529" xr:uid="{9BC3EA19-D735-49EC-ABF7-588D003114C1}"/>
    <cellStyle name="Normal 5 2 2 3 2 4 2 2 4" xfId="33969" xr:uid="{E5DCA28A-B132-4EF7-80E9-F1744ED7C346}"/>
    <cellStyle name="Normal 5 2 2 3 2 4 2 3" xfId="12871" xr:uid="{291CE55A-F6ED-4E11-A6B0-A563E7E407CA}"/>
    <cellStyle name="Normal 5 2 2 3 2 4 2 4" xfId="21312" xr:uid="{34141293-1510-4E80-A113-BC85E9B5D7ED}"/>
    <cellStyle name="Normal 5 2 2 3 2 4 2 5" xfId="29752" xr:uid="{27A5578F-0682-4E56-BC16-F82B580A06D0}"/>
    <cellStyle name="Normal 5 2 2 3 2 4 3" xfId="5617" xr:uid="{00000000-0005-0000-0000-0000B3170000}"/>
    <cellStyle name="Normal 5 2 2 3 2 4 3 2" xfId="14943" xr:uid="{7757B6F3-24D6-4206-B784-5E61EE86F017}"/>
    <cellStyle name="Normal 5 2 2 3 2 4 3 3" xfId="23384" xr:uid="{6A49D798-8B34-4D2E-B4F7-E11A230A4E6E}"/>
    <cellStyle name="Normal 5 2 2 3 2 4 3 4" xfId="31824" xr:uid="{7A884607-C339-4314-A57A-25755A8D4BCC}"/>
    <cellStyle name="Normal 5 2 2 3 2 4 4" xfId="10726" xr:uid="{50FFB7C6-AF56-4FC2-AD6F-A3E9CF02E82B}"/>
    <cellStyle name="Normal 5 2 2 3 2 4 5" xfId="19167" xr:uid="{7E06E0F7-65FD-4313-A699-C8106CB736BD}"/>
    <cellStyle name="Normal 5 2 2 3 2 4 6" xfId="27607" xr:uid="{4CC0AB3C-6DB8-4EA0-B2C7-2B88227F6549}"/>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98D3C1BB-B8DC-40B1-8561-EED6F4D55265}"/>
    <cellStyle name="Normal 5 2 2 3 2 5 2 2 3" xfId="25942" xr:uid="{EC0D6FAB-D58D-450C-921C-E4861B31865F}"/>
    <cellStyle name="Normal 5 2 2 3 2 5 2 2 4" xfId="34382" xr:uid="{DBDE4D34-E8A8-4EE6-A8BA-0D0B0721286B}"/>
    <cellStyle name="Normal 5 2 2 3 2 5 2 3" xfId="13284" xr:uid="{CD641AA7-517F-4C65-B49E-A636E26C8B0D}"/>
    <cellStyle name="Normal 5 2 2 3 2 5 2 4" xfId="21725" xr:uid="{8DA37A7D-8045-469D-BBC6-C2CFD71EAE03}"/>
    <cellStyle name="Normal 5 2 2 3 2 5 2 5" xfId="30165" xr:uid="{6ED0941C-6252-41D2-AD2A-554D48D8F517}"/>
    <cellStyle name="Normal 5 2 2 3 2 5 3" xfId="6030" xr:uid="{00000000-0005-0000-0000-0000B7170000}"/>
    <cellStyle name="Normal 5 2 2 3 2 5 3 2" xfId="15356" xr:uid="{9202A878-0FF7-4BBF-BE53-C93C5D3F87FB}"/>
    <cellStyle name="Normal 5 2 2 3 2 5 3 3" xfId="23797" xr:uid="{A1A0B33E-303D-44A7-8A5A-AE580F2B20E1}"/>
    <cellStyle name="Normal 5 2 2 3 2 5 3 4" xfId="32237" xr:uid="{EB8AFC1A-1956-4C53-A7D1-C14D3AE2BE14}"/>
    <cellStyle name="Normal 5 2 2 3 2 5 4" xfId="11139" xr:uid="{E947C459-4B07-4ACE-987A-1ABB456F96F7}"/>
    <cellStyle name="Normal 5 2 2 3 2 5 5" xfId="19580" xr:uid="{DA5C15A0-BA00-4C91-9297-C87AB21E277D}"/>
    <cellStyle name="Normal 5 2 2 3 2 5 6" xfId="28020" xr:uid="{18429D51-FF2D-44CD-B0E3-7F4E8EEA950C}"/>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8096E602-3498-44B8-BBB9-1E4AE798E72E}"/>
    <cellStyle name="Normal 5 2 2 3 2 6 2 2 3" xfId="26355" xr:uid="{7C6FF4AB-B393-4FFF-AA95-807307DED245}"/>
    <cellStyle name="Normal 5 2 2 3 2 6 2 2 4" xfId="34795" xr:uid="{E316173C-CE2E-4CE5-882A-340B8B03461B}"/>
    <cellStyle name="Normal 5 2 2 3 2 6 2 3" xfId="13697" xr:uid="{4186BACB-5D2B-45FD-966C-554AA274E589}"/>
    <cellStyle name="Normal 5 2 2 3 2 6 2 4" xfId="22138" xr:uid="{B3F1A41B-BFBF-4153-BD41-C25C79A20CBC}"/>
    <cellStyle name="Normal 5 2 2 3 2 6 2 5" xfId="30578" xr:uid="{1F7C3997-A8BB-4133-AE28-6760513C56D2}"/>
    <cellStyle name="Normal 5 2 2 3 2 6 3" xfId="6443" xr:uid="{00000000-0005-0000-0000-0000BB170000}"/>
    <cellStyle name="Normal 5 2 2 3 2 6 3 2" xfId="15769" xr:uid="{BBAA4EF2-4096-411E-A5E7-20C1BDE789E4}"/>
    <cellStyle name="Normal 5 2 2 3 2 6 3 3" xfId="24210" xr:uid="{2C07AB9C-DA39-47AD-AB43-144513D5721B}"/>
    <cellStyle name="Normal 5 2 2 3 2 6 3 4" xfId="32650" xr:uid="{57BDEFE3-141F-4BEB-B095-6C755AFFDB53}"/>
    <cellStyle name="Normal 5 2 2 3 2 6 4" xfId="11552" xr:uid="{EAC64100-3535-4878-BA57-87625A9CDE81}"/>
    <cellStyle name="Normal 5 2 2 3 2 6 5" xfId="19993" xr:uid="{59A42C2E-EC8E-4612-922C-16E930C4C524}"/>
    <cellStyle name="Normal 5 2 2 3 2 6 6" xfId="28433" xr:uid="{802EFE52-530D-414D-96BB-B3631CF5287B}"/>
    <cellStyle name="Normal 5 2 2 3 2 7" xfId="2573" xr:uid="{00000000-0005-0000-0000-0000BC170000}"/>
    <cellStyle name="Normal 5 2 2 3 2 7 2" xfId="6856" xr:uid="{00000000-0005-0000-0000-0000BD170000}"/>
    <cellStyle name="Normal 5 2 2 3 2 7 2 2" xfId="16182" xr:uid="{E2FD552E-061E-4FCF-B035-2233D3071361}"/>
    <cellStyle name="Normal 5 2 2 3 2 7 2 3" xfId="24623" xr:uid="{15470454-F5B6-4F75-8BCA-2CBC4A8424F2}"/>
    <cellStyle name="Normal 5 2 2 3 2 7 2 4" xfId="33063" xr:uid="{980A4886-ECDB-433C-A9C9-5C68CC07A122}"/>
    <cellStyle name="Normal 5 2 2 3 2 7 3" xfId="11965" xr:uid="{028E4C34-EAFC-4F59-863B-E952873C0138}"/>
    <cellStyle name="Normal 5 2 2 3 2 7 4" xfId="20406" xr:uid="{871762D1-47B9-43AA-9662-E6D0AEF9C1C5}"/>
    <cellStyle name="Normal 5 2 2 3 2 7 5" xfId="28846" xr:uid="{9405C7BC-2882-4D7F-A9CF-C0C809944BF3}"/>
    <cellStyle name="Normal 5 2 2 3 2 8" xfId="4791" xr:uid="{00000000-0005-0000-0000-0000BE170000}"/>
    <cellStyle name="Normal 5 2 2 3 2 8 2" xfId="14117" xr:uid="{9C68AB0F-7367-489E-B56E-9A0255947DE6}"/>
    <cellStyle name="Normal 5 2 2 3 2 8 3" xfId="22558" xr:uid="{8438DD6E-3EEF-4AF2-990B-571DF466ABA2}"/>
    <cellStyle name="Normal 5 2 2 3 2 8 4" xfId="30998" xr:uid="{AC3704A0-63AD-4523-B829-CD406050A5B4}"/>
    <cellStyle name="Normal 5 2 2 3 2 9" xfId="8931" xr:uid="{E27E09D3-2564-4B82-8EA4-A27330B6B436}"/>
    <cellStyle name="Normal 5 2 2 3 3" xfId="420" xr:uid="{00000000-0005-0000-0000-0000BF170000}"/>
    <cellStyle name="Normal 5 2 2 3 3 10" xfId="18343" xr:uid="{5005EE04-7C62-4CD6-9248-FB3444DE4ACA}"/>
    <cellStyle name="Normal 5 2 2 3 3 11" xfId="26783" xr:uid="{D801B425-6A65-45C7-9CD9-9FA692A3C254}"/>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01014347-92B3-4218-894E-EAE18558A171}"/>
    <cellStyle name="Normal 5 2 2 3 3 2 2 2 3" xfId="25118" xr:uid="{F12AA1A8-0875-404B-B98A-5C5CE90680DC}"/>
    <cellStyle name="Normal 5 2 2 3 3 2 2 2 4" xfId="33558" xr:uid="{91540852-D649-4184-8EF7-11F8911CF117}"/>
    <cellStyle name="Normal 5 2 2 3 3 2 2 3" xfId="12460" xr:uid="{CF07FA5D-A280-4280-9CF9-683828CFBA14}"/>
    <cellStyle name="Normal 5 2 2 3 3 2 2 4" xfId="20901" xr:uid="{AD3C0E2F-4B59-42BB-B12D-983A58803D5D}"/>
    <cellStyle name="Normal 5 2 2 3 3 2 2 5" xfId="29341" xr:uid="{1049CF46-C9A8-493F-9C54-E025F4155441}"/>
    <cellStyle name="Normal 5 2 2 3 3 2 3" xfId="5206" xr:uid="{00000000-0005-0000-0000-0000C3170000}"/>
    <cellStyle name="Normal 5 2 2 3 3 2 3 2" xfId="14532" xr:uid="{24810064-1DD2-4DCB-8878-092DE9CAC8D9}"/>
    <cellStyle name="Normal 5 2 2 3 3 2 3 3" xfId="22973" xr:uid="{C7345B11-BED8-4DD9-A7AB-6C4FB603EC09}"/>
    <cellStyle name="Normal 5 2 2 3 3 2 3 4" xfId="31413" xr:uid="{2BB1DFFB-C2A1-48D9-94E0-3B9C9ABCBE5D}"/>
    <cellStyle name="Normal 5 2 2 3 3 2 4" xfId="9460" xr:uid="{423E0BE9-24F3-4EF0-8962-2565594BF831}"/>
    <cellStyle name="Normal 5 2 2 3 3 2 5" xfId="10315" xr:uid="{4AE7E5B9-5F79-43F2-8EF5-248A1F173884}"/>
    <cellStyle name="Normal 5 2 2 3 3 2 6" xfId="18756" xr:uid="{B87F441C-8E30-4E95-8304-455F6BF9985F}"/>
    <cellStyle name="Normal 5 2 2 3 3 2 7" xfId="27196" xr:uid="{54381FBC-6DE8-492C-B7E3-2838A0CBBFE9}"/>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B82B36B8-3417-42F1-8AF6-A5A4AA58BFC6}"/>
    <cellStyle name="Normal 5 2 2 3 3 3 2 2 3" xfId="25531" xr:uid="{225D69E7-D5BE-4718-8204-5D2053DFF0CC}"/>
    <cellStyle name="Normal 5 2 2 3 3 3 2 2 4" xfId="33971" xr:uid="{CFBD310B-51B4-41A0-888E-22820887D2A8}"/>
    <cellStyle name="Normal 5 2 2 3 3 3 2 3" xfId="12873" xr:uid="{B86877A5-090D-4F8C-B155-590F381F432B}"/>
    <cellStyle name="Normal 5 2 2 3 3 3 2 4" xfId="21314" xr:uid="{725FBE57-FD1D-4586-9828-BCB3DEC04AE7}"/>
    <cellStyle name="Normal 5 2 2 3 3 3 2 5" xfId="29754" xr:uid="{B60E86D8-308C-49CB-A824-2D8A6C66AA94}"/>
    <cellStyle name="Normal 5 2 2 3 3 3 3" xfId="5619" xr:uid="{00000000-0005-0000-0000-0000C7170000}"/>
    <cellStyle name="Normal 5 2 2 3 3 3 3 2" xfId="14945" xr:uid="{9E35E843-BF69-4B02-95DE-4F8D4A8D8F7D}"/>
    <cellStyle name="Normal 5 2 2 3 3 3 3 3" xfId="23386" xr:uid="{B6DA3280-A20B-4B12-AE92-CAE542BB5A35}"/>
    <cellStyle name="Normal 5 2 2 3 3 3 3 4" xfId="31826" xr:uid="{BF87018C-55DC-4175-9149-23606A3B18B0}"/>
    <cellStyle name="Normal 5 2 2 3 3 3 4" xfId="10728" xr:uid="{4CEABAAC-2D82-4A76-AF53-E49FAC5611B6}"/>
    <cellStyle name="Normal 5 2 2 3 3 3 5" xfId="19169" xr:uid="{11143570-3CE3-4BE9-9E4A-B154D39A58D2}"/>
    <cellStyle name="Normal 5 2 2 3 3 3 6" xfId="27609" xr:uid="{C5E3A0E8-8B06-4376-8B4D-F0FB1E44920A}"/>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9764186C-4408-4099-8662-833D3268D495}"/>
    <cellStyle name="Normal 5 2 2 3 3 4 2 2 3" xfId="25944" xr:uid="{E0E9BDDD-F8ED-4F0C-9A98-6BC40C179A65}"/>
    <cellStyle name="Normal 5 2 2 3 3 4 2 2 4" xfId="34384" xr:uid="{53F3AA28-B796-4D0B-9C6A-BAEB1395A989}"/>
    <cellStyle name="Normal 5 2 2 3 3 4 2 3" xfId="13286" xr:uid="{A3883DFE-0AD7-431B-B763-91FCB48A272A}"/>
    <cellStyle name="Normal 5 2 2 3 3 4 2 4" xfId="21727" xr:uid="{553B1532-1B53-4E9D-8226-A00143EC7F4B}"/>
    <cellStyle name="Normal 5 2 2 3 3 4 2 5" xfId="30167" xr:uid="{24247BB4-C724-4F7B-9D15-589483EA1488}"/>
    <cellStyle name="Normal 5 2 2 3 3 4 3" xfId="6032" xr:uid="{00000000-0005-0000-0000-0000CB170000}"/>
    <cellStyle name="Normal 5 2 2 3 3 4 3 2" xfId="15358" xr:uid="{40114E0B-5407-4BD6-8B1C-AC9F3F89D6B6}"/>
    <cellStyle name="Normal 5 2 2 3 3 4 3 3" xfId="23799" xr:uid="{66BADF8C-D84B-43A4-9B22-052AB89AEEB6}"/>
    <cellStyle name="Normal 5 2 2 3 3 4 3 4" xfId="32239" xr:uid="{5AC65F40-56BA-445E-A874-F1B076FF2224}"/>
    <cellStyle name="Normal 5 2 2 3 3 4 4" xfId="11141" xr:uid="{759C6FE5-68FF-4EAC-998D-C8998382806F}"/>
    <cellStyle name="Normal 5 2 2 3 3 4 5" xfId="19582" xr:uid="{AA681ADE-7D1C-4FBA-AAD4-4F1774184DEB}"/>
    <cellStyle name="Normal 5 2 2 3 3 4 6" xfId="28022" xr:uid="{1DD3B168-A75D-4EED-87A1-EC54BAA4363D}"/>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B51345D4-1E21-4486-AF71-37D4BC6DE22C}"/>
    <cellStyle name="Normal 5 2 2 3 3 5 2 2 3" xfId="26357" xr:uid="{A6B2820D-2455-486B-886E-11696C8EA9F9}"/>
    <cellStyle name="Normal 5 2 2 3 3 5 2 2 4" xfId="34797" xr:uid="{8FC121AB-3806-4D25-80B7-A5713106A5CE}"/>
    <cellStyle name="Normal 5 2 2 3 3 5 2 3" xfId="13699" xr:uid="{A69534C9-0A85-4F30-A8ED-4DBCA3F279DF}"/>
    <cellStyle name="Normal 5 2 2 3 3 5 2 4" xfId="22140" xr:uid="{C206B90D-FACC-4858-A570-1F1A3E69FBC8}"/>
    <cellStyle name="Normal 5 2 2 3 3 5 2 5" xfId="30580" xr:uid="{86933208-B696-4330-8C40-33CF0D742142}"/>
    <cellStyle name="Normal 5 2 2 3 3 5 3" xfId="6445" xr:uid="{00000000-0005-0000-0000-0000CF170000}"/>
    <cellStyle name="Normal 5 2 2 3 3 5 3 2" xfId="15771" xr:uid="{26AEEEDA-BFE7-4FB7-9CB9-A8E16B9B54AB}"/>
    <cellStyle name="Normal 5 2 2 3 3 5 3 3" xfId="24212" xr:uid="{078EAAAD-1FB3-42ED-BE1F-25241546C1DA}"/>
    <cellStyle name="Normal 5 2 2 3 3 5 3 4" xfId="32652" xr:uid="{C7F191A8-C09F-46F4-AB93-A5B7DFCCA72E}"/>
    <cellStyle name="Normal 5 2 2 3 3 5 4" xfId="11554" xr:uid="{1A37A0BA-A8A5-45D9-8DA6-1091C2470EF9}"/>
    <cellStyle name="Normal 5 2 2 3 3 5 5" xfId="19995" xr:uid="{3376B2F3-DFC9-4CFB-9E44-48F8919CCC8B}"/>
    <cellStyle name="Normal 5 2 2 3 3 5 6" xfId="28435" xr:uid="{0395E0BB-214B-4EBD-AD47-5609B3AE5772}"/>
    <cellStyle name="Normal 5 2 2 3 3 6" xfId="2575" xr:uid="{00000000-0005-0000-0000-0000D0170000}"/>
    <cellStyle name="Normal 5 2 2 3 3 6 2" xfId="6858" xr:uid="{00000000-0005-0000-0000-0000D1170000}"/>
    <cellStyle name="Normal 5 2 2 3 3 6 2 2" xfId="16184" xr:uid="{494DE3CB-4B04-425F-B787-5EDC331FB659}"/>
    <cellStyle name="Normal 5 2 2 3 3 6 2 3" xfId="24625" xr:uid="{F2E66542-4B0C-4155-B438-511EBFAFFB6D}"/>
    <cellStyle name="Normal 5 2 2 3 3 6 2 4" xfId="33065" xr:uid="{317E3C8D-5D2C-41D9-981C-EEC9238AF8F2}"/>
    <cellStyle name="Normal 5 2 2 3 3 6 3" xfId="11967" xr:uid="{A502113A-7EB5-4751-B13D-E5C34665CCD8}"/>
    <cellStyle name="Normal 5 2 2 3 3 6 4" xfId="20408" xr:uid="{2ECAB09D-94EE-4CF8-AF90-8DD1A8B38860}"/>
    <cellStyle name="Normal 5 2 2 3 3 6 5" xfId="28848" xr:uid="{F28632B0-41D7-4110-8270-6AE9C4D3A0BE}"/>
    <cellStyle name="Normal 5 2 2 3 3 7" xfId="4793" xr:uid="{00000000-0005-0000-0000-0000D2170000}"/>
    <cellStyle name="Normal 5 2 2 3 3 7 2" xfId="14119" xr:uid="{9299ECE2-7E1F-4AE6-A0E2-4B1BF2698742}"/>
    <cellStyle name="Normal 5 2 2 3 3 7 3" xfId="22560" xr:uid="{E645CFFE-88ED-4D49-AA1F-DBBC52B097CA}"/>
    <cellStyle name="Normal 5 2 2 3 3 7 4" xfId="31000" xr:uid="{A50CCAC7-2327-4704-9F49-E7DA8426E160}"/>
    <cellStyle name="Normal 5 2 2 3 3 8" xfId="9035" xr:uid="{6AC57173-16AF-4847-A277-E4254AACDA36}"/>
    <cellStyle name="Normal 5 2 2 3 3 9" xfId="9902" xr:uid="{52AEF1FF-57AD-4D9A-A309-4DF973C454A2}"/>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BAF80945-965F-4C0A-803C-4F6E6E0FB6D7}"/>
    <cellStyle name="Normal 5 2 2 3 4 2 2 3" xfId="25115" xr:uid="{4A732535-4081-4F65-B23E-00665B7F272E}"/>
    <cellStyle name="Normal 5 2 2 3 4 2 2 4" xfId="33555" xr:uid="{D29A3DE6-A70E-4711-BE98-F88603A85E2D}"/>
    <cellStyle name="Normal 5 2 2 3 4 2 3" xfId="12457" xr:uid="{7FC3A394-E93C-400C-9832-3070CE117F27}"/>
    <cellStyle name="Normal 5 2 2 3 4 2 4" xfId="20898" xr:uid="{CBD8E68B-5E2A-45BE-9684-84DA01671BA3}"/>
    <cellStyle name="Normal 5 2 2 3 4 2 5" xfId="29338" xr:uid="{CB3CAD9B-4639-4CAB-97C3-2871AF2B2629}"/>
    <cellStyle name="Normal 5 2 2 3 4 3" xfId="5203" xr:uid="{00000000-0005-0000-0000-0000D6170000}"/>
    <cellStyle name="Normal 5 2 2 3 4 3 2" xfId="14529" xr:uid="{ED617A00-1D38-4698-A652-35284D35211C}"/>
    <cellStyle name="Normal 5 2 2 3 4 3 3" xfId="22970" xr:uid="{6FFBB74E-8273-46E0-8CB3-431D7CA798E0}"/>
    <cellStyle name="Normal 5 2 2 3 4 3 4" xfId="31410" xr:uid="{22679B0C-8CF0-4E6E-9C93-BCCA1537E072}"/>
    <cellStyle name="Normal 5 2 2 3 4 4" xfId="9253" xr:uid="{A5C3AAF9-67DD-41B1-A0BF-05B69F588F71}"/>
    <cellStyle name="Normal 5 2 2 3 4 5" xfId="10312" xr:uid="{8F9AA633-DD0A-413C-A8E8-02A952C8BCEA}"/>
    <cellStyle name="Normal 5 2 2 3 4 6" xfId="18753" xr:uid="{C8065328-368F-474A-AC85-A751E594377E}"/>
    <cellStyle name="Normal 5 2 2 3 4 7" xfId="27193" xr:uid="{CC643558-CD3C-4291-B38F-103BE5964BF9}"/>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959E100D-8788-4455-A4E1-11A09D51E80D}"/>
    <cellStyle name="Normal 5 2 2 3 5 2 2 3" xfId="25528" xr:uid="{AD2F5112-2536-417D-8F61-A3A2DCB90BEF}"/>
    <cellStyle name="Normal 5 2 2 3 5 2 2 4" xfId="33968" xr:uid="{F2A242B6-E191-47F2-B0A7-5381981296A9}"/>
    <cellStyle name="Normal 5 2 2 3 5 2 3" xfId="12870" xr:uid="{5C54E1EE-0912-471F-A623-C2264470EAFC}"/>
    <cellStyle name="Normal 5 2 2 3 5 2 4" xfId="21311" xr:uid="{387892D0-AA44-4D9E-90B7-96313AC8F471}"/>
    <cellStyle name="Normal 5 2 2 3 5 2 5" xfId="29751" xr:uid="{F3029ED2-3C20-4E8D-89FC-6616BC24D978}"/>
    <cellStyle name="Normal 5 2 2 3 5 3" xfId="5616" xr:uid="{00000000-0005-0000-0000-0000DA170000}"/>
    <cellStyle name="Normal 5 2 2 3 5 3 2" xfId="14942" xr:uid="{7160A19F-81E5-475E-A840-A51EBEDC9721}"/>
    <cellStyle name="Normal 5 2 2 3 5 3 3" xfId="23383" xr:uid="{AEE05981-D52C-4225-BE49-7DCE34DC9DE5}"/>
    <cellStyle name="Normal 5 2 2 3 5 3 4" xfId="31823" xr:uid="{D80A0B66-2854-40B0-8996-51693661C4B8}"/>
    <cellStyle name="Normal 5 2 2 3 5 4" xfId="10725" xr:uid="{D98D5639-D273-48B9-A3E6-53219009658C}"/>
    <cellStyle name="Normal 5 2 2 3 5 5" xfId="19166" xr:uid="{5506D5C1-1309-492C-895E-852074757150}"/>
    <cellStyle name="Normal 5 2 2 3 5 6" xfId="27606" xr:uid="{16018A53-7118-4CD6-BEBC-36702B7A69F1}"/>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B8AB7EF4-C399-4ED7-854C-143427163848}"/>
    <cellStyle name="Normal 5 2 2 3 6 2 2 3" xfId="25941" xr:uid="{F0D1B8C4-80B9-4EC9-862B-7648CBA1B057}"/>
    <cellStyle name="Normal 5 2 2 3 6 2 2 4" xfId="34381" xr:uid="{6404ADF7-381F-4935-98E7-F9504A57EB9B}"/>
    <cellStyle name="Normal 5 2 2 3 6 2 3" xfId="13283" xr:uid="{A2EDB1A4-950E-4498-AC0F-09A5BB91DB64}"/>
    <cellStyle name="Normal 5 2 2 3 6 2 4" xfId="21724" xr:uid="{B7CF5D43-A751-487A-B633-C8FBABD581B1}"/>
    <cellStyle name="Normal 5 2 2 3 6 2 5" xfId="30164" xr:uid="{A6017F73-B492-49BE-8474-2066842DDE73}"/>
    <cellStyle name="Normal 5 2 2 3 6 3" xfId="6029" xr:uid="{00000000-0005-0000-0000-0000DE170000}"/>
    <cellStyle name="Normal 5 2 2 3 6 3 2" xfId="15355" xr:uid="{22EDBB82-BB49-4E9A-9D2B-4AD8ACFAEF59}"/>
    <cellStyle name="Normal 5 2 2 3 6 3 3" xfId="23796" xr:uid="{37B2EE57-154F-46A1-B8FD-C4359FFF7146}"/>
    <cellStyle name="Normal 5 2 2 3 6 3 4" xfId="32236" xr:uid="{637A7665-8AD8-4D9F-BE55-3C8DA5E9AC30}"/>
    <cellStyle name="Normal 5 2 2 3 6 4" xfId="11138" xr:uid="{B9D953FE-55BE-40E5-ABD4-3F987B5E8CEB}"/>
    <cellStyle name="Normal 5 2 2 3 6 5" xfId="19579" xr:uid="{6197A4B7-0EC1-49DE-89E2-3FC01BEBF67C}"/>
    <cellStyle name="Normal 5 2 2 3 6 6" xfId="28019" xr:uid="{03B4C596-65C0-4844-8D14-EDB920DC957F}"/>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A5C50AA3-1440-4A9C-AAD4-EDFDEF1FF68C}"/>
    <cellStyle name="Normal 5 2 2 3 7 2 2 3" xfId="26354" xr:uid="{D24920A6-645F-4BF4-BD55-6A6293B796EE}"/>
    <cellStyle name="Normal 5 2 2 3 7 2 2 4" xfId="34794" xr:uid="{C0D273C7-4EE4-4A7A-8881-CE202DBBEDDE}"/>
    <cellStyle name="Normal 5 2 2 3 7 2 3" xfId="13696" xr:uid="{D62F380D-B389-4899-A6CB-1FC4D72D28FC}"/>
    <cellStyle name="Normal 5 2 2 3 7 2 4" xfId="22137" xr:uid="{C27E6992-006F-4FA2-9269-F6D6DA23F8DE}"/>
    <cellStyle name="Normal 5 2 2 3 7 2 5" xfId="30577" xr:uid="{7F721932-37F6-4AE2-8A1B-33CD5EC1F385}"/>
    <cellStyle name="Normal 5 2 2 3 7 3" xfId="6442" xr:uid="{00000000-0005-0000-0000-0000E2170000}"/>
    <cellStyle name="Normal 5 2 2 3 7 3 2" xfId="15768" xr:uid="{9BC2A3F0-861C-49C7-A146-FA5116CAE469}"/>
    <cellStyle name="Normal 5 2 2 3 7 3 3" xfId="24209" xr:uid="{FA63E935-03C0-467E-8E70-A51D1CA495DB}"/>
    <cellStyle name="Normal 5 2 2 3 7 3 4" xfId="32649" xr:uid="{E2195F45-731B-482F-8FEF-134424773531}"/>
    <cellStyle name="Normal 5 2 2 3 7 4" xfId="11551" xr:uid="{5DD12057-09C7-4A5B-9C24-4D22863BDD7A}"/>
    <cellStyle name="Normal 5 2 2 3 7 5" xfId="19992" xr:uid="{7F7AA51A-D0F8-4D8C-9D00-D93CA792133A}"/>
    <cellStyle name="Normal 5 2 2 3 7 6" xfId="28432" xr:uid="{14565EE6-F485-46D7-822B-7CEE507E3D33}"/>
    <cellStyle name="Normal 5 2 2 3 8" xfId="2572" xr:uid="{00000000-0005-0000-0000-0000E3170000}"/>
    <cellStyle name="Normal 5 2 2 3 8 2" xfId="6855" xr:uid="{00000000-0005-0000-0000-0000E4170000}"/>
    <cellStyle name="Normal 5 2 2 3 8 2 2" xfId="16181" xr:uid="{84231D2B-6358-4D38-9017-0F4B3B6A34C4}"/>
    <cellStyle name="Normal 5 2 2 3 8 2 3" xfId="24622" xr:uid="{497F88B0-B1FA-4659-9FB2-A7CCABD5DECD}"/>
    <cellStyle name="Normal 5 2 2 3 8 2 4" xfId="33062" xr:uid="{3CBA51E1-2423-45C3-A238-386FC6B6AEB2}"/>
    <cellStyle name="Normal 5 2 2 3 8 3" xfId="11964" xr:uid="{9B45659B-FE5C-425A-ADA1-9523BFE8039E}"/>
    <cellStyle name="Normal 5 2 2 3 8 4" xfId="20405" xr:uid="{71505076-72E1-4950-A89B-43026A7A320F}"/>
    <cellStyle name="Normal 5 2 2 3 8 5" xfId="28845" xr:uid="{33D40919-7252-497A-B05C-582D0A2FB160}"/>
    <cellStyle name="Normal 5 2 2 3 9" xfId="4790" xr:uid="{00000000-0005-0000-0000-0000E5170000}"/>
    <cellStyle name="Normal 5 2 2 3 9 2" xfId="14116" xr:uid="{48457BCA-7DBF-40C1-9993-606702FF0381}"/>
    <cellStyle name="Normal 5 2 2 3 9 3" xfId="22557" xr:uid="{A62646F9-E3F6-4020-9366-450A95D9961B}"/>
    <cellStyle name="Normal 5 2 2 3 9 4" xfId="30997" xr:uid="{3D644DAB-9961-4F6B-AEA3-7665464B696F}"/>
    <cellStyle name="Normal 5 2 2 4" xfId="421" xr:uid="{00000000-0005-0000-0000-0000E6170000}"/>
    <cellStyle name="Normal 5 2 2 4 10" xfId="9903" xr:uid="{871A21E0-58E2-451C-880F-3D8AAF0845D7}"/>
    <cellStyle name="Normal 5 2 2 4 11" xfId="18344" xr:uid="{D94CBC8C-5FC2-495C-A37A-0DCD006A826D}"/>
    <cellStyle name="Normal 5 2 2 4 12" xfId="26784" xr:uid="{A0FAA459-F1DA-45DC-8A8D-A60BD5BE1833}"/>
    <cellStyle name="Normal 5 2 2 4 2" xfId="422" xr:uid="{00000000-0005-0000-0000-0000E7170000}"/>
    <cellStyle name="Normal 5 2 2 4 2 10" xfId="18345" xr:uid="{1D03A197-1A6E-46D2-9DD7-123613483B37}"/>
    <cellStyle name="Normal 5 2 2 4 2 11" xfId="26785" xr:uid="{1F542812-F780-4628-A72B-C5003812B91F}"/>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903CEC31-3D1B-4802-9895-39790FE5F920}"/>
    <cellStyle name="Normal 5 2 2 4 2 2 2 2 3" xfId="25120" xr:uid="{E11ADFAD-8196-4D1F-8D26-A261974161F2}"/>
    <cellStyle name="Normal 5 2 2 4 2 2 2 2 4" xfId="33560" xr:uid="{1BF38732-C65C-4B96-9573-9D67618EAAAA}"/>
    <cellStyle name="Normal 5 2 2 4 2 2 2 3" xfId="12462" xr:uid="{2610926E-5A08-44DE-AA71-0E8CFD86AF1A}"/>
    <cellStyle name="Normal 5 2 2 4 2 2 2 4" xfId="20903" xr:uid="{52AC985B-7FE6-437E-BD96-4A9F39D30647}"/>
    <cellStyle name="Normal 5 2 2 4 2 2 2 5" xfId="29343" xr:uid="{D1CCC3BE-7F57-477D-8D26-D1CDAC7446FF}"/>
    <cellStyle name="Normal 5 2 2 4 2 2 3" xfId="5208" xr:uid="{00000000-0005-0000-0000-0000EB170000}"/>
    <cellStyle name="Normal 5 2 2 4 2 2 3 2" xfId="14534" xr:uid="{A1F59CDE-E085-4373-A82D-E54ABE8AF474}"/>
    <cellStyle name="Normal 5 2 2 4 2 2 3 3" xfId="22975" xr:uid="{6754E4C0-19B9-47BB-947B-254C71A44973}"/>
    <cellStyle name="Normal 5 2 2 4 2 2 3 4" xfId="31415" xr:uid="{7BFAE1BD-3055-47C7-865E-350F11B801EB}"/>
    <cellStyle name="Normal 5 2 2 4 2 2 4" xfId="9488" xr:uid="{2997B11D-E810-48A4-BD3C-4498479B295E}"/>
    <cellStyle name="Normal 5 2 2 4 2 2 5" xfId="10317" xr:uid="{279C1EEF-6C22-442B-A276-90E06D765A1F}"/>
    <cellStyle name="Normal 5 2 2 4 2 2 6" xfId="18758" xr:uid="{1568E13A-34DC-4A1F-B3C0-AA77421DC677}"/>
    <cellStyle name="Normal 5 2 2 4 2 2 7" xfId="27198" xr:uid="{2F3FB25E-16EA-4E19-87FA-CB97CA2455B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D5C77BAA-4574-4A98-95F3-4CD4EAA7BE94}"/>
    <cellStyle name="Normal 5 2 2 4 2 3 2 2 3" xfId="25533" xr:uid="{19B249DF-04F0-4CED-BF20-24799EB22736}"/>
    <cellStyle name="Normal 5 2 2 4 2 3 2 2 4" xfId="33973" xr:uid="{0091F13B-496F-4F09-A85C-4769E0E6ACA1}"/>
    <cellStyle name="Normal 5 2 2 4 2 3 2 3" xfId="12875" xr:uid="{D7B9E185-56D1-46C9-9EE3-23872B663D9E}"/>
    <cellStyle name="Normal 5 2 2 4 2 3 2 4" xfId="21316" xr:uid="{BDFDDF6B-4264-4D77-BB5B-3BCD0FE9C169}"/>
    <cellStyle name="Normal 5 2 2 4 2 3 2 5" xfId="29756" xr:uid="{19F41F89-0179-417A-ACE2-8C199FEB5CBE}"/>
    <cellStyle name="Normal 5 2 2 4 2 3 3" xfId="5621" xr:uid="{00000000-0005-0000-0000-0000EF170000}"/>
    <cellStyle name="Normal 5 2 2 4 2 3 3 2" xfId="14947" xr:uid="{06BC2337-7EE7-4AFF-9325-52145D79680E}"/>
    <cellStyle name="Normal 5 2 2 4 2 3 3 3" xfId="23388" xr:uid="{FABF65DD-5FB8-4D8B-9B82-1F993E23A4B2}"/>
    <cellStyle name="Normal 5 2 2 4 2 3 3 4" xfId="31828" xr:uid="{24EB094A-CB5F-4B07-8520-AD6E552A87AF}"/>
    <cellStyle name="Normal 5 2 2 4 2 3 4" xfId="10730" xr:uid="{81A932E7-FC6C-42FC-82CD-BE59899845E9}"/>
    <cellStyle name="Normal 5 2 2 4 2 3 5" xfId="19171" xr:uid="{6B57DC72-84AB-48E5-9544-8B6717FF8771}"/>
    <cellStyle name="Normal 5 2 2 4 2 3 6" xfId="27611" xr:uid="{E475D183-ED08-4B98-9EAE-B3A88CB1460D}"/>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ABD355DA-8D67-418B-ABF1-8961C247FE7B}"/>
    <cellStyle name="Normal 5 2 2 4 2 4 2 2 3" xfId="25946" xr:uid="{397903FE-9DEB-4DAE-916A-DFEFC2CD04F4}"/>
    <cellStyle name="Normal 5 2 2 4 2 4 2 2 4" xfId="34386" xr:uid="{A0465098-9812-4AA9-AD74-E6F9F4F79CA6}"/>
    <cellStyle name="Normal 5 2 2 4 2 4 2 3" xfId="13288" xr:uid="{ADD9F6AA-23BA-4330-B51F-F748C2581163}"/>
    <cellStyle name="Normal 5 2 2 4 2 4 2 4" xfId="21729" xr:uid="{8EB0FC1D-20C7-4644-8983-FE5AFD1E93DA}"/>
    <cellStyle name="Normal 5 2 2 4 2 4 2 5" xfId="30169" xr:uid="{9C94F014-6A54-4D2F-82DC-956A92B3917A}"/>
    <cellStyle name="Normal 5 2 2 4 2 4 3" xfId="6034" xr:uid="{00000000-0005-0000-0000-0000F3170000}"/>
    <cellStyle name="Normal 5 2 2 4 2 4 3 2" xfId="15360" xr:uid="{9343B9AD-4905-443F-B774-8B44DE05921B}"/>
    <cellStyle name="Normal 5 2 2 4 2 4 3 3" xfId="23801" xr:uid="{B6280E7B-107C-49B1-9819-993133AA111D}"/>
    <cellStyle name="Normal 5 2 2 4 2 4 3 4" xfId="32241" xr:uid="{A7094885-0E6C-48DE-8B6C-878F2FECCC20}"/>
    <cellStyle name="Normal 5 2 2 4 2 4 4" xfId="11143" xr:uid="{0D1505A4-06B1-4143-9A81-68FBCD834A39}"/>
    <cellStyle name="Normal 5 2 2 4 2 4 5" xfId="19584" xr:uid="{DC425637-0834-4DAD-A1CE-8802BE49A560}"/>
    <cellStyle name="Normal 5 2 2 4 2 4 6" xfId="28024" xr:uid="{27A5F6B2-82DE-4CB2-A3AD-65679221790B}"/>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865AC395-4E84-46D5-B308-74C235C87315}"/>
    <cellStyle name="Normal 5 2 2 4 2 5 2 2 3" xfId="26359" xr:uid="{CA658532-E043-4DC1-A946-FD7FA534BB61}"/>
    <cellStyle name="Normal 5 2 2 4 2 5 2 2 4" xfId="34799" xr:uid="{5D54586B-3353-40E8-BC92-39620393E39C}"/>
    <cellStyle name="Normal 5 2 2 4 2 5 2 3" xfId="13701" xr:uid="{984D66C4-8F61-4C0E-B685-C7BEBAEE2543}"/>
    <cellStyle name="Normal 5 2 2 4 2 5 2 4" xfId="22142" xr:uid="{86E7E702-0768-4E02-B92A-A3F52ECA14EA}"/>
    <cellStyle name="Normal 5 2 2 4 2 5 2 5" xfId="30582" xr:uid="{CA38FB7B-94FC-4D01-82C9-FC48E264B4F5}"/>
    <cellStyle name="Normal 5 2 2 4 2 5 3" xfId="6447" xr:uid="{00000000-0005-0000-0000-0000F7170000}"/>
    <cellStyle name="Normal 5 2 2 4 2 5 3 2" xfId="15773" xr:uid="{E751981F-D8AA-45AC-9C72-B9F00889C650}"/>
    <cellStyle name="Normal 5 2 2 4 2 5 3 3" xfId="24214" xr:uid="{CA5AFD75-707B-41AD-A99E-DE60B7E396D9}"/>
    <cellStyle name="Normal 5 2 2 4 2 5 3 4" xfId="32654" xr:uid="{83EA2E78-AC63-4992-9330-4C2C4BD4D073}"/>
    <cellStyle name="Normal 5 2 2 4 2 5 4" xfId="11556" xr:uid="{A02A53A6-5924-4916-BE38-A34796FFE4AD}"/>
    <cellStyle name="Normal 5 2 2 4 2 5 5" xfId="19997" xr:uid="{0D94B659-59BD-4F5D-838C-E1B78BB5C78F}"/>
    <cellStyle name="Normal 5 2 2 4 2 5 6" xfId="28437" xr:uid="{1808DC11-30A7-456C-98DF-4CDCCA8A7206}"/>
    <cellStyle name="Normal 5 2 2 4 2 6" xfId="2577" xr:uid="{00000000-0005-0000-0000-0000F8170000}"/>
    <cellStyle name="Normal 5 2 2 4 2 6 2" xfId="6860" xr:uid="{00000000-0005-0000-0000-0000F9170000}"/>
    <cellStyle name="Normal 5 2 2 4 2 6 2 2" xfId="16186" xr:uid="{CDFC7B2D-F769-4CAB-8DD2-72A9894516FD}"/>
    <cellStyle name="Normal 5 2 2 4 2 6 2 3" xfId="24627" xr:uid="{D12F8F7A-A1D8-4622-AE3B-C980FD21C4E2}"/>
    <cellStyle name="Normal 5 2 2 4 2 6 2 4" xfId="33067" xr:uid="{1CD60A7A-D32C-4F73-83BC-5CC81C090AA5}"/>
    <cellStyle name="Normal 5 2 2 4 2 6 3" xfId="11969" xr:uid="{705FF266-B6CB-4F75-98A6-2DB134FFAFB1}"/>
    <cellStyle name="Normal 5 2 2 4 2 6 4" xfId="20410" xr:uid="{3219CDD6-925C-44DB-9A36-B10DB06A225C}"/>
    <cellStyle name="Normal 5 2 2 4 2 6 5" xfId="28850" xr:uid="{3D9522FB-3365-437C-96DF-369D4196F4B2}"/>
    <cellStyle name="Normal 5 2 2 4 2 7" xfId="4795" xr:uid="{00000000-0005-0000-0000-0000FA170000}"/>
    <cellStyle name="Normal 5 2 2 4 2 7 2" xfId="14121" xr:uid="{6C6FD487-F23B-4F2D-B66E-0B8C6C0C25CD}"/>
    <cellStyle name="Normal 5 2 2 4 2 7 3" xfId="22562" xr:uid="{63939156-A8A8-44F2-B13C-F13B089B4350}"/>
    <cellStyle name="Normal 5 2 2 4 2 7 4" xfId="31002" xr:uid="{F27C2ACD-943E-408C-99B0-0890234318F8}"/>
    <cellStyle name="Normal 5 2 2 4 2 8" xfId="9063" xr:uid="{3B1AA107-8D7F-4938-A60C-EED41E9B9A2A}"/>
    <cellStyle name="Normal 5 2 2 4 2 9" xfId="9904" xr:uid="{03A0F2ED-637A-45BE-9639-5BD9FD8405B6}"/>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298CBEC9-7E9A-4452-A4F0-234DEF38F21B}"/>
    <cellStyle name="Normal 5 2 2 4 3 2 2 3" xfId="25119" xr:uid="{A406F258-32EF-49A6-9AD9-B5BE26769C70}"/>
    <cellStyle name="Normal 5 2 2 4 3 2 2 4" xfId="33559" xr:uid="{53683DBA-4BEF-48C8-A8D3-F53CC6C5212B}"/>
    <cellStyle name="Normal 5 2 2 4 3 2 3" xfId="12461" xr:uid="{D51FFE8F-888D-460C-BDD4-C8935DAE6DC2}"/>
    <cellStyle name="Normal 5 2 2 4 3 2 4" xfId="20902" xr:uid="{36A5F415-D428-440A-86BA-8A84B1D8F9C7}"/>
    <cellStyle name="Normal 5 2 2 4 3 2 5" xfId="29342" xr:uid="{415B27C7-CD8E-4F45-AD82-8C486C4A1B68}"/>
    <cellStyle name="Normal 5 2 2 4 3 3" xfId="5207" xr:uid="{00000000-0005-0000-0000-0000FE170000}"/>
    <cellStyle name="Normal 5 2 2 4 3 3 2" xfId="14533" xr:uid="{D819A8CF-C44C-4517-B0FA-982DA189AF3F}"/>
    <cellStyle name="Normal 5 2 2 4 3 3 3" xfId="22974" xr:uid="{A6B30189-D09A-4E53-8416-CDC84760BBAB}"/>
    <cellStyle name="Normal 5 2 2 4 3 3 4" xfId="31414" xr:uid="{8B9762C8-FCBD-45CC-B79B-7E6D99F42D56}"/>
    <cellStyle name="Normal 5 2 2 4 3 4" xfId="9281" xr:uid="{9304050F-95A7-4BE3-AD21-FEBB7D0875B2}"/>
    <cellStyle name="Normal 5 2 2 4 3 5" xfId="10316" xr:uid="{C33750A2-EB80-4C7A-86AA-3BDC8FD659CC}"/>
    <cellStyle name="Normal 5 2 2 4 3 6" xfId="18757" xr:uid="{613F7698-2F83-4AF6-93E2-04EB8E94FEB7}"/>
    <cellStyle name="Normal 5 2 2 4 3 7" xfId="27197" xr:uid="{740197D8-DF2D-46DE-BE92-B5909614794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BCFE8289-DE14-4BAA-8890-D92A4A48C6F5}"/>
    <cellStyle name="Normal 5 2 2 4 4 2 2 3" xfId="25532" xr:uid="{CA31C056-E868-49C3-99FD-3753B6D99006}"/>
    <cellStyle name="Normal 5 2 2 4 4 2 2 4" xfId="33972" xr:uid="{C41DC235-72D9-4D55-BD68-CF8F9473C6B7}"/>
    <cellStyle name="Normal 5 2 2 4 4 2 3" xfId="12874" xr:uid="{B5CC46A0-FAF1-4AE0-83C7-53B76C7CA54B}"/>
    <cellStyle name="Normal 5 2 2 4 4 2 4" xfId="21315" xr:uid="{163893C3-423A-4764-A0B5-C8F896988EFC}"/>
    <cellStyle name="Normal 5 2 2 4 4 2 5" xfId="29755" xr:uid="{3E45CDEA-1134-4067-B582-240C440480BD}"/>
    <cellStyle name="Normal 5 2 2 4 4 3" xfId="5620" xr:uid="{00000000-0005-0000-0000-000002180000}"/>
    <cellStyle name="Normal 5 2 2 4 4 3 2" xfId="14946" xr:uid="{7F560F11-F0B8-48F8-8850-14EFB599280B}"/>
    <cellStyle name="Normal 5 2 2 4 4 3 3" xfId="23387" xr:uid="{92169CB7-8604-4BFF-B2B9-F9B92AB51A8A}"/>
    <cellStyle name="Normal 5 2 2 4 4 3 4" xfId="31827" xr:uid="{8E398EB5-091F-4A00-AA27-2126A9B4EB77}"/>
    <cellStyle name="Normal 5 2 2 4 4 4" xfId="10729" xr:uid="{78CF999A-3661-4CA6-91A0-92A3BDBC54EA}"/>
    <cellStyle name="Normal 5 2 2 4 4 5" xfId="19170" xr:uid="{23CD9A8B-1632-4A57-BD15-6EC724F9EE73}"/>
    <cellStyle name="Normal 5 2 2 4 4 6" xfId="27610" xr:uid="{5E809463-797A-4A37-B88C-4BDA59E61059}"/>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BB01EF4B-B9B5-46FB-9B0B-DE571276B696}"/>
    <cellStyle name="Normal 5 2 2 4 5 2 2 3" xfId="25945" xr:uid="{59BE4F50-368D-4C58-9A97-70A486D5CF6F}"/>
    <cellStyle name="Normal 5 2 2 4 5 2 2 4" xfId="34385" xr:uid="{935F0105-5076-4A34-844E-F6A84B9416BB}"/>
    <cellStyle name="Normal 5 2 2 4 5 2 3" xfId="13287" xr:uid="{ED039E9E-EC4B-48D5-872D-C0D5D1C46FB8}"/>
    <cellStyle name="Normal 5 2 2 4 5 2 4" xfId="21728" xr:uid="{87C4AF98-5829-438F-B74C-1F2A5D2EB743}"/>
    <cellStyle name="Normal 5 2 2 4 5 2 5" xfId="30168" xr:uid="{37A35373-52D3-4EB8-BB8C-045F41F5E27A}"/>
    <cellStyle name="Normal 5 2 2 4 5 3" xfId="6033" xr:uid="{00000000-0005-0000-0000-000006180000}"/>
    <cellStyle name="Normal 5 2 2 4 5 3 2" xfId="15359" xr:uid="{9C86CDEA-50C7-4DF7-AED1-BEF6D16AE079}"/>
    <cellStyle name="Normal 5 2 2 4 5 3 3" xfId="23800" xr:uid="{CFCF2EEA-19D0-4055-BA7A-136F8A8772A9}"/>
    <cellStyle name="Normal 5 2 2 4 5 3 4" xfId="32240" xr:uid="{DEE36400-B16F-4608-9E3A-7B86B545BB70}"/>
    <cellStyle name="Normal 5 2 2 4 5 4" xfId="11142" xr:uid="{3349ADD7-FEC0-435C-8A8F-D4C18A6C1080}"/>
    <cellStyle name="Normal 5 2 2 4 5 5" xfId="19583" xr:uid="{9923B2F1-7EA7-4573-ACE4-B9042F7829CE}"/>
    <cellStyle name="Normal 5 2 2 4 5 6" xfId="28023" xr:uid="{CB4568BF-A3B6-429F-9A58-47F4153B2767}"/>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A4925A14-1261-46D7-86CE-88FA1096B430}"/>
    <cellStyle name="Normal 5 2 2 4 6 2 2 3" xfId="26358" xr:uid="{051B42AC-A523-474C-9C5C-363842EA985F}"/>
    <cellStyle name="Normal 5 2 2 4 6 2 2 4" xfId="34798" xr:uid="{4C0C207C-C787-494B-B659-CF3BE5A6B72C}"/>
    <cellStyle name="Normal 5 2 2 4 6 2 3" xfId="13700" xr:uid="{6867EAFC-A70D-47E9-B0CE-7429EE5B08E6}"/>
    <cellStyle name="Normal 5 2 2 4 6 2 4" xfId="22141" xr:uid="{91B45714-4B39-4BA2-883D-16EDD04E5333}"/>
    <cellStyle name="Normal 5 2 2 4 6 2 5" xfId="30581" xr:uid="{7BB5D6CE-E0FA-4A40-AC39-08A39D530B6F}"/>
    <cellStyle name="Normal 5 2 2 4 6 3" xfId="6446" xr:uid="{00000000-0005-0000-0000-00000A180000}"/>
    <cellStyle name="Normal 5 2 2 4 6 3 2" xfId="15772" xr:uid="{3F95D733-A0EC-46A3-BCF1-E5A39C4BF3C8}"/>
    <cellStyle name="Normal 5 2 2 4 6 3 3" xfId="24213" xr:uid="{8F2CB436-6768-4A90-8F04-61057455F221}"/>
    <cellStyle name="Normal 5 2 2 4 6 3 4" xfId="32653" xr:uid="{1BB6A318-04AC-40F0-8221-7ECEEF33BE7E}"/>
    <cellStyle name="Normal 5 2 2 4 6 4" xfId="11555" xr:uid="{82D52BA5-5778-421E-9056-A0D811A7CC7F}"/>
    <cellStyle name="Normal 5 2 2 4 6 5" xfId="19996" xr:uid="{0C17D8F3-B22B-4FD6-B59A-8B38E0543C2F}"/>
    <cellStyle name="Normal 5 2 2 4 6 6" xfId="28436" xr:uid="{3E097793-5F40-459F-9984-E9D05819471E}"/>
    <cellStyle name="Normal 5 2 2 4 7" xfId="2576" xr:uid="{00000000-0005-0000-0000-00000B180000}"/>
    <cellStyle name="Normal 5 2 2 4 7 2" xfId="6859" xr:uid="{00000000-0005-0000-0000-00000C180000}"/>
    <cellStyle name="Normal 5 2 2 4 7 2 2" xfId="16185" xr:uid="{46328049-DE79-408F-9A24-105B72F1D8EC}"/>
    <cellStyle name="Normal 5 2 2 4 7 2 3" xfId="24626" xr:uid="{17D21A34-4355-4F5F-A630-8EA23D60ED1E}"/>
    <cellStyle name="Normal 5 2 2 4 7 2 4" xfId="33066" xr:uid="{D155F43F-617A-4B22-B8A3-60CE43BF07BA}"/>
    <cellStyle name="Normal 5 2 2 4 7 3" xfId="11968" xr:uid="{A13EB9E2-3AD9-4CC7-88D1-400E492E5C60}"/>
    <cellStyle name="Normal 5 2 2 4 7 4" xfId="20409" xr:uid="{8DC20230-22AF-4072-9189-C1CB7BC30A4E}"/>
    <cellStyle name="Normal 5 2 2 4 7 5" xfId="28849" xr:uid="{A2E7D1F3-3E2B-46F1-AAFA-954E35FBA81F}"/>
    <cellStyle name="Normal 5 2 2 4 8" xfId="4794" xr:uid="{00000000-0005-0000-0000-00000D180000}"/>
    <cellStyle name="Normal 5 2 2 4 8 2" xfId="14120" xr:uid="{819F6295-F871-486A-8E4E-8F7723FA8AED}"/>
    <cellStyle name="Normal 5 2 2 4 8 3" xfId="22561" xr:uid="{C1972E5C-3313-477F-97A2-D7E2FC6A707B}"/>
    <cellStyle name="Normal 5 2 2 4 8 4" xfId="31001" xr:uid="{8D67C271-4BC3-42FB-B819-9365986BC725}"/>
    <cellStyle name="Normal 5 2 2 4 9" xfId="8856" xr:uid="{8A537EF5-BE1D-4B82-9546-B2DC1F74308F}"/>
    <cellStyle name="Normal 5 2 2 5" xfId="423" xr:uid="{00000000-0005-0000-0000-00000E180000}"/>
    <cellStyle name="Normal 5 2 2 5 10" xfId="18346" xr:uid="{7CC4CDEB-D5EC-4045-B7A1-F10EBFB23E76}"/>
    <cellStyle name="Normal 5 2 2 5 11" xfId="26786" xr:uid="{320350F1-5B45-4816-8BF4-0CBA17C989F9}"/>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A37E4993-ABD5-4820-A192-FDFCD5E990FF}"/>
    <cellStyle name="Normal 5 2 2 5 2 2 2 3" xfId="25121" xr:uid="{ABD469FC-D799-407B-AF54-AA6511E4EEF6}"/>
    <cellStyle name="Normal 5 2 2 5 2 2 2 4" xfId="33561" xr:uid="{84BEEF07-3B10-4E56-A541-7F12F1EA2114}"/>
    <cellStyle name="Normal 5 2 2 5 2 2 3" xfId="12463" xr:uid="{3F6720EC-2511-4E0F-8BE3-004C234AC0F2}"/>
    <cellStyle name="Normal 5 2 2 5 2 2 4" xfId="20904" xr:uid="{2CD54A44-9940-4E49-BDCD-BB157CE43A0F}"/>
    <cellStyle name="Normal 5 2 2 5 2 2 5" xfId="29344" xr:uid="{771E9051-221E-47E1-858E-63AABDD5F675}"/>
    <cellStyle name="Normal 5 2 2 5 2 3" xfId="5209" xr:uid="{00000000-0005-0000-0000-000012180000}"/>
    <cellStyle name="Normal 5 2 2 5 2 3 2" xfId="14535" xr:uid="{35086459-1955-4303-A0A4-333D600FFFA4}"/>
    <cellStyle name="Normal 5 2 2 5 2 3 3" xfId="22976" xr:uid="{876FEA58-F2FE-476F-B3ED-B86931B8D593}"/>
    <cellStyle name="Normal 5 2 2 5 2 3 4" xfId="31416" xr:uid="{ACF0C434-9060-4A91-94AA-1CA0E6AABE43}"/>
    <cellStyle name="Normal 5 2 2 5 2 4" xfId="9397" xr:uid="{3CB0B9A4-F907-4F52-ACFC-7970F7AF9B13}"/>
    <cellStyle name="Normal 5 2 2 5 2 5" xfId="10318" xr:uid="{8FFD4C4F-1247-415F-957D-DA285554DD92}"/>
    <cellStyle name="Normal 5 2 2 5 2 6" xfId="18759" xr:uid="{DE4C5DD8-64BB-48D4-A84C-252C33434F0A}"/>
    <cellStyle name="Normal 5 2 2 5 2 7" xfId="27199" xr:uid="{3D0861DF-35DA-478C-89C7-FB585A7CA62C}"/>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17A37B27-E83D-4B8D-9D39-BF4045D74151}"/>
    <cellStyle name="Normal 5 2 2 5 3 2 2 3" xfId="25534" xr:uid="{FC53A5FC-2A38-40A6-A80A-74691ED91B40}"/>
    <cellStyle name="Normal 5 2 2 5 3 2 2 4" xfId="33974" xr:uid="{C8F5DC43-A2A0-4C6E-8FFE-D137F0265DD9}"/>
    <cellStyle name="Normal 5 2 2 5 3 2 3" xfId="12876" xr:uid="{D800FDE7-744D-415F-9D02-5C5ED88FEA93}"/>
    <cellStyle name="Normal 5 2 2 5 3 2 4" xfId="21317" xr:uid="{E4C692E1-52D4-4220-A0AD-B0635CF6675E}"/>
    <cellStyle name="Normal 5 2 2 5 3 2 5" xfId="29757" xr:uid="{837293C8-AFC0-4BD0-A133-9FB27047BAED}"/>
    <cellStyle name="Normal 5 2 2 5 3 3" xfId="5622" xr:uid="{00000000-0005-0000-0000-000016180000}"/>
    <cellStyle name="Normal 5 2 2 5 3 3 2" xfId="14948" xr:uid="{F5A9F338-76AD-409A-BA5B-839EC8D8F4D4}"/>
    <cellStyle name="Normal 5 2 2 5 3 3 3" xfId="23389" xr:uid="{DEAA193E-97E0-40B2-8D92-D5FD47460BB0}"/>
    <cellStyle name="Normal 5 2 2 5 3 3 4" xfId="31829" xr:uid="{E90FE760-C7F5-4CA2-B83C-AD5F60A9E037}"/>
    <cellStyle name="Normal 5 2 2 5 3 4" xfId="10731" xr:uid="{A4639338-498D-4566-BC5A-EE867194F0A5}"/>
    <cellStyle name="Normal 5 2 2 5 3 5" xfId="19172" xr:uid="{C7094D12-6F0A-4439-94BB-222A793FC2AD}"/>
    <cellStyle name="Normal 5 2 2 5 3 6" xfId="27612" xr:uid="{76FFF894-DC7E-49AD-9E27-9E2A1AB030FE}"/>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667F5F0B-2027-4E2A-BBD4-DD321A87DEEF}"/>
    <cellStyle name="Normal 5 2 2 5 4 2 2 3" xfId="25947" xr:uid="{294F046F-77F9-4D9F-BEC8-3E70DBD4708C}"/>
    <cellStyle name="Normal 5 2 2 5 4 2 2 4" xfId="34387" xr:uid="{B1BF5160-8811-4880-9AEB-2D61DE37B8C5}"/>
    <cellStyle name="Normal 5 2 2 5 4 2 3" xfId="13289" xr:uid="{6AAB1095-B917-48BC-9838-AC4FC7D487F2}"/>
    <cellStyle name="Normal 5 2 2 5 4 2 4" xfId="21730" xr:uid="{FE92A3D3-7332-4A6F-9077-86FC2AF7608F}"/>
    <cellStyle name="Normal 5 2 2 5 4 2 5" xfId="30170" xr:uid="{82F1258B-4858-4364-AF66-761EACD1BA4D}"/>
    <cellStyle name="Normal 5 2 2 5 4 3" xfId="6035" xr:uid="{00000000-0005-0000-0000-00001A180000}"/>
    <cellStyle name="Normal 5 2 2 5 4 3 2" xfId="15361" xr:uid="{54815E79-EF3B-40DD-B10D-63491B049771}"/>
    <cellStyle name="Normal 5 2 2 5 4 3 3" xfId="23802" xr:uid="{E0956379-CE3C-40E5-AC0B-93B7D38CCBC8}"/>
    <cellStyle name="Normal 5 2 2 5 4 3 4" xfId="32242" xr:uid="{0D65C774-0F3D-4666-91CA-F08BD11037E4}"/>
    <cellStyle name="Normal 5 2 2 5 4 4" xfId="11144" xr:uid="{5EBA0FD1-93EC-4456-AE6E-9574CC7ED6DB}"/>
    <cellStyle name="Normal 5 2 2 5 4 5" xfId="19585" xr:uid="{83EDFD08-DA64-4F9E-A42C-60756CB392F3}"/>
    <cellStyle name="Normal 5 2 2 5 4 6" xfId="28025" xr:uid="{EF748C20-9F1A-43F6-96FA-4FC3D3366E28}"/>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3989CEFB-B6B4-488D-B888-34415EBE41E9}"/>
    <cellStyle name="Normal 5 2 2 5 5 2 2 3" xfId="26360" xr:uid="{85525A21-E125-4230-8C40-91768AF2CE7C}"/>
    <cellStyle name="Normal 5 2 2 5 5 2 2 4" xfId="34800" xr:uid="{D3CA3AC4-10C8-402A-A4DC-56C6ACB1470D}"/>
    <cellStyle name="Normal 5 2 2 5 5 2 3" xfId="13702" xr:uid="{ED6B2EF0-B4CE-43A1-BC16-1C9B1F41FA40}"/>
    <cellStyle name="Normal 5 2 2 5 5 2 4" xfId="22143" xr:uid="{EB6FBA15-B127-474B-9CDB-578BB31FC042}"/>
    <cellStyle name="Normal 5 2 2 5 5 2 5" xfId="30583" xr:uid="{C2C983F3-9C63-450F-93D6-99A2B4EF121C}"/>
    <cellStyle name="Normal 5 2 2 5 5 3" xfId="6448" xr:uid="{00000000-0005-0000-0000-00001E180000}"/>
    <cellStyle name="Normal 5 2 2 5 5 3 2" xfId="15774" xr:uid="{3BB757A6-BA90-4F44-ACAF-60E10773EBBD}"/>
    <cellStyle name="Normal 5 2 2 5 5 3 3" xfId="24215" xr:uid="{8CC6F097-9886-452C-B0A6-6B14BF52BF45}"/>
    <cellStyle name="Normal 5 2 2 5 5 3 4" xfId="32655" xr:uid="{CE2C750D-1F80-43E3-9FFF-23839E30592E}"/>
    <cellStyle name="Normal 5 2 2 5 5 4" xfId="11557" xr:uid="{37F9B135-E730-4F71-BD94-6D02B72869D1}"/>
    <cellStyle name="Normal 5 2 2 5 5 5" xfId="19998" xr:uid="{A63D01EF-548E-4035-BA89-37116A5269AA}"/>
    <cellStyle name="Normal 5 2 2 5 5 6" xfId="28438" xr:uid="{094736CC-0F60-45E9-B06F-171E1527D216}"/>
    <cellStyle name="Normal 5 2 2 5 6" xfId="2578" xr:uid="{00000000-0005-0000-0000-00001F180000}"/>
    <cellStyle name="Normal 5 2 2 5 6 2" xfId="6861" xr:uid="{00000000-0005-0000-0000-000020180000}"/>
    <cellStyle name="Normal 5 2 2 5 6 2 2" xfId="16187" xr:uid="{171C972F-CA3A-4660-BB22-A0004E385B91}"/>
    <cellStyle name="Normal 5 2 2 5 6 2 3" xfId="24628" xr:uid="{A780E127-F87C-448E-8548-204B4B105E43}"/>
    <cellStyle name="Normal 5 2 2 5 6 2 4" xfId="33068" xr:uid="{48147944-2B27-4A8B-8626-784B45D1EECA}"/>
    <cellStyle name="Normal 5 2 2 5 6 3" xfId="11970" xr:uid="{F71B8BED-AEAE-4D06-8474-534415CF7AF7}"/>
    <cellStyle name="Normal 5 2 2 5 6 4" xfId="20411" xr:uid="{25F85978-91AF-4BD4-B1CD-A152301B87AF}"/>
    <cellStyle name="Normal 5 2 2 5 6 5" xfId="28851" xr:uid="{F30559D6-59C3-4468-A25E-7F847498923D}"/>
    <cellStyle name="Normal 5 2 2 5 7" xfId="4796" xr:uid="{00000000-0005-0000-0000-000021180000}"/>
    <cellStyle name="Normal 5 2 2 5 7 2" xfId="14122" xr:uid="{C3B32A01-A5C2-4B0E-BB89-4A367E4D9794}"/>
    <cellStyle name="Normal 5 2 2 5 7 3" xfId="22563" xr:uid="{495C41A5-FD0A-41A9-8588-8FADC7361B22}"/>
    <cellStyle name="Normal 5 2 2 5 7 4" xfId="31003" xr:uid="{1D00653E-D190-46B9-AC4E-3E3983D85D56}"/>
    <cellStyle name="Normal 5 2 2 5 8" xfId="8972" xr:uid="{3CCC8856-6464-4309-A4F9-43F74A48C503}"/>
    <cellStyle name="Normal 5 2 2 5 9" xfId="9905" xr:uid="{0C901C87-A3C3-4647-84DC-1532A344623D}"/>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0B13A7A4-C414-4A10-B5BF-6D80F583869A}"/>
    <cellStyle name="Normal 5 2 2 6 2 2 3" xfId="25106" xr:uid="{AAFB2180-5B9A-49EE-998F-1BF356B7B0DC}"/>
    <cellStyle name="Normal 5 2 2 6 2 2 4" xfId="33546" xr:uid="{88B5E24E-3700-4B2D-8E57-C774AD420164}"/>
    <cellStyle name="Normal 5 2 2 6 2 3" xfId="12448" xr:uid="{ACBDA625-870D-4A69-A186-BD0C460BDE67}"/>
    <cellStyle name="Normal 5 2 2 6 2 4" xfId="20889" xr:uid="{0AAD71D6-DC9E-4350-8B5A-73774D6D1FDE}"/>
    <cellStyle name="Normal 5 2 2 6 2 5" xfId="29329" xr:uid="{CC8743E4-B78A-4990-94D9-D01B065D4B65}"/>
    <cellStyle name="Normal 5 2 2 6 3" xfId="5194" xr:uid="{00000000-0005-0000-0000-000025180000}"/>
    <cellStyle name="Normal 5 2 2 6 3 2" xfId="14520" xr:uid="{F5722CAC-A178-4CC8-8D32-47ECFFC06A83}"/>
    <cellStyle name="Normal 5 2 2 6 3 3" xfId="22961" xr:uid="{CD3010EF-7A22-44A0-88E1-C2B0F12F6253}"/>
    <cellStyle name="Normal 5 2 2 6 3 4" xfId="31401" xr:uid="{D7BF1F0F-4BB0-41EC-98D6-D21AC44B7B25}"/>
    <cellStyle name="Normal 5 2 2 6 4" xfId="9175" xr:uid="{A0BC076A-DB75-4963-A17E-57836FA6391D}"/>
    <cellStyle name="Normal 5 2 2 6 5" xfId="10303" xr:uid="{3CCA328A-C085-40AC-A0B6-9AAA325D9A71}"/>
    <cellStyle name="Normal 5 2 2 6 6" xfId="18744" xr:uid="{1F1546AC-8C89-460A-88C6-7EC6A584982C}"/>
    <cellStyle name="Normal 5 2 2 6 7" xfId="27184" xr:uid="{9AC2D687-92E5-4B3E-BA0C-FDA5B7353818}"/>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54C379FC-FD10-49AC-B0E3-A4E9F337C676}"/>
    <cellStyle name="Normal 5 2 2 7 2 2 3" xfId="25519" xr:uid="{42E727E9-B4F5-4CDA-8DAF-C13FBD395229}"/>
    <cellStyle name="Normal 5 2 2 7 2 2 4" xfId="33959" xr:uid="{02430494-5F25-4756-9A0F-DA40828B047B}"/>
    <cellStyle name="Normal 5 2 2 7 2 3" xfId="12861" xr:uid="{5DA1633B-68C7-4DD8-BC50-4165B02D26FE}"/>
    <cellStyle name="Normal 5 2 2 7 2 4" xfId="21302" xr:uid="{7C47032C-151F-4D09-B121-E68EF816E179}"/>
    <cellStyle name="Normal 5 2 2 7 2 5" xfId="29742" xr:uid="{9EBDEAF0-5908-43E2-9488-D5C59815DA6C}"/>
    <cellStyle name="Normal 5 2 2 7 3" xfId="5607" xr:uid="{00000000-0005-0000-0000-000029180000}"/>
    <cellStyle name="Normal 5 2 2 7 3 2" xfId="14933" xr:uid="{98C5B5C5-D07B-4A47-9A2E-695E1AF562E8}"/>
    <cellStyle name="Normal 5 2 2 7 3 3" xfId="23374" xr:uid="{01124A4A-A86A-4B11-9CBD-0BBC6100A0AB}"/>
    <cellStyle name="Normal 5 2 2 7 3 4" xfId="31814" xr:uid="{4624489B-4B98-4DE9-95E4-6356A73D484B}"/>
    <cellStyle name="Normal 5 2 2 7 4" xfId="10716" xr:uid="{3FD99361-53C2-4BA1-91F2-0A5A0DAB5214}"/>
    <cellStyle name="Normal 5 2 2 7 5" xfId="19157" xr:uid="{E72A7CAB-F2EE-4FAB-BBF5-00DFF9BF1748}"/>
    <cellStyle name="Normal 5 2 2 7 6" xfId="27597" xr:uid="{2A218B5F-6C0D-45DB-99B8-844FC2F8FF0C}"/>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F6E4C3CB-9A46-45F0-875A-273D728489DF}"/>
    <cellStyle name="Normal 5 2 2 8 2 2 3" xfId="25932" xr:uid="{B9CA66DF-4062-4456-AB16-E6235197B206}"/>
    <cellStyle name="Normal 5 2 2 8 2 2 4" xfId="34372" xr:uid="{BD5FFB1D-7294-497F-9923-E86E9E7C3002}"/>
    <cellStyle name="Normal 5 2 2 8 2 3" xfId="13274" xr:uid="{F6220479-AFE4-401B-B8A2-45115D07FF41}"/>
    <cellStyle name="Normal 5 2 2 8 2 4" xfId="21715" xr:uid="{BCE109F4-BAA0-4B33-9C4D-8E5480895B18}"/>
    <cellStyle name="Normal 5 2 2 8 2 5" xfId="30155" xr:uid="{F6C31D83-76ED-4B2D-BD93-8927BEC47471}"/>
    <cellStyle name="Normal 5 2 2 8 3" xfId="6020" xr:uid="{00000000-0005-0000-0000-00002D180000}"/>
    <cellStyle name="Normal 5 2 2 8 3 2" xfId="15346" xr:uid="{ED94CC3D-740D-4EFC-9718-35C75AD3993E}"/>
    <cellStyle name="Normal 5 2 2 8 3 3" xfId="23787" xr:uid="{BD1CF483-91E6-4D08-A505-6D976FDD8AB0}"/>
    <cellStyle name="Normal 5 2 2 8 3 4" xfId="32227" xr:uid="{AE4C93EF-260A-4DC1-9521-9567D976FA6C}"/>
    <cellStyle name="Normal 5 2 2 8 4" xfId="11129" xr:uid="{E40636B0-C748-4A0E-8490-C1FD2873D720}"/>
    <cellStyle name="Normal 5 2 2 8 5" xfId="19570" xr:uid="{F81E62C4-541C-4FF4-B4B1-496E244D4635}"/>
    <cellStyle name="Normal 5 2 2 8 6" xfId="28010" xr:uid="{4AD534BE-0CB5-4B3F-8E89-855967E97E2E}"/>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FA021F45-8D6F-40E9-B912-85720100FDD4}"/>
    <cellStyle name="Normal 5 2 2 9 2 2 3" xfId="26345" xr:uid="{C0AFA74B-2A71-4EDB-841E-E6A0EF5D4C3A}"/>
    <cellStyle name="Normal 5 2 2 9 2 2 4" xfId="34785" xr:uid="{1D56022D-830F-4656-8024-EEDB02F143BA}"/>
    <cellStyle name="Normal 5 2 2 9 2 3" xfId="13687" xr:uid="{C29BCE07-6590-43BD-81C5-A0418DC98953}"/>
    <cellStyle name="Normal 5 2 2 9 2 4" xfId="22128" xr:uid="{BCF293D2-BF5F-44F2-A503-1713383DEE1A}"/>
    <cellStyle name="Normal 5 2 2 9 2 5" xfId="30568" xr:uid="{C18EAF75-4E3E-4DC3-9770-B80B066D92DA}"/>
    <cellStyle name="Normal 5 2 2 9 3" xfId="6433" xr:uid="{00000000-0005-0000-0000-000031180000}"/>
    <cellStyle name="Normal 5 2 2 9 3 2" xfId="15759" xr:uid="{4855CC0A-85B7-477E-96E8-9A708294A548}"/>
    <cellStyle name="Normal 5 2 2 9 3 3" xfId="24200" xr:uid="{9FD0BC9F-ACBE-430B-8195-C03E8D5660AC}"/>
    <cellStyle name="Normal 5 2 2 9 3 4" xfId="32640" xr:uid="{6FF4EF08-E344-4C61-A927-80D439E4A7B6}"/>
    <cellStyle name="Normal 5 2 2 9 4" xfId="11542" xr:uid="{8F2891B2-A694-49CF-B417-CFF68E927C5C}"/>
    <cellStyle name="Normal 5 2 2 9 5" xfId="19983" xr:uid="{CF4D1D48-66F0-415E-97A4-3C8424316F3F}"/>
    <cellStyle name="Normal 5 2 2 9 6" xfId="28423" xr:uid="{0A6E4B2A-1272-40D8-9436-107E10FBC426}"/>
    <cellStyle name="Normal 5 2 3" xfId="424" xr:uid="{00000000-0005-0000-0000-000032180000}"/>
    <cellStyle name="Normal 5 2 3 10" xfId="4797" xr:uid="{00000000-0005-0000-0000-000033180000}"/>
    <cellStyle name="Normal 5 2 3 10 2" xfId="14123" xr:uid="{5341D030-6D0B-492D-AC1B-7902627FEE33}"/>
    <cellStyle name="Normal 5 2 3 10 3" xfId="22564" xr:uid="{417AE1B8-33AC-4D3B-8AEC-005D5B360816}"/>
    <cellStyle name="Normal 5 2 3 10 4" xfId="31004" xr:uid="{45454122-AF8D-418A-B0BC-54B0E9F7FBAA}"/>
    <cellStyle name="Normal 5 2 3 11" xfId="8776" xr:uid="{883173D2-CE3E-48F3-8E13-32EAEF7B08C3}"/>
    <cellStyle name="Normal 5 2 3 12" xfId="9906" xr:uid="{CDA134A5-C242-4115-99E1-0E86738E9555}"/>
    <cellStyle name="Normal 5 2 3 13" xfId="18347" xr:uid="{FB56E63F-F990-4959-A70C-4FE42B77FBE7}"/>
    <cellStyle name="Normal 5 2 3 14" xfId="26787" xr:uid="{3843DC30-F538-4815-B587-7C0C23AC3EEE}"/>
    <cellStyle name="Normal 5 2 3 2" xfId="425" xr:uid="{00000000-0005-0000-0000-000034180000}"/>
    <cellStyle name="Normal 5 2 3 2 10" xfId="8830" xr:uid="{287E15F2-6F23-4B3E-B8AA-9DE92D950FBA}"/>
    <cellStyle name="Normal 5 2 3 2 11" xfId="9907" xr:uid="{9B9AC9D8-6ADB-4474-9A25-5BF0CCBBE1D2}"/>
    <cellStyle name="Normal 5 2 3 2 12" xfId="18348" xr:uid="{7CD5761C-40A1-49FD-97AA-F8B9FF6BDCC7}"/>
    <cellStyle name="Normal 5 2 3 2 13" xfId="26788" xr:uid="{094E3706-C653-4607-9BB9-31C6F29EA611}"/>
    <cellStyle name="Normal 5 2 3 2 2" xfId="426" xr:uid="{00000000-0005-0000-0000-000035180000}"/>
    <cellStyle name="Normal 5 2 3 2 2 10" xfId="9908" xr:uid="{4CE6A407-8856-490F-9FA2-C57B5BCBC8F5}"/>
    <cellStyle name="Normal 5 2 3 2 2 11" xfId="18349" xr:uid="{AD822A19-148F-414E-9D35-A29807B202F4}"/>
    <cellStyle name="Normal 5 2 3 2 2 12" xfId="26789" xr:uid="{58836F03-52DB-4757-9690-E3696BA3940C}"/>
    <cellStyle name="Normal 5 2 3 2 2 2" xfId="427" xr:uid="{00000000-0005-0000-0000-000036180000}"/>
    <cellStyle name="Normal 5 2 3 2 2 2 10" xfId="18350" xr:uid="{6030EA28-D255-4ACB-B749-89616F4F592D}"/>
    <cellStyle name="Normal 5 2 3 2 2 2 11" xfId="26790" xr:uid="{108E0DCA-3227-4A1A-8155-5FD51A1BD45B}"/>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06530A01-A1E8-4462-B67D-1A33D8991923}"/>
    <cellStyle name="Normal 5 2 3 2 2 2 2 2 2 3" xfId="25125" xr:uid="{A1FBAB35-0586-4359-9506-2FC5DB1838CC}"/>
    <cellStyle name="Normal 5 2 3 2 2 2 2 2 2 4" xfId="33565" xr:uid="{16521E9D-455B-45C2-958B-E02E50AF6E05}"/>
    <cellStyle name="Normal 5 2 3 2 2 2 2 2 3" xfId="12467" xr:uid="{91A4F0AD-59CA-4081-A5DB-033183F28FED}"/>
    <cellStyle name="Normal 5 2 3 2 2 2 2 2 4" xfId="20908" xr:uid="{A7351D3C-F526-4B69-8F89-E0F62A78BF5A}"/>
    <cellStyle name="Normal 5 2 3 2 2 2 2 2 5" xfId="29348" xr:uid="{17B00AD3-A6F7-44D5-95BF-40287E752FE3}"/>
    <cellStyle name="Normal 5 2 3 2 2 2 2 3" xfId="5213" xr:uid="{00000000-0005-0000-0000-00003A180000}"/>
    <cellStyle name="Normal 5 2 3 2 2 2 2 3 2" xfId="14539" xr:uid="{3B001BE3-5E91-46C3-AF10-C5897E429556}"/>
    <cellStyle name="Normal 5 2 3 2 2 2 2 3 3" xfId="22980" xr:uid="{6BCDF056-A8D0-4A4C-A4AF-D0FAF5B1BE15}"/>
    <cellStyle name="Normal 5 2 3 2 2 2 2 3 4" xfId="31420" xr:uid="{BDC0F5FD-07DF-4845-8CDE-C39EF2EF8D7B}"/>
    <cellStyle name="Normal 5 2 3 2 2 2 2 4" xfId="9565" xr:uid="{B33C5ECB-02D9-4BAF-B467-F38E8EEB7F6E}"/>
    <cellStyle name="Normal 5 2 3 2 2 2 2 5" xfId="10322" xr:uid="{87D2988B-88E0-4B67-BD10-00320B81CD7C}"/>
    <cellStyle name="Normal 5 2 3 2 2 2 2 6" xfId="18763" xr:uid="{C06F6841-BEFE-4F89-823D-311AA28C92C2}"/>
    <cellStyle name="Normal 5 2 3 2 2 2 2 7" xfId="27203" xr:uid="{2E85A11D-91B4-4216-BB33-E43C640F2F66}"/>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B4668EEA-CA77-400E-B6EE-5CAA14F885BD}"/>
    <cellStyle name="Normal 5 2 3 2 2 2 3 2 2 3" xfId="25538" xr:uid="{3EA845C4-F0E2-49AC-854D-E6DE4C8FC5B5}"/>
    <cellStyle name="Normal 5 2 3 2 2 2 3 2 2 4" xfId="33978" xr:uid="{C00E9FC9-BE13-4D8D-99E9-DB545C574F48}"/>
    <cellStyle name="Normal 5 2 3 2 2 2 3 2 3" xfId="12880" xr:uid="{826F159E-9598-4CC9-9385-54EE62722DA4}"/>
    <cellStyle name="Normal 5 2 3 2 2 2 3 2 4" xfId="21321" xr:uid="{A55B973C-0887-4C1F-BBAC-630592B8AB43}"/>
    <cellStyle name="Normal 5 2 3 2 2 2 3 2 5" xfId="29761" xr:uid="{5C9697DD-8002-4A13-B5D9-AC5841554869}"/>
    <cellStyle name="Normal 5 2 3 2 2 2 3 3" xfId="5626" xr:uid="{00000000-0005-0000-0000-00003E180000}"/>
    <cellStyle name="Normal 5 2 3 2 2 2 3 3 2" xfId="14952" xr:uid="{D0183816-9123-4E23-BED4-B5BCB7B42E94}"/>
    <cellStyle name="Normal 5 2 3 2 2 2 3 3 3" xfId="23393" xr:uid="{55F23BF1-E54D-44E1-8CCB-F1CABB4A241B}"/>
    <cellStyle name="Normal 5 2 3 2 2 2 3 3 4" xfId="31833" xr:uid="{077C3709-1046-4980-BDF5-C9532BB7F39C}"/>
    <cellStyle name="Normal 5 2 3 2 2 2 3 4" xfId="10735" xr:uid="{489B6BA9-F8E2-4AC6-916E-03721876F42E}"/>
    <cellStyle name="Normal 5 2 3 2 2 2 3 5" xfId="19176" xr:uid="{6B976F0F-2383-4899-B520-2685ECBC6325}"/>
    <cellStyle name="Normal 5 2 3 2 2 2 3 6" xfId="27616" xr:uid="{DFDF493F-8405-4FDC-9932-CCF27CEACB64}"/>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D370BDC1-00FF-4207-BE5D-CC28C6C832CD}"/>
    <cellStyle name="Normal 5 2 3 2 2 2 4 2 2 3" xfId="25951" xr:uid="{89698C9E-3C54-405D-BD6B-39749A8D4D85}"/>
    <cellStyle name="Normal 5 2 3 2 2 2 4 2 2 4" xfId="34391" xr:uid="{32E062EB-FBB3-48F0-ABEB-FFEB0A32F603}"/>
    <cellStyle name="Normal 5 2 3 2 2 2 4 2 3" xfId="13293" xr:uid="{553A69A9-4EB8-4A12-8BCD-1E1A361291F6}"/>
    <cellStyle name="Normal 5 2 3 2 2 2 4 2 4" xfId="21734" xr:uid="{E46242FB-88E6-4F7A-91A2-88E9CFD91FE7}"/>
    <cellStyle name="Normal 5 2 3 2 2 2 4 2 5" xfId="30174" xr:uid="{46043846-DF53-41C5-B0EF-178A47E03A2A}"/>
    <cellStyle name="Normal 5 2 3 2 2 2 4 3" xfId="6039" xr:uid="{00000000-0005-0000-0000-000042180000}"/>
    <cellStyle name="Normal 5 2 3 2 2 2 4 3 2" xfId="15365" xr:uid="{DE4ABFDE-BD5F-4515-8C5D-11559B951AAE}"/>
    <cellStyle name="Normal 5 2 3 2 2 2 4 3 3" xfId="23806" xr:uid="{8DB8C34D-6118-49F2-B736-26D88F15FD11}"/>
    <cellStyle name="Normal 5 2 3 2 2 2 4 3 4" xfId="32246" xr:uid="{15FE4050-C999-4DF0-B896-8D7C398804D8}"/>
    <cellStyle name="Normal 5 2 3 2 2 2 4 4" xfId="11148" xr:uid="{C9C65F04-7645-47C3-A4D6-BAC9022B39FA}"/>
    <cellStyle name="Normal 5 2 3 2 2 2 4 5" xfId="19589" xr:uid="{054192C3-E2F5-4AD8-8D15-CF3EAE928402}"/>
    <cellStyle name="Normal 5 2 3 2 2 2 4 6" xfId="28029" xr:uid="{92CCA2E6-5A26-4834-8FE8-E5A15799900E}"/>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792BF446-9125-4F63-A508-AC941E4E825E}"/>
    <cellStyle name="Normal 5 2 3 2 2 2 5 2 2 3" xfId="26364" xr:uid="{614F0D81-38AC-4151-BB34-D6B5068290CC}"/>
    <cellStyle name="Normal 5 2 3 2 2 2 5 2 2 4" xfId="34804" xr:uid="{3A625362-C061-4206-88B3-67B0570A7986}"/>
    <cellStyle name="Normal 5 2 3 2 2 2 5 2 3" xfId="13706" xr:uid="{DBE32E31-6257-4855-A423-452D8E8E3BD1}"/>
    <cellStyle name="Normal 5 2 3 2 2 2 5 2 4" xfId="22147" xr:uid="{D88844BA-DAC2-4765-998B-E1091DE443E0}"/>
    <cellStyle name="Normal 5 2 3 2 2 2 5 2 5" xfId="30587" xr:uid="{83646727-0401-4DBA-8FA5-1D496B2A1C40}"/>
    <cellStyle name="Normal 5 2 3 2 2 2 5 3" xfId="6452" xr:uid="{00000000-0005-0000-0000-000046180000}"/>
    <cellStyle name="Normal 5 2 3 2 2 2 5 3 2" xfId="15778" xr:uid="{4F77A0D3-66F3-4453-B664-3C1A5695DBFD}"/>
    <cellStyle name="Normal 5 2 3 2 2 2 5 3 3" xfId="24219" xr:uid="{9583770D-6C36-4AE7-B210-D9185365BFF8}"/>
    <cellStyle name="Normal 5 2 3 2 2 2 5 3 4" xfId="32659" xr:uid="{9D6E75AD-2E4F-4C49-9ECB-0B66797AA7EB}"/>
    <cellStyle name="Normal 5 2 3 2 2 2 5 4" xfId="11561" xr:uid="{902BFE9B-607B-42A9-9BA5-EAFDCC8DFDBF}"/>
    <cellStyle name="Normal 5 2 3 2 2 2 5 5" xfId="20002" xr:uid="{BA7001FB-DF0D-48B1-BB83-ACE8CDDC0C03}"/>
    <cellStyle name="Normal 5 2 3 2 2 2 5 6" xfId="28442" xr:uid="{8ABE590E-8A38-4385-B066-8726DF121A10}"/>
    <cellStyle name="Normal 5 2 3 2 2 2 6" xfId="2582" xr:uid="{00000000-0005-0000-0000-000047180000}"/>
    <cellStyle name="Normal 5 2 3 2 2 2 6 2" xfId="6865" xr:uid="{00000000-0005-0000-0000-000048180000}"/>
    <cellStyle name="Normal 5 2 3 2 2 2 6 2 2" xfId="16191" xr:uid="{4F8A54F1-8655-444F-9EE1-88C2807DDD93}"/>
    <cellStyle name="Normal 5 2 3 2 2 2 6 2 3" xfId="24632" xr:uid="{62983A6A-8C88-48D7-B47D-3D386D8D9B9C}"/>
    <cellStyle name="Normal 5 2 3 2 2 2 6 2 4" xfId="33072" xr:uid="{C6A946FE-5166-468C-BEE7-95648940A64B}"/>
    <cellStyle name="Normal 5 2 3 2 2 2 6 3" xfId="11974" xr:uid="{469B3BA5-7842-4C24-B408-3F46A700CD54}"/>
    <cellStyle name="Normal 5 2 3 2 2 2 6 4" xfId="20415" xr:uid="{B5047462-A2BB-4678-9C47-0055BC87F00F}"/>
    <cellStyle name="Normal 5 2 3 2 2 2 6 5" xfId="28855" xr:uid="{91EB2ECB-702B-420F-8252-3D578826E5A9}"/>
    <cellStyle name="Normal 5 2 3 2 2 2 7" xfId="4800" xr:uid="{00000000-0005-0000-0000-000049180000}"/>
    <cellStyle name="Normal 5 2 3 2 2 2 7 2" xfId="14126" xr:uid="{95289836-4C97-45D4-9F31-ABCB00A2998F}"/>
    <cellStyle name="Normal 5 2 3 2 2 2 7 3" xfId="22567" xr:uid="{B7051C36-6AF9-43B4-B937-B9DEDCA683D5}"/>
    <cellStyle name="Normal 5 2 3 2 2 2 7 4" xfId="31007" xr:uid="{16B7EFF6-7F25-4075-A254-6637277F6C2A}"/>
    <cellStyle name="Normal 5 2 3 2 2 2 8" xfId="9140" xr:uid="{175A16DB-BA54-4083-AB68-1FA46DB27A86}"/>
    <cellStyle name="Normal 5 2 3 2 2 2 9" xfId="9909" xr:uid="{680BBCB5-DBC1-4CD9-8F1E-82C5934208F1}"/>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F54CBB86-2A05-4BB7-AD04-79F1F4B083E8}"/>
    <cellStyle name="Normal 5 2 3 2 2 3 2 2 3" xfId="25124" xr:uid="{2F532CA6-7ECC-4FA9-8170-5D806F374135}"/>
    <cellStyle name="Normal 5 2 3 2 2 3 2 2 4" xfId="33564" xr:uid="{F8BC8651-4E02-407A-99DD-C00CF8F02643}"/>
    <cellStyle name="Normal 5 2 3 2 2 3 2 3" xfId="12466" xr:uid="{FF735ED6-B8EC-431B-BFE7-B840A19331B1}"/>
    <cellStyle name="Normal 5 2 3 2 2 3 2 4" xfId="20907" xr:uid="{CC45E347-7B1D-4BDD-B5EB-E9C50781996C}"/>
    <cellStyle name="Normal 5 2 3 2 2 3 2 5" xfId="29347" xr:uid="{BE4550C9-F844-4495-980D-48FACC8C3325}"/>
    <cellStyle name="Normal 5 2 3 2 2 3 3" xfId="5212" xr:uid="{00000000-0005-0000-0000-00004D180000}"/>
    <cellStyle name="Normal 5 2 3 2 2 3 3 2" xfId="14538" xr:uid="{B7674D57-7C90-484E-9A24-45BBAAE3AF6E}"/>
    <cellStyle name="Normal 5 2 3 2 2 3 3 3" xfId="22979" xr:uid="{B5C6518F-6816-4C83-A4C8-DB77B6827B12}"/>
    <cellStyle name="Normal 5 2 3 2 2 3 3 4" xfId="31419" xr:uid="{76E6C7BC-9890-4FCC-B47F-41A89FFFAB3B}"/>
    <cellStyle name="Normal 5 2 3 2 2 3 4" xfId="9358" xr:uid="{5B196E7D-8DD9-4C59-A83C-7626B0E60040}"/>
    <cellStyle name="Normal 5 2 3 2 2 3 5" xfId="10321" xr:uid="{7A21DD59-4D42-4257-8098-1FCEA454906C}"/>
    <cellStyle name="Normal 5 2 3 2 2 3 6" xfId="18762" xr:uid="{9B73C26F-9B7C-4E2C-9AC1-91D0A04536C2}"/>
    <cellStyle name="Normal 5 2 3 2 2 3 7" xfId="27202" xr:uid="{6525FECF-1B59-4742-85CD-EE9448B798BC}"/>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50E755A5-ACAD-40A7-8343-50BDA6C953DC}"/>
    <cellStyle name="Normal 5 2 3 2 2 4 2 2 3" xfId="25537" xr:uid="{D472C819-D3F1-4617-ACB4-BBC57EC103AA}"/>
    <cellStyle name="Normal 5 2 3 2 2 4 2 2 4" xfId="33977" xr:uid="{8F6306E3-FA8F-49E5-8294-7D9325EEEC20}"/>
    <cellStyle name="Normal 5 2 3 2 2 4 2 3" xfId="12879" xr:uid="{40B0C8A3-8770-41F7-B7B7-A8D02CCE5DA1}"/>
    <cellStyle name="Normal 5 2 3 2 2 4 2 4" xfId="21320" xr:uid="{A5E40C0E-E6C4-40C6-A880-0F8953773E33}"/>
    <cellStyle name="Normal 5 2 3 2 2 4 2 5" xfId="29760" xr:uid="{34B211A7-9F70-477A-9D7E-58BA6DDC315C}"/>
    <cellStyle name="Normal 5 2 3 2 2 4 3" xfId="5625" xr:uid="{00000000-0005-0000-0000-000051180000}"/>
    <cellStyle name="Normal 5 2 3 2 2 4 3 2" xfId="14951" xr:uid="{52BAB36C-D69D-4FB6-B7CF-EEE47381F253}"/>
    <cellStyle name="Normal 5 2 3 2 2 4 3 3" xfId="23392" xr:uid="{BD16760C-B2CD-4929-8F7B-DA9F9C50503E}"/>
    <cellStyle name="Normal 5 2 3 2 2 4 3 4" xfId="31832" xr:uid="{4CD9FC8C-0F29-4D3A-9AFD-13C5E1689A75}"/>
    <cellStyle name="Normal 5 2 3 2 2 4 4" xfId="10734" xr:uid="{E88A432E-4875-460F-9C91-5431B41D9061}"/>
    <cellStyle name="Normal 5 2 3 2 2 4 5" xfId="19175" xr:uid="{4E7B5538-B658-4DBC-AAA6-FB3A21A337AB}"/>
    <cellStyle name="Normal 5 2 3 2 2 4 6" xfId="27615" xr:uid="{07316637-4B24-49A1-9D9E-8E9AC5E308D8}"/>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092F7047-7A20-4257-9BD1-B4DE329B4E2C}"/>
    <cellStyle name="Normal 5 2 3 2 2 5 2 2 3" xfId="25950" xr:uid="{29EF65DC-F1F1-4204-9C9E-0A8C39C1BF11}"/>
    <cellStyle name="Normal 5 2 3 2 2 5 2 2 4" xfId="34390" xr:uid="{A6317434-AD6A-4282-8BC3-9333C972AB88}"/>
    <cellStyle name="Normal 5 2 3 2 2 5 2 3" xfId="13292" xr:uid="{16E9DEB3-D7F2-4D9D-8BC1-82B94F7AD32A}"/>
    <cellStyle name="Normal 5 2 3 2 2 5 2 4" xfId="21733" xr:uid="{A0D802B4-D302-4CD9-9048-EA02402A3734}"/>
    <cellStyle name="Normal 5 2 3 2 2 5 2 5" xfId="30173" xr:uid="{ABC7CB2A-C97D-49CC-8EFC-902744C2C22E}"/>
    <cellStyle name="Normal 5 2 3 2 2 5 3" xfId="6038" xr:uid="{00000000-0005-0000-0000-000055180000}"/>
    <cellStyle name="Normal 5 2 3 2 2 5 3 2" xfId="15364" xr:uid="{51A4F38A-35CA-4654-AD05-97EF65863655}"/>
    <cellStyle name="Normal 5 2 3 2 2 5 3 3" xfId="23805" xr:uid="{B29A8A47-99EF-4969-AF3D-A65A6BC3991A}"/>
    <cellStyle name="Normal 5 2 3 2 2 5 3 4" xfId="32245" xr:uid="{667F3C1D-20A8-42B1-984E-99C6A6993CE6}"/>
    <cellStyle name="Normal 5 2 3 2 2 5 4" xfId="11147" xr:uid="{174475CC-1214-475E-8F23-A1E1A84D46B6}"/>
    <cellStyle name="Normal 5 2 3 2 2 5 5" xfId="19588" xr:uid="{FFC2601B-1D51-4F40-A8ED-25271669A810}"/>
    <cellStyle name="Normal 5 2 3 2 2 5 6" xfId="28028" xr:uid="{08D53AF4-1C1E-48D5-B12B-60188C579032}"/>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9C372489-8DCB-4CDF-BBE4-A7672C6B273F}"/>
    <cellStyle name="Normal 5 2 3 2 2 6 2 2 3" xfId="26363" xr:uid="{1BB211F2-5009-418B-97A3-A8DE1A6DDF05}"/>
    <cellStyle name="Normal 5 2 3 2 2 6 2 2 4" xfId="34803" xr:uid="{3E2EFB09-4914-412B-95B6-4E771EE74951}"/>
    <cellStyle name="Normal 5 2 3 2 2 6 2 3" xfId="13705" xr:uid="{067EE4C7-32D9-4561-BBB5-02786643371F}"/>
    <cellStyle name="Normal 5 2 3 2 2 6 2 4" xfId="22146" xr:uid="{27F349BF-9FB5-4263-9E8E-C12A622D229F}"/>
    <cellStyle name="Normal 5 2 3 2 2 6 2 5" xfId="30586" xr:uid="{37BDC3EB-94EC-4158-9EB9-F4ADFE65BE37}"/>
    <cellStyle name="Normal 5 2 3 2 2 6 3" xfId="6451" xr:uid="{00000000-0005-0000-0000-000059180000}"/>
    <cellStyle name="Normal 5 2 3 2 2 6 3 2" xfId="15777" xr:uid="{1B9D87C1-B0EF-4BBE-9FBE-B25191AFD688}"/>
    <cellStyle name="Normal 5 2 3 2 2 6 3 3" xfId="24218" xr:uid="{4758BE6B-0A60-48A5-ABCD-B2BC3AC023AD}"/>
    <cellStyle name="Normal 5 2 3 2 2 6 3 4" xfId="32658" xr:uid="{AF7F88E3-1FF1-4FFE-8BA4-945FE3C8D530}"/>
    <cellStyle name="Normal 5 2 3 2 2 6 4" xfId="11560" xr:uid="{E754A63E-7003-4E84-96D0-454CD3363E78}"/>
    <cellStyle name="Normal 5 2 3 2 2 6 5" xfId="20001" xr:uid="{B6C8716C-9F0D-414F-AF9A-8BC476E4CA5A}"/>
    <cellStyle name="Normal 5 2 3 2 2 6 6" xfId="28441" xr:uid="{67091E20-6456-4414-88F2-57DA30415480}"/>
    <cellStyle name="Normal 5 2 3 2 2 7" xfId="2581" xr:uid="{00000000-0005-0000-0000-00005A180000}"/>
    <cellStyle name="Normal 5 2 3 2 2 7 2" xfId="6864" xr:uid="{00000000-0005-0000-0000-00005B180000}"/>
    <cellStyle name="Normal 5 2 3 2 2 7 2 2" xfId="16190" xr:uid="{67C2E6BA-5939-45C6-80AB-96627EB98AB6}"/>
    <cellStyle name="Normal 5 2 3 2 2 7 2 3" xfId="24631" xr:uid="{C62C81BB-584B-4766-87B7-B29FA44B2397}"/>
    <cellStyle name="Normal 5 2 3 2 2 7 2 4" xfId="33071" xr:uid="{E0FF5104-E378-42AA-B83B-D6A1EA9395E1}"/>
    <cellStyle name="Normal 5 2 3 2 2 7 3" xfId="11973" xr:uid="{0FC21FF7-248A-46D7-9C33-E7723893C505}"/>
    <cellStyle name="Normal 5 2 3 2 2 7 4" xfId="20414" xr:uid="{2C2665EF-8A45-42CF-AF96-B9F30BCD08DE}"/>
    <cellStyle name="Normal 5 2 3 2 2 7 5" xfId="28854" xr:uid="{F7E80314-C9CC-4AEB-9871-7D35A0C7DD5E}"/>
    <cellStyle name="Normal 5 2 3 2 2 8" xfId="4799" xr:uid="{00000000-0005-0000-0000-00005C180000}"/>
    <cellStyle name="Normal 5 2 3 2 2 8 2" xfId="14125" xr:uid="{35D27497-4B9E-4C0D-AF30-34B04BA2650F}"/>
    <cellStyle name="Normal 5 2 3 2 2 8 3" xfId="22566" xr:uid="{976CEB74-E1AC-4A14-B7CC-3C29BD3DCD97}"/>
    <cellStyle name="Normal 5 2 3 2 2 8 4" xfId="31006" xr:uid="{501E1037-7B2C-41D5-8965-19E002667940}"/>
    <cellStyle name="Normal 5 2 3 2 2 9" xfId="8933" xr:uid="{2228AC18-CB51-4AF4-A227-403A8409C6C2}"/>
    <cellStyle name="Normal 5 2 3 2 3" xfId="428" xr:uid="{00000000-0005-0000-0000-00005D180000}"/>
    <cellStyle name="Normal 5 2 3 2 3 10" xfId="18351" xr:uid="{DAC1E6AB-58AC-4F00-9E03-309507805B6B}"/>
    <cellStyle name="Normal 5 2 3 2 3 11" xfId="26791" xr:uid="{D984832D-11F7-4C14-82AE-E1C809E994BB}"/>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F106900D-AB73-40C8-9FE9-7233479FE5C3}"/>
    <cellStyle name="Normal 5 2 3 2 3 2 2 2 3" xfId="25126" xr:uid="{77890B9E-14FF-4FB9-9554-9AA244748E9D}"/>
    <cellStyle name="Normal 5 2 3 2 3 2 2 2 4" xfId="33566" xr:uid="{CAED0934-D1E5-40B4-A177-1981623716B7}"/>
    <cellStyle name="Normal 5 2 3 2 3 2 2 3" xfId="12468" xr:uid="{3EC7A3CE-8E6B-4F98-B639-13CD4C96EE26}"/>
    <cellStyle name="Normal 5 2 3 2 3 2 2 4" xfId="20909" xr:uid="{3CAEBB9E-D6B5-429F-B687-9FBCA886447F}"/>
    <cellStyle name="Normal 5 2 3 2 3 2 2 5" xfId="29349" xr:uid="{F6551EE6-B684-477C-B807-F77C61DFCD18}"/>
    <cellStyle name="Normal 5 2 3 2 3 2 3" xfId="5214" xr:uid="{00000000-0005-0000-0000-000061180000}"/>
    <cellStyle name="Normal 5 2 3 2 3 2 3 2" xfId="14540" xr:uid="{51089E48-C46D-4AC9-87DF-196CAAC54D67}"/>
    <cellStyle name="Normal 5 2 3 2 3 2 3 3" xfId="22981" xr:uid="{91C3F775-8620-4703-86A6-90FD069AF5A0}"/>
    <cellStyle name="Normal 5 2 3 2 3 2 3 4" xfId="31421" xr:uid="{8F319A64-3D0C-4CEA-ABE4-431FC80059BF}"/>
    <cellStyle name="Normal 5 2 3 2 3 2 4" xfId="9462" xr:uid="{B4C14F1A-A88A-428F-A7F8-BAFD7E5CD045}"/>
    <cellStyle name="Normal 5 2 3 2 3 2 5" xfId="10323" xr:uid="{B303F640-33F2-4B8F-9595-80CB7C9FD7B9}"/>
    <cellStyle name="Normal 5 2 3 2 3 2 6" xfId="18764" xr:uid="{FB691B3B-0E21-4EEC-9A00-C6F030A3D374}"/>
    <cellStyle name="Normal 5 2 3 2 3 2 7" xfId="27204" xr:uid="{A78F5AA2-15B6-4958-BFA9-0671A83CC281}"/>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C7D8972B-4ECE-4714-8D3A-506A3BCB9D0B}"/>
    <cellStyle name="Normal 5 2 3 2 3 3 2 2 3" xfId="25539" xr:uid="{4358A2E5-6FC2-4097-8E00-A246C5D60645}"/>
    <cellStyle name="Normal 5 2 3 2 3 3 2 2 4" xfId="33979" xr:uid="{995B1047-EDA3-4063-8635-FEE124A267DE}"/>
    <cellStyle name="Normal 5 2 3 2 3 3 2 3" xfId="12881" xr:uid="{78E3B041-12FF-4066-B583-F42A7686D670}"/>
    <cellStyle name="Normal 5 2 3 2 3 3 2 4" xfId="21322" xr:uid="{5E994F6E-459C-4C24-B77D-ABDD073504E6}"/>
    <cellStyle name="Normal 5 2 3 2 3 3 2 5" xfId="29762" xr:uid="{DC8FF786-C7BA-4F66-A8D4-17EB0A93CAA8}"/>
    <cellStyle name="Normal 5 2 3 2 3 3 3" xfId="5627" xr:uid="{00000000-0005-0000-0000-000065180000}"/>
    <cellStyle name="Normal 5 2 3 2 3 3 3 2" xfId="14953" xr:uid="{D98694F4-B404-45BC-B79C-1CA3E3C3BC49}"/>
    <cellStyle name="Normal 5 2 3 2 3 3 3 3" xfId="23394" xr:uid="{57A6B1BA-E215-4071-9DFB-6AD6979DC23C}"/>
    <cellStyle name="Normal 5 2 3 2 3 3 3 4" xfId="31834" xr:uid="{8D58EDAE-CB94-4BF9-B594-6462EBF07255}"/>
    <cellStyle name="Normal 5 2 3 2 3 3 4" xfId="10736" xr:uid="{50F196CF-2F23-4D6B-AAA7-B4ED2D624325}"/>
    <cellStyle name="Normal 5 2 3 2 3 3 5" xfId="19177" xr:uid="{F0ECC0F5-E9B9-4482-8896-776758F8B4F9}"/>
    <cellStyle name="Normal 5 2 3 2 3 3 6" xfId="27617" xr:uid="{83EAAD5C-ABFB-467A-B12A-88AD933C7886}"/>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8BF9CCA9-CECF-46F3-A50E-083F75A421C8}"/>
    <cellStyle name="Normal 5 2 3 2 3 4 2 2 3" xfId="25952" xr:uid="{015FD7D6-986A-407B-B5DB-DE5BEFCE1171}"/>
    <cellStyle name="Normal 5 2 3 2 3 4 2 2 4" xfId="34392" xr:uid="{E974BA82-4B16-432C-8E18-AF0D9034029F}"/>
    <cellStyle name="Normal 5 2 3 2 3 4 2 3" xfId="13294" xr:uid="{56E0E67C-3758-48C6-9B78-710E65C59764}"/>
    <cellStyle name="Normal 5 2 3 2 3 4 2 4" xfId="21735" xr:uid="{1751EB89-AF36-41B5-8196-DCEFD953511B}"/>
    <cellStyle name="Normal 5 2 3 2 3 4 2 5" xfId="30175" xr:uid="{C96BFB66-F68D-4CA3-9B08-7D390D54B79B}"/>
    <cellStyle name="Normal 5 2 3 2 3 4 3" xfId="6040" xr:uid="{00000000-0005-0000-0000-000069180000}"/>
    <cellStyle name="Normal 5 2 3 2 3 4 3 2" xfId="15366" xr:uid="{4AC80D36-BE21-4371-8DA9-A4391DB51C5E}"/>
    <cellStyle name="Normal 5 2 3 2 3 4 3 3" xfId="23807" xr:uid="{1DD1BDB9-F00F-40C1-B738-39BC9B1CB9F7}"/>
    <cellStyle name="Normal 5 2 3 2 3 4 3 4" xfId="32247" xr:uid="{88CA8AE6-4255-4B4A-BCE9-F61509D7898B}"/>
    <cellStyle name="Normal 5 2 3 2 3 4 4" xfId="11149" xr:uid="{5C803EAC-B7A3-470C-8866-BB77B9369A1B}"/>
    <cellStyle name="Normal 5 2 3 2 3 4 5" xfId="19590" xr:uid="{18EABC5C-0E6F-4D3C-8C66-77F524D4DFD2}"/>
    <cellStyle name="Normal 5 2 3 2 3 4 6" xfId="28030" xr:uid="{88B8E934-5714-42DA-A971-028A3BCB3B9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55A7C554-D6D6-479B-A6CF-1E8C02F51EF0}"/>
    <cellStyle name="Normal 5 2 3 2 3 5 2 2 3" xfId="26365" xr:uid="{F136C98D-63C7-40FE-B183-E3F97CFB42D8}"/>
    <cellStyle name="Normal 5 2 3 2 3 5 2 2 4" xfId="34805" xr:uid="{D66AC930-A217-4C35-A980-2D30152A4AD6}"/>
    <cellStyle name="Normal 5 2 3 2 3 5 2 3" xfId="13707" xr:uid="{592255AA-01F4-42DF-A694-73D727DB424B}"/>
    <cellStyle name="Normal 5 2 3 2 3 5 2 4" xfId="22148" xr:uid="{C6BE9806-DD26-4B8B-98D3-C5DF514B4B0F}"/>
    <cellStyle name="Normal 5 2 3 2 3 5 2 5" xfId="30588" xr:uid="{EB04063B-9A4E-41D6-AF3A-6600A1C203E7}"/>
    <cellStyle name="Normal 5 2 3 2 3 5 3" xfId="6453" xr:uid="{00000000-0005-0000-0000-00006D180000}"/>
    <cellStyle name="Normal 5 2 3 2 3 5 3 2" xfId="15779" xr:uid="{42C27FCD-38E0-4E88-91C4-B68A9558D33E}"/>
    <cellStyle name="Normal 5 2 3 2 3 5 3 3" xfId="24220" xr:uid="{D1091137-326F-48B9-BDCC-8F09DB2BA95C}"/>
    <cellStyle name="Normal 5 2 3 2 3 5 3 4" xfId="32660" xr:uid="{E8919F5F-B090-4AF6-AB2A-0FE3B405CE65}"/>
    <cellStyle name="Normal 5 2 3 2 3 5 4" xfId="11562" xr:uid="{C682B41A-169F-4BB0-8350-854F2AA49893}"/>
    <cellStyle name="Normal 5 2 3 2 3 5 5" xfId="20003" xr:uid="{61D674D9-293C-4395-BA70-2C908A5B4E67}"/>
    <cellStyle name="Normal 5 2 3 2 3 5 6" xfId="28443" xr:uid="{7E86C198-04AA-44F4-BAF1-D794592A2F54}"/>
    <cellStyle name="Normal 5 2 3 2 3 6" xfId="2583" xr:uid="{00000000-0005-0000-0000-00006E180000}"/>
    <cellStyle name="Normal 5 2 3 2 3 6 2" xfId="6866" xr:uid="{00000000-0005-0000-0000-00006F180000}"/>
    <cellStyle name="Normal 5 2 3 2 3 6 2 2" xfId="16192" xr:uid="{E3A7E256-F8D2-46CE-BFA9-8D85342D7F15}"/>
    <cellStyle name="Normal 5 2 3 2 3 6 2 3" xfId="24633" xr:uid="{503E5A4E-22B2-4ED0-BBFB-9E09D78FC361}"/>
    <cellStyle name="Normal 5 2 3 2 3 6 2 4" xfId="33073" xr:uid="{E64418D6-324E-4B4E-B220-2C1226BFCB8D}"/>
    <cellStyle name="Normal 5 2 3 2 3 6 3" xfId="11975" xr:uid="{586D18AC-EC8A-46CA-8A6D-7FFF6DF59DCA}"/>
    <cellStyle name="Normal 5 2 3 2 3 6 4" xfId="20416" xr:uid="{DFB48B15-69C9-493C-8AB2-41FF48C4DB68}"/>
    <cellStyle name="Normal 5 2 3 2 3 6 5" xfId="28856" xr:uid="{462850CD-02B0-40EE-8DC9-44DA463A8ED0}"/>
    <cellStyle name="Normal 5 2 3 2 3 7" xfId="4801" xr:uid="{00000000-0005-0000-0000-000070180000}"/>
    <cellStyle name="Normal 5 2 3 2 3 7 2" xfId="14127" xr:uid="{2381C875-7052-4197-B068-EACEE35D6B49}"/>
    <cellStyle name="Normal 5 2 3 2 3 7 3" xfId="22568" xr:uid="{F6DC9DBA-9839-406A-B511-E37C94B49292}"/>
    <cellStyle name="Normal 5 2 3 2 3 7 4" xfId="31008" xr:uid="{02B5083B-834D-4A4A-9766-649552243804}"/>
    <cellStyle name="Normal 5 2 3 2 3 8" xfId="9037" xr:uid="{EED46D7F-EFCD-4AC1-931D-AB06B694E7BE}"/>
    <cellStyle name="Normal 5 2 3 2 3 9" xfId="9910" xr:uid="{8184B1C0-E2DC-412A-A41A-54C539AA9D1B}"/>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CC9FF289-73C9-4793-A883-0154C763DDA9}"/>
    <cellStyle name="Normal 5 2 3 2 4 2 2 3" xfId="25123" xr:uid="{AF4E3EF3-07D9-488D-9B15-9B30A0AE6171}"/>
    <cellStyle name="Normal 5 2 3 2 4 2 2 4" xfId="33563" xr:uid="{062365CC-C8F0-4010-A655-6AC03BD61508}"/>
    <cellStyle name="Normal 5 2 3 2 4 2 3" xfId="12465" xr:uid="{DCE3A067-9BB7-43F9-BFEA-B3484DD515D9}"/>
    <cellStyle name="Normal 5 2 3 2 4 2 4" xfId="20906" xr:uid="{6F0E4915-96C7-4BC0-B143-37CF540EF565}"/>
    <cellStyle name="Normal 5 2 3 2 4 2 5" xfId="29346" xr:uid="{7A312CD1-663D-4A85-AD9B-8DA4F129A4BF}"/>
    <cellStyle name="Normal 5 2 3 2 4 3" xfId="5211" xr:uid="{00000000-0005-0000-0000-000074180000}"/>
    <cellStyle name="Normal 5 2 3 2 4 3 2" xfId="14537" xr:uid="{CBF90234-1EA2-46F2-A8E5-C61E99A5193E}"/>
    <cellStyle name="Normal 5 2 3 2 4 3 3" xfId="22978" xr:uid="{12C45E7A-25EE-4C4A-985B-4B8F1DDA1ED7}"/>
    <cellStyle name="Normal 5 2 3 2 4 3 4" xfId="31418" xr:uid="{48D04E69-FAEC-4482-A2F5-CBD7EAE80E73}"/>
    <cellStyle name="Normal 5 2 3 2 4 4" xfId="9255" xr:uid="{C5A161BB-6C4F-4A9D-BBA7-7500B0B26A70}"/>
    <cellStyle name="Normal 5 2 3 2 4 5" xfId="10320" xr:uid="{7E7E0D49-FE16-4552-89A5-3902E216B50F}"/>
    <cellStyle name="Normal 5 2 3 2 4 6" xfId="18761" xr:uid="{02EA154A-BF8E-4CD0-8227-53E406823FEC}"/>
    <cellStyle name="Normal 5 2 3 2 4 7" xfId="27201" xr:uid="{BE27A0B3-A910-4131-9756-5B430A208A96}"/>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70B8A488-0269-42B4-9C62-7A3FA3E7CF91}"/>
    <cellStyle name="Normal 5 2 3 2 5 2 2 3" xfId="25536" xr:uid="{8EDB5A67-72D6-49E3-9234-EF9211CC9E72}"/>
    <cellStyle name="Normal 5 2 3 2 5 2 2 4" xfId="33976" xr:uid="{6CEE150F-705A-4E81-89A6-CB6EDCFA7DDD}"/>
    <cellStyle name="Normal 5 2 3 2 5 2 3" xfId="12878" xr:uid="{82480C9D-3CC4-4CE4-8B28-4B3934729D5F}"/>
    <cellStyle name="Normal 5 2 3 2 5 2 4" xfId="21319" xr:uid="{94556605-DF36-49DE-AF2D-D5360FD260A1}"/>
    <cellStyle name="Normal 5 2 3 2 5 2 5" xfId="29759" xr:uid="{F59268AF-709B-43EB-BCEE-8D76FDBFC72E}"/>
    <cellStyle name="Normal 5 2 3 2 5 3" xfId="5624" xr:uid="{00000000-0005-0000-0000-000078180000}"/>
    <cellStyle name="Normal 5 2 3 2 5 3 2" xfId="14950" xr:uid="{6EEC5803-E6EA-4334-939F-2B195BF00798}"/>
    <cellStyle name="Normal 5 2 3 2 5 3 3" xfId="23391" xr:uid="{D31149A0-CAE0-4342-BF51-E9D0B0548DFA}"/>
    <cellStyle name="Normal 5 2 3 2 5 3 4" xfId="31831" xr:uid="{52363CBE-4D24-4D94-A956-638F43A61669}"/>
    <cellStyle name="Normal 5 2 3 2 5 4" xfId="10733" xr:uid="{3328B67D-5588-40C2-A6D1-6EBA947DD1FF}"/>
    <cellStyle name="Normal 5 2 3 2 5 5" xfId="19174" xr:uid="{1A7E405F-1275-4BD4-9488-8E86814BDAE9}"/>
    <cellStyle name="Normal 5 2 3 2 5 6" xfId="27614" xr:uid="{F9AA4B65-6FD3-4714-B536-A322976F9377}"/>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E80F9B7F-8F4F-4637-A7B1-9581296CBC51}"/>
    <cellStyle name="Normal 5 2 3 2 6 2 2 3" xfId="25949" xr:uid="{65B3C9D8-7FD4-4F09-9039-A3EA927A9A9D}"/>
    <cellStyle name="Normal 5 2 3 2 6 2 2 4" xfId="34389" xr:uid="{15F94F91-EE1F-4154-987C-0B7B45707019}"/>
    <cellStyle name="Normal 5 2 3 2 6 2 3" xfId="13291" xr:uid="{D80449CA-34E7-45A5-BB6F-364772EEE58A}"/>
    <cellStyle name="Normal 5 2 3 2 6 2 4" xfId="21732" xr:uid="{111228DC-321D-411F-B090-F5EC43C542D5}"/>
    <cellStyle name="Normal 5 2 3 2 6 2 5" xfId="30172" xr:uid="{BBF4300F-BFDC-41C8-86A8-2F82DD76AFA4}"/>
    <cellStyle name="Normal 5 2 3 2 6 3" xfId="6037" xr:uid="{00000000-0005-0000-0000-00007C180000}"/>
    <cellStyle name="Normal 5 2 3 2 6 3 2" xfId="15363" xr:uid="{548F11FB-6714-4871-AAB8-AFF27D877B56}"/>
    <cellStyle name="Normal 5 2 3 2 6 3 3" xfId="23804" xr:uid="{FF6C631D-3FAD-4227-8A23-7B5186A3C668}"/>
    <cellStyle name="Normal 5 2 3 2 6 3 4" xfId="32244" xr:uid="{3C255AB7-C0E0-445D-9D98-917530E9DD03}"/>
    <cellStyle name="Normal 5 2 3 2 6 4" xfId="11146" xr:uid="{9FC43CEB-359C-4E0B-82ED-2AE17EB76CD3}"/>
    <cellStyle name="Normal 5 2 3 2 6 5" xfId="19587" xr:uid="{25FBA638-0C77-4A8F-B45C-A8B2B2A53F35}"/>
    <cellStyle name="Normal 5 2 3 2 6 6" xfId="28027" xr:uid="{4ABB8FA4-3CD7-42E3-8295-6471F1305104}"/>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A15C1AE4-6A8A-4BA5-9176-5CB6CFD08EDF}"/>
    <cellStyle name="Normal 5 2 3 2 7 2 2 3" xfId="26362" xr:uid="{7FA910B3-EFAF-4A19-98D2-0928B74C6FF1}"/>
    <cellStyle name="Normal 5 2 3 2 7 2 2 4" xfId="34802" xr:uid="{51020D19-F5CA-42D6-8607-6BB2525733FE}"/>
    <cellStyle name="Normal 5 2 3 2 7 2 3" xfId="13704" xr:uid="{279E5D66-59E0-471D-960C-48D85EC348B3}"/>
    <cellStyle name="Normal 5 2 3 2 7 2 4" xfId="22145" xr:uid="{F3953F45-9F99-4432-8847-46A0CD1AE6DE}"/>
    <cellStyle name="Normal 5 2 3 2 7 2 5" xfId="30585" xr:uid="{E85F8F4A-52FE-4ACE-A22C-9B26308D9F53}"/>
    <cellStyle name="Normal 5 2 3 2 7 3" xfId="6450" xr:uid="{00000000-0005-0000-0000-000080180000}"/>
    <cellStyle name="Normal 5 2 3 2 7 3 2" xfId="15776" xr:uid="{235E69AD-E828-4D65-BE51-2AA6D9270E9B}"/>
    <cellStyle name="Normal 5 2 3 2 7 3 3" xfId="24217" xr:uid="{CAF175B9-F389-443E-9A25-0210FB3BE809}"/>
    <cellStyle name="Normal 5 2 3 2 7 3 4" xfId="32657" xr:uid="{548E5D7D-2D69-4FDF-AC3A-FF9F516308C6}"/>
    <cellStyle name="Normal 5 2 3 2 7 4" xfId="11559" xr:uid="{5AA64D00-BC35-412E-B835-64265B7CDB66}"/>
    <cellStyle name="Normal 5 2 3 2 7 5" xfId="20000" xr:uid="{4D17E101-D751-4873-B32D-1E9DE7D4B0F6}"/>
    <cellStyle name="Normal 5 2 3 2 7 6" xfId="28440" xr:uid="{D2593447-1F0C-4CEC-A2E7-ADE46A3D9844}"/>
    <cellStyle name="Normal 5 2 3 2 8" xfId="2580" xr:uid="{00000000-0005-0000-0000-000081180000}"/>
    <cellStyle name="Normal 5 2 3 2 8 2" xfId="6863" xr:uid="{00000000-0005-0000-0000-000082180000}"/>
    <cellStyle name="Normal 5 2 3 2 8 2 2" xfId="16189" xr:uid="{AA2267E1-11C1-4AA4-A454-D446FDE7D229}"/>
    <cellStyle name="Normal 5 2 3 2 8 2 3" xfId="24630" xr:uid="{88D23254-CA9D-4F67-9B66-5FABAA08F626}"/>
    <cellStyle name="Normal 5 2 3 2 8 2 4" xfId="33070" xr:uid="{B3362CBD-8D74-42BC-B4A0-03A3C0600EA5}"/>
    <cellStyle name="Normal 5 2 3 2 8 3" xfId="11972" xr:uid="{9C0C7B08-A2B7-4E70-9A1A-9AEA5B3C941D}"/>
    <cellStyle name="Normal 5 2 3 2 8 4" xfId="20413" xr:uid="{34CBE713-DF3F-473C-9FB5-5E9BF4B5E19D}"/>
    <cellStyle name="Normal 5 2 3 2 8 5" xfId="28853" xr:uid="{624E98E5-011F-4055-A93C-8F11B660D2D5}"/>
    <cellStyle name="Normal 5 2 3 2 9" xfId="4798" xr:uid="{00000000-0005-0000-0000-000083180000}"/>
    <cellStyle name="Normal 5 2 3 2 9 2" xfId="14124" xr:uid="{A7F35AFD-B4D4-4BA6-BCBE-5971C84DA36D}"/>
    <cellStyle name="Normal 5 2 3 2 9 3" xfId="22565" xr:uid="{827B2B36-1F96-4F40-9334-09010A299625}"/>
    <cellStyle name="Normal 5 2 3 2 9 4" xfId="31005" xr:uid="{3083F874-E472-42BE-8362-236D703282A1}"/>
    <cellStyle name="Normal 5 2 3 3" xfId="429" xr:uid="{00000000-0005-0000-0000-000084180000}"/>
    <cellStyle name="Normal 5 2 3 3 10" xfId="9911" xr:uid="{98577003-3683-4849-8EE1-D92A22BC5DE0}"/>
    <cellStyle name="Normal 5 2 3 3 11" xfId="18352" xr:uid="{E277344C-E117-4F73-B6EC-C268EE7F84F8}"/>
    <cellStyle name="Normal 5 2 3 3 12" xfId="26792" xr:uid="{D1D5BF2D-13D2-4268-951E-F7AC3E484E9A}"/>
    <cellStyle name="Normal 5 2 3 3 2" xfId="430" xr:uid="{00000000-0005-0000-0000-000085180000}"/>
    <cellStyle name="Normal 5 2 3 3 2 10" xfId="18353" xr:uid="{DB14AA9F-C29A-46D1-8A24-16BE8147ED59}"/>
    <cellStyle name="Normal 5 2 3 3 2 11" xfId="26793" xr:uid="{14959404-8861-44D6-9B95-6785663F6DE8}"/>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0D261D79-1E7D-45DB-87E2-77E46C6CACF3}"/>
    <cellStyle name="Normal 5 2 3 3 2 2 2 2 3" xfId="25128" xr:uid="{DEA01B4E-9281-4614-8300-B91FBB807548}"/>
    <cellStyle name="Normal 5 2 3 3 2 2 2 2 4" xfId="33568" xr:uid="{6FAB1511-C797-46F5-9E6B-258A0CFC4B31}"/>
    <cellStyle name="Normal 5 2 3 3 2 2 2 3" xfId="12470" xr:uid="{79C95592-9A42-4824-84CD-DC1B0F1391D0}"/>
    <cellStyle name="Normal 5 2 3 3 2 2 2 4" xfId="20911" xr:uid="{8C5B9C28-DA14-4C5F-8D34-BE0530C70799}"/>
    <cellStyle name="Normal 5 2 3 3 2 2 2 5" xfId="29351" xr:uid="{929EC682-F28D-40C6-8DB0-3184E32AB737}"/>
    <cellStyle name="Normal 5 2 3 3 2 2 3" xfId="5216" xr:uid="{00000000-0005-0000-0000-000089180000}"/>
    <cellStyle name="Normal 5 2 3 3 2 2 3 2" xfId="14542" xr:uid="{5C0D2F6D-3EEF-4915-BE57-440E255AF85E}"/>
    <cellStyle name="Normal 5 2 3 3 2 2 3 3" xfId="22983" xr:uid="{B49646AB-692B-4AA4-ADD2-B8A4AF63BEF7}"/>
    <cellStyle name="Normal 5 2 3 3 2 2 3 4" xfId="31423" xr:uid="{49AE41E5-8F3D-4E55-AD7D-16A1CBD6251F}"/>
    <cellStyle name="Normal 5 2 3 3 2 2 4" xfId="9511" xr:uid="{75EF02F8-0397-4B30-A858-343ADCA7C08D}"/>
    <cellStyle name="Normal 5 2 3 3 2 2 5" xfId="10325" xr:uid="{A34D49DE-11EB-4CE9-9196-C1E3C7A8BA5E}"/>
    <cellStyle name="Normal 5 2 3 3 2 2 6" xfId="18766" xr:uid="{8F25460D-43F0-451C-9793-60B815AFFAD9}"/>
    <cellStyle name="Normal 5 2 3 3 2 2 7" xfId="27206" xr:uid="{E9B75B2B-8122-4B34-B6EE-5BB0ECC3666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D878636B-7B2E-4346-A71B-B08D1D32BA16}"/>
    <cellStyle name="Normal 5 2 3 3 2 3 2 2 3" xfId="25541" xr:uid="{AC34D24C-CF82-4510-A690-7966B762F382}"/>
    <cellStyle name="Normal 5 2 3 3 2 3 2 2 4" xfId="33981" xr:uid="{04F93863-2825-40ED-A200-23FD4B3CFDB3}"/>
    <cellStyle name="Normal 5 2 3 3 2 3 2 3" xfId="12883" xr:uid="{500B6157-9796-4B81-9194-3CE642A91708}"/>
    <cellStyle name="Normal 5 2 3 3 2 3 2 4" xfId="21324" xr:uid="{5E79A949-5299-4049-9DD9-C1FF6101ABF7}"/>
    <cellStyle name="Normal 5 2 3 3 2 3 2 5" xfId="29764" xr:uid="{E1A051A1-64D9-4423-8B59-2C2D3F30878D}"/>
    <cellStyle name="Normal 5 2 3 3 2 3 3" xfId="5629" xr:uid="{00000000-0005-0000-0000-00008D180000}"/>
    <cellStyle name="Normal 5 2 3 3 2 3 3 2" xfId="14955" xr:uid="{E78189D5-3592-406D-8E01-EAF94F239DAE}"/>
    <cellStyle name="Normal 5 2 3 3 2 3 3 3" xfId="23396" xr:uid="{E7B4CA9F-7AB5-43BF-BB0F-198D3AB220A0}"/>
    <cellStyle name="Normal 5 2 3 3 2 3 3 4" xfId="31836" xr:uid="{D42016BB-C450-4657-9396-31FE7123DA00}"/>
    <cellStyle name="Normal 5 2 3 3 2 3 4" xfId="10738" xr:uid="{5325D565-750D-4224-BE45-FE21C1C6B925}"/>
    <cellStyle name="Normal 5 2 3 3 2 3 5" xfId="19179" xr:uid="{BB35E76C-CD38-47B5-94FA-C8A0A310780F}"/>
    <cellStyle name="Normal 5 2 3 3 2 3 6" xfId="27619" xr:uid="{1658C4CA-1C5C-4EE8-B5B9-9455F89712DF}"/>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3CA02607-4F9B-403F-BB62-13AB8D1831E8}"/>
    <cellStyle name="Normal 5 2 3 3 2 4 2 2 3" xfId="25954" xr:uid="{A1763DBC-55D0-460D-8B01-66846D2A47C4}"/>
    <cellStyle name="Normal 5 2 3 3 2 4 2 2 4" xfId="34394" xr:uid="{C474A615-FF10-480C-9510-A454E70F561B}"/>
    <cellStyle name="Normal 5 2 3 3 2 4 2 3" xfId="13296" xr:uid="{7B8A4A9F-098C-4AA2-A4E6-E16CE225BE3D}"/>
    <cellStyle name="Normal 5 2 3 3 2 4 2 4" xfId="21737" xr:uid="{FD4A0DA4-F2EF-4854-B4B6-60A6FC4C19D2}"/>
    <cellStyle name="Normal 5 2 3 3 2 4 2 5" xfId="30177" xr:uid="{3CFA8D2B-BFC5-4336-B398-7814CC1E53D5}"/>
    <cellStyle name="Normal 5 2 3 3 2 4 3" xfId="6042" xr:uid="{00000000-0005-0000-0000-000091180000}"/>
    <cellStyle name="Normal 5 2 3 3 2 4 3 2" xfId="15368" xr:uid="{CC99726E-7884-4D84-BD67-146BF7E5D61A}"/>
    <cellStyle name="Normal 5 2 3 3 2 4 3 3" xfId="23809" xr:uid="{077C915F-62EA-4EA6-9563-9C070218FCFE}"/>
    <cellStyle name="Normal 5 2 3 3 2 4 3 4" xfId="32249" xr:uid="{CD9D68A9-7FB7-405C-B074-0D8002132040}"/>
    <cellStyle name="Normal 5 2 3 3 2 4 4" xfId="11151" xr:uid="{D0925CDF-53EC-413B-9058-48FB4AFDE352}"/>
    <cellStyle name="Normal 5 2 3 3 2 4 5" xfId="19592" xr:uid="{9DD702F1-1642-414D-8577-7041D47AB913}"/>
    <cellStyle name="Normal 5 2 3 3 2 4 6" xfId="28032" xr:uid="{F2C8D628-9A75-4AFC-A3B5-0D20B53D646C}"/>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F9D3C7A2-B21E-45E4-808D-DD295F9F431E}"/>
    <cellStyle name="Normal 5 2 3 3 2 5 2 2 3" xfId="26367" xr:uid="{89E0D237-B847-49B7-905E-FB570E3DC624}"/>
    <cellStyle name="Normal 5 2 3 3 2 5 2 2 4" xfId="34807" xr:uid="{7F00717D-050C-4BAD-8335-9D40536A3C69}"/>
    <cellStyle name="Normal 5 2 3 3 2 5 2 3" xfId="13709" xr:uid="{DEEAE72B-D7F8-446E-A671-A81E41DF2946}"/>
    <cellStyle name="Normal 5 2 3 3 2 5 2 4" xfId="22150" xr:uid="{C330E1FA-B8CF-4A00-8585-5EEB4A099A7C}"/>
    <cellStyle name="Normal 5 2 3 3 2 5 2 5" xfId="30590" xr:uid="{D8CC2089-6819-47F0-ADE1-CE3E3FF905BB}"/>
    <cellStyle name="Normal 5 2 3 3 2 5 3" xfId="6455" xr:uid="{00000000-0005-0000-0000-000095180000}"/>
    <cellStyle name="Normal 5 2 3 3 2 5 3 2" xfId="15781" xr:uid="{DA2724A1-AEE9-4093-A43F-C8498A08632B}"/>
    <cellStyle name="Normal 5 2 3 3 2 5 3 3" xfId="24222" xr:uid="{DC0C7E23-A32A-47B3-AC11-E1F42DFC7B46}"/>
    <cellStyle name="Normal 5 2 3 3 2 5 3 4" xfId="32662" xr:uid="{991437D3-D9F8-4249-B078-CFF992ED0701}"/>
    <cellStyle name="Normal 5 2 3 3 2 5 4" xfId="11564" xr:uid="{EB3F94D6-4DA4-4AA5-BE6F-BD773E13C60B}"/>
    <cellStyle name="Normal 5 2 3 3 2 5 5" xfId="20005" xr:uid="{075E6641-B1EF-4229-95D0-26F45EDE7AEE}"/>
    <cellStyle name="Normal 5 2 3 3 2 5 6" xfId="28445" xr:uid="{9336EA60-F683-4093-97D6-626781CF076B}"/>
    <cellStyle name="Normal 5 2 3 3 2 6" xfId="2585" xr:uid="{00000000-0005-0000-0000-000096180000}"/>
    <cellStyle name="Normal 5 2 3 3 2 6 2" xfId="6868" xr:uid="{00000000-0005-0000-0000-000097180000}"/>
    <cellStyle name="Normal 5 2 3 3 2 6 2 2" xfId="16194" xr:uid="{163317E8-5F61-4CE3-A56F-265B1969D566}"/>
    <cellStyle name="Normal 5 2 3 3 2 6 2 3" xfId="24635" xr:uid="{1CC926EE-937B-43F7-9068-8C68A79216A0}"/>
    <cellStyle name="Normal 5 2 3 3 2 6 2 4" xfId="33075" xr:uid="{DC4D31C9-DD7B-4C04-AB54-9ED33C24A1CB}"/>
    <cellStyle name="Normal 5 2 3 3 2 6 3" xfId="11977" xr:uid="{DA81A5F8-939C-445A-8D5F-D8EFC3EC772F}"/>
    <cellStyle name="Normal 5 2 3 3 2 6 4" xfId="20418" xr:uid="{9ECE8A3E-4B91-4275-AD7B-FD0860B97A5E}"/>
    <cellStyle name="Normal 5 2 3 3 2 6 5" xfId="28858" xr:uid="{DAB8AFBF-0FF3-4268-90ED-6E76405B0D5B}"/>
    <cellStyle name="Normal 5 2 3 3 2 7" xfId="4803" xr:uid="{00000000-0005-0000-0000-000098180000}"/>
    <cellStyle name="Normal 5 2 3 3 2 7 2" xfId="14129" xr:uid="{2B1289BE-94AD-42F4-B62B-A8E6E4F8C395}"/>
    <cellStyle name="Normal 5 2 3 3 2 7 3" xfId="22570" xr:uid="{7EB8C072-097E-42F2-821F-47F25EFA7934}"/>
    <cellStyle name="Normal 5 2 3 3 2 7 4" xfId="31010" xr:uid="{CC6A80CB-C7F3-48E9-BF2F-ADDDCC432E7A}"/>
    <cellStyle name="Normal 5 2 3 3 2 8" xfId="9086" xr:uid="{442E5F61-F00C-4774-822F-4985AB3E1CB7}"/>
    <cellStyle name="Normal 5 2 3 3 2 9" xfId="9912" xr:uid="{FEBBF939-2597-4A48-A79F-61E9071043E8}"/>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82C77E99-FA83-4DC2-BEF8-0B02E6A5E96B}"/>
    <cellStyle name="Normal 5 2 3 3 3 2 2 3" xfId="25127" xr:uid="{A8FAC79C-AA00-4AC9-8204-BD17D01AADAE}"/>
    <cellStyle name="Normal 5 2 3 3 3 2 2 4" xfId="33567" xr:uid="{A0CC0DF8-8516-486A-951B-80BD3C9F9C87}"/>
    <cellStyle name="Normal 5 2 3 3 3 2 3" xfId="12469" xr:uid="{8CC2F797-3EE0-4D89-9F85-9998BEE6F808}"/>
    <cellStyle name="Normal 5 2 3 3 3 2 4" xfId="20910" xr:uid="{D4ED28FB-5195-42CE-828D-069C183F8E41}"/>
    <cellStyle name="Normal 5 2 3 3 3 2 5" xfId="29350" xr:uid="{DF1F0490-0F37-451D-B745-0F37141D0099}"/>
    <cellStyle name="Normal 5 2 3 3 3 3" xfId="5215" xr:uid="{00000000-0005-0000-0000-00009C180000}"/>
    <cellStyle name="Normal 5 2 3 3 3 3 2" xfId="14541" xr:uid="{75BBCB95-0864-4423-ADB2-41FC428023A2}"/>
    <cellStyle name="Normal 5 2 3 3 3 3 3" xfId="22982" xr:uid="{E58E63E7-125B-485D-9625-29BC622234F5}"/>
    <cellStyle name="Normal 5 2 3 3 3 3 4" xfId="31422" xr:uid="{A138E4F1-0ACE-46A1-9A0E-6A3DCDDA470B}"/>
    <cellStyle name="Normal 5 2 3 3 3 4" xfId="9304" xr:uid="{2C783A77-F32A-4E64-807E-062B95DB0310}"/>
    <cellStyle name="Normal 5 2 3 3 3 5" xfId="10324" xr:uid="{241D48CA-0364-424D-B40D-F01D18EFF888}"/>
    <cellStyle name="Normal 5 2 3 3 3 6" xfId="18765" xr:uid="{1F21105A-6E42-4B72-B9FA-9BDB96A15B5B}"/>
    <cellStyle name="Normal 5 2 3 3 3 7" xfId="27205" xr:uid="{FBD078AC-C9FD-412A-BECA-B0373150FAC8}"/>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C324D671-F9C8-4FCA-B8C4-900878365873}"/>
    <cellStyle name="Normal 5 2 3 3 4 2 2 3" xfId="25540" xr:uid="{7EEDE1DF-C53E-4279-A79A-A7A476868652}"/>
    <cellStyle name="Normal 5 2 3 3 4 2 2 4" xfId="33980" xr:uid="{C0F6B549-737F-4D24-AE2E-9DA338C404D1}"/>
    <cellStyle name="Normal 5 2 3 3 4 2 3" xfId="12882" xr:uid="{B635ED2B-E3FB-4551-8645-1DB6063F99F1}"/>
    <cellStyle name="Normal 5 2 3 3 4 2 4" xfId="21323" xr:uid="{31FB6EDD-4A59-4C0E-9A37-7896F5E242BC}"/>
    <cellStyle name="Normal 5 2 3 3 4 2 5" xfId="29763" xr:uid="{C64756BE-8CD3-413C-B5FA-7706F3F520D3}"/>
    <cellStyle name="Normal 5 2 3 3 4 3" xfId="5628" xr:uid="{00000000-0005-0000-0000-0000A0180000}"/>
    <cellStyle name="Normal 5 2 3 3 4 3 2" xfId="14954" xr:uid="{00A5A5F7-6AF9-46AC-832F-5FDD0A980EEA}"/>
    <cellStyle name="Normal 5 2 3 3 4 3 3" xfId="23395" xr:uid="{71F20660-4C9D-431A-87B2-2F06A8C0754D}"/>
    <cellStyle name="Normal 5 2 3 3 4 3 4" xfId="31835" xr:uid="{F87E3F0D-A3B5-4C5B-92E2-1B6E81071F00}"/>
    <cellStyle name="Normal 5 2 3 3 4 4" xfId="10737" xr:uid="{B68C3851-865C-4A60-8007-24A01A5F0600}"/>
    <cellStyle name="Normal 5 2 3 3 4 5" xfId="19178" xr:uid="{AC6BBB1D-53F7-4E0C-AEEF-244A3A2860BA}"/>
    <cellStyle name="Normal 5 2 3 3 4 6" xfId="27618" xr:uid="{5B12EB52-7E1D-4446-B9FA-BE471CB720B2}"/>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ED64B747-5CCF-4673-BBD0-B8AAD834F3F5}"/>
    <cellStyle name="Normal 5 2 3 3 5 2 2 3" xfId="25953" xr:uid="{998BF83D-2682-4AD5-AACC-98DA9B871BE1}"/>
    <cellStyle name="Normal 5 2 3 3 5 2 2 4" xfId="34393" xr:uid="{2597C1B2-DBE3-43F1-86C7-4B0211678BEC}"/>
    <cellStyle name="Normal 5 2 3 3 5 2 3" xfId="13295" xr:uid="{0FDAF73B-6DA9-4216-8A0C-FA1A039C1D71}"/>
    <cellStyle name="Normal 5 2 3 3 5 2 4" xfId="21736" xr:uid="{05D0B84B-218D-4DC2-A6C0-50209CF8CFA9}"/>
    <cellStyle name="Normal 5 2 3 3 5 2 5" xfId="30176" xr:uid="{9530C952-20DD-4C31-96BF-597FC3BACDE4}"/>
    <cellStyle name="Normal 5 2 3 3 5 3" xfId="6041" xr:uid="{00000000-0005-0000-0000-0000A4180000}"/>
    <cellStyle name="Normal 5 2 3 3 5 3 2" xfId="15367" xr:uid="{0FD15B66-9FD0-4C27-8496-71342976BE0A}"/>
    <cellStyle name="Normal 5 2 3 3 5 3 3" xfId="23808" xr:uid="{C02BF192-6B31-4320-8748-2F7C23652EFB}"/>
    <cellStyle name="Normal 5 2 3 3 5 3 4" xfId="32248" xr:uid="{B2CA37BE-2FB8-4704-AFAE-ED58E851C890}"/>
    <cellStyle name="Normal 5 2 3 3 5 4" xfId="11150" xr:uid="{4F0ADFE4-4124-468A-9558-4FCC2220FC4A}"/>
    <cellStyle name="Normal 5 2 3 3 5 5" xfId="19591" xr:uid="{87062C98-328A-4FEA-A364-151FA36F7632}"/>
    <cellStyle name="Normal 5 2 3 3 5 6" xfId="28031" xr:uid="{0BEF8105-CEF4-459D-8B46-D64098BD93E0}"/>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8F0A13C4-C519-4752-AE9D-4C82C5EC9EE1}"/>
    <cellStyle name="Normal 5 2 3 3 6 2 2 3" xfId="26366" xr:uid="{14832F24-E4FF-412D-8CE7-8BD12699AA6D}"/>
    <cellStyle name="Normal 5 2 3 3 6 2 2 4" xfId="34806" xr:uid="{10F1DC33-CF5C-4F58-9F1B-FC36A9AD1F17}"/>
    <cellStyle name="Normal 5 2 3 3 6 2 3" xfId="13708" xr:uid="{44430450-C5EA-4B59-BE21-12673250759C}"/>
    <cellStyle name="Normal 5 2 3 3 6 2 4" xfId="22149" xr:uid="{264030A7-5E4D-4A6A-8FF3-021EA89F589C}"/>
    <cellStyle name="Normal 5 2 3 3 6 2 5" xfId="30589" xr:uid="{49FCC444-B853-4823-96D2-46BF7E4E05EB}"/>
    <cellStyle name="Normal 5 2 3 3 6 3" xfId="6454" xr:uid="{00000000-0005-0000-0000-0000A8180000}"/>
    <cellStyle name="Normal 5 2 3 3 6 3 2" xfId="15780" xr:uid="{0ABFFB91-B267-4C80-873B-1B2EC2663A2B}"/>
    <cellStyle name="Normal 5 2 3 3 6 3 3" xfId="24221" xr:uid="{87A74943-2022-41FA-818D-D6047A932D3A}"/>
    <cellStyle name="Normal 5 2 3 3 6 3 4" xfId="32661" xr:uid="{A1B83FC3-2AAB-4071-91C7-2FA32FEC62D9}"/>
    <cellStyle name="Normal 5 2 3 3 6 4" xfId="11563" xr:uid="{2D3117E7-9086-4711-B1C8-AAEB9AEE7E3D}"/>
    <cellStyle name="Normal 5 2 3 3 6 5" xfId="20004" xr:uid="{50C294FD-3D55-4D75-9DAC-5B1BB4307327}"/>
    <cellStyle name="Normal 5 2 3 3 6 6" xfId="28444" xr:uid="{1BCD96D6-1D9D-4F40-86FE-E65CA5CF9292}"/>
    <cellStyle name="Normal 5 2 3 3 7" xfId="2584" xr:uid="{00000000-0005-0000-0000-0000A9180000}"/>
    <cellStyle name="Normal 5 2 3 3 7 2" xfId="6867" xr:uid="{00000000-0005-0000-0000-0000AA180000}"/>
    <cellStyle name="Normal 5 2 3 3 7 2 2" xfId="16193" xr:uid="{72D7ADA2-AD9C-4352-8F02-541EB1783D46}"/>
    <cellStyle name="Normal 5 2 3 3 7 2 3" xfId="24634" xr:uid="{BA3B83CB-C415-4F87-9BA4-2FC6AA4B28FD}"/>
    <cellStyle name="Normal 5 2 3 3 7 2 4" xfId="33074" xr:uid="{976C3524-8701-4326-8B32-DBF7A6AC0F69}"/>
    <cellStyle name="Normal 5 2 3 3 7 3" xfId="11976" xr:uid="{421F7900-BFC4-4D7E-BE95-92E2336A581E}"/>
    <cellStyle name="Normal 5 2 3 3 7 4" xfId="20417" xr:uid="{BA3D989C-0278-4603-82CF-0301DC9F5CDA}"/>
    <cellStyle name="Normal 5 2 3 3 7 5" xfId="28857" xr:uid="{407CBF44-C25B-4AD2-8193-4BA779B218E8}"/>
    <cellStyle name="Normal 5 2 3 3 8" xfId="4802" xr:uid="{00000000-0005-0000-0000-0000AB180000}"/>
    <cellStyle name="Normal 5 2 3 3 8 2" xfId="14128" xr:uid="{2B5B619F-526A-47DA-AF24-9A895E2064F3}"/>
    <cellStyle name="Normal 5 2 3 3 8 3" xfId="22569" xr:uid="{234A69F0-C411-4AA2-9D82-74F58542E634}"/>
    <cellStyle name="Normal 5 2 3 3 8 4" xfId="31009" xr:uid="{27FFF40F-0472-45B2-94EE-2E24CBDB9948}"/>
    <cellStyle name="Normal 5 2 3 3 9" xfId="8879" xr:uid="{F521005C-E3E0-4B64-9C0A-0C510FB9AAB2}"/>
    <cellStyle name="Normal 5 2 3 4" xfId="431" xr:uid="{00000000-0005-0000-0000-0000AC180000}"/>
    <cellStyle name="Normal 5 2 3 4 10" xfId="18354" xr:uid="{E97868C5-FB8A-40D4-B57C-0C1411A2CB82}"/>
    <cellStyle name="Normal 5 2 3 4 11" xfId="26794" xr:uid="{7D4B8E94-86AC-4F4D-98B2-142EBF5032A9}"/>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B72D1CF6-2C28-44C6-B19A-29B96AE85B4A}"/>
    <cellStyle name="Normal 5 2 3 4 2 2 2 3" xfId="25129" xr:uid="{AA3A19B5-EF21-4A85-B518-2BC04414F434}"/>
    <cellStyle name="Normal 5 2 3 4 2 2 2 4" xfId="33569" xr:uid="{0AEB36A7-15B2-42F7-AD2A-D0144B8521B1}"/>
    <cellStyle name="Normal 5 2 3 4 2 2 3" xfId="12471" xr:uid="{EB54DB14-6AA8-419C-8212-B50F7E80AABC}"/>
    <cellStyle name="Normal 5 2 3 4 2 2 4" xfId="20912" xr:uid="{0AC72009-673F-4919-BA65-9B9298BDA05C}"/>
    <cellStyle name="Normal 5 2 3 4 2 2 5" xfId="29352" xr:uid="{CB8ADDB7-8C9D-4BD2-91E3-54EE80E2EF7F}"/>
    <cellStyle name="Normal 5 2 3 4 2 3" xfId="5217" xr:uid="{00000000-0005-0000-0000-0000B0180000}"/>
    <cellStyle name="Normal 5 2 3 4 2 3 2" xfId="14543" xr:uid="{95335157-5856-44BE-BCED-C48A14DEE142}"/>
    <cellStyle name="Normal 5 2 3 4 2 3 3" xfId="22984" xr:uid="{0C9E9322-B545-432F-86F3-9982EB795977}"/>
    <cellStyle name="Normal 5 2 3 4 2 3 4" xfId="31424" xr:uid="{C42209DC-8984-4F3B-8765-024AE691070F}"/>
    <cellStyle name="Normal 5 2 3 4 2 4" xfId="9408" xr:uid="{3B6F9C6F-3D7C-45F8-99FE-451C0F8CED36}"/>
    <cellStyle name="Normal 5 2 3 4 2 5" xfId="10326" xr:uid="{ACDB3A9A-5510-44D6-969D-0FB433190B34}"/>
    <cellStyle name="Normal 5 2 3 4 2 6" xfId="18767" xr:uid="{223D108F-9524-4EFD-AE33-CC0BB38D8DE4}"/>
    <cellStyle name="Normal 5 2 3 4 2 7" xfId="27207" xr:uid="{A6563F56-9A4C-4A39-BE27-8A699E629A6C}"/>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E7035FFE-0D04-473A-A3B5-8086ABAB5BD9}"/>
    <cellStyle name="Normal 5 2 3 4 3 2 2 3" xfId="25542" xr:uid="{E66CC772-5BE1-49CA-992B-B50E9661EFA7}"/>
    <cellStyle name="Normal 5 2 3 4 3 2 2 4" xfId="33982" xr:uid="{A50716C9-B844-4D68-A988-40CBB2919DFB}"/>
    <cellStyle name="Normal 5 2 3 4 3 2 3" xfId="12884" xr:uid="{F5C3E280-313B-4FDF-AC91-25D79F0F59F7}"/>
    <cellStyle name="Normal 5 2 3 4 3 2 4" xfId="21325" xr:uid="{ECDF5FBB-F345-4F36-9650-B469BDE85394}"/>
    <cellStyle name="Normal 5 2 3 4 3 2 5" xfId="29765" xr:uid="{9EA84D40-75AD-4C66-918A-2306FF4CF1DA}"/>
    <cellStyle name="Normal 5 2 3 4 3 3" xfId="5630" xr:uid="{00000000-0005-0000-0000-0000B4180000}"/>
    <cellStyle name="Normal 5 2 3 4 3 3 2" xfId="14956" xr:uid="{E30B926C-E753-4B08-AF17-6EA17257854E}"/>
    <cellStyle name="Normal 5 2 3 4 3 3 3" xfId="23397" xr:uid="{4DD03346-3656-468D-AA8A-FD93F27C9424}"/>
    <cellStyle name="Normal 5 2 3 4 3 3 4" xfId="31837" xr:uid="{FDE54810-7233-410B-933D-1DE2FD9E4271}"/>
    <cellStyle name="Normal 5 2 3 4 3 4" xfId="10739" xr:uid="{485714E4-FAAB-4921-9981-EBDC125D5049}"/>
    <cellStyle name="Normal 5 2 3 4 3 5" xfId="19180" xr:uid="{73037812-49C1-4213-9C02-8A9C400F8926}"/>
    <cellStyle name="Normal 5 2 3 4 3 6" xfId="27620" xr:uid="{B30B287C-D598-4D87-A636-E27FA9F1714A}"/>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7F84B98F-7818-45D5-9118-FAC8CFAC5D61}"/>
    <cellStyle name="Normal 5 2 3 4 4 2 2 3" xfId="25955" xr:uid="{B0D926C0-45FD-46DB-9F20-9095C0C27DBC}"/>
    <cellStyle name="Normal 5 2 3 4 4 2 2 4" xfId="34395" xr:uid="{706201CF-3162-46AF-AC37-5F96C5ED5393}"/>
    <cellStyle name="Normal 5 2 3 4 4 2 3" xfId="13297" xr:uid="{38F7D095-A894-4637-BB78-95770692F58A}"/>
    <cellStyle name="Normal 5 2 3 4 4 2 4" xfId="21738" xr:uid="{E1170C4C-E44F-43D3-89E6-70C5C4EC5F51}"/>
    <cellStyle name="Normal 5 2 3 4 4 2 5" xfId="30178" xr:uid="{2CB60CBF-6755-4BB9-91A0-2A0677C81BA3}"/>
    <cellStyle name="Normal 5 2 3 4 4 3" xfId="6043" xr:uid="{00000000-0005-0000-0000-0000B8180000}"/>
    <cellStyle name="Normal 5 2 3 4 4 3 2" xfId="15369" xr:uid="{D46FD1D9-424F-47BC-AB88-3C2E47CADB2F}"/>
    <cellStyle name="Normal 5 2 3 4 4 3 3" xfId="23810" xr:uid="{467CF3B9-AABD-4F63-A354-03483565403C}"/>
    <cellStyle name="Normal 5 2 3 4 4 3 4" xfId="32250" xr:uid="{8BC14949-F52C-41E8-84EC-6237CA2291C1}"/>
    <cellStyle name="Normal 5 2 3 4 4 4" xfId="11152" xr:uid="{0D5AA135-1628-4B9C-B5CF-382D104EC672}"/>
    <cellStyle name="Normal 5 2 3 4 4 5" xfId="19593" xr:uid="{35EE14EB-38CF-4415-AFCC-ABE2BB9F4C76}"/>
    <cellStyle name="Normal 5 2 3 4 4 6" xfId="28033" xr:uid="{0FAAB805-6B44-4D7A-8419-3D8185D21802}"/>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6A3FD6A7-ACCA-4B7E-B1A3-99E2C936994F}"/>
    <cellStyle name="Normal 5 2 3 4 5 2 2 3" xfId="26368" xr:uid="{76E7DAC6-2831-4684-9F9B-E94C52D112EF}"/>
    <cellStyle name="Normal 5 2 3 4 5 2 2 4" xfId="34808" xr:uid="{A561AF58-50E5-45D2-8EB9-9F84507A1BF8}"/>
    <cellStyle name="Normal 5 2 3 4 5 2 3" xfId="13710" xr:uid="{E9440BC4-B7ED-4669-BCC0-0636673F38A0}"/>
    <cellStyle name="Normal 5 2 3 4 5 2 4" xfId="22151" xr:uid="{BB630190-4CCC-4338-A58C-CFC892C1A523}"/>
    <cellStyle name="Normal 5 2 3 4 5 2 5" xfId="30591" xr:uid="{6ABE1090-5267-4459-9077-91C72CA5E99E}"/>
    <cellStyle name="Normal 5 2 3 4 5 3" xfId="6456" xr:uid="{00000000-0005-0000-0000-0000BC180000}"/>
    <cellStyle name="Normal 5 2 3 4 5 3 2" xfId="15782" xr:uid="{F1D8B203-9003-4703-B8A7-744AA9C238A1}"/>
    <cellStyle name="Normal 5 2 3 4 5 3 3" xfId="24223" xr:uid="{FD3C9C64-09E3-48EA-AC61-2143DA488602}"/>
    <cellStyle name="Normal 5 2 3 4 5 3 4" xfId="32663" xr:uid="{58058A90-D8A1-41D8-A8EE-72F977DBC230}"/>
    <cellStyle name="Normal 5 2 3 4 5 4" xfId="11565" xr:uid="{2CEBE2C2-666B-49A3-ADF9-B98DDD693638}"/>
    <cellStyle name="Normal 5 2 3 4 5 5" xfId="20006" xr:uid="{069F9D5F-E489-4168-AC33-81AF2A079B96}"/>
    <cellStyle name="Normal 5 2 3 4 5 6" xfId="28446" xr:uid="{4FE0649F-428A-4E03-993D-890F9ED3A88B}"/>
    <cellStyle name="Normal 5 2 3 4 6" xfId="2586" xr:uid="{00000000-0005-0000-0000-0000BD180000}"/>
    <cellStyle name="Normal 5 2 3 4 6 2" xfId="6869" xr:uid="{00000000-0005-0000-0000-0000BE180000}"/>
    <cellStyle name="Normal 5 2 3 4 6 2 2" xfId="16195" xr:uid="{CFC4B28B-0371-4FF2-A797-883FA8C13D02}"/>
    <cellStyle name="Normal 5 2 3 4 6 2 3" xfId="24636" xr:uid="{46FBD90A-7F6C-48FC-A1AE-A451885961B6}"/>
    <cellStyle name="Normal 5 2 3 4 6 2 4" xfId="33076" xr:uid="{58711062-732C-4831-9760-C1BBEA1C9BFA}"/>
    <cellStyle name="Normal 5 2 3 4 6 3" xfId="11978" xr:uid="{CB82E91D-85C0-4DC3-8BF4-089F4A1EB977}"/>
    <cellStyle name="Normal 5 2 3 4 6 4" xfId="20419" xr:uid="{A81C2765-45BD-4490-83D5-13DB97A093BC}"/>
    <cellStyle name="Normal 5 2 3 4 6 5" xfId="28859" xr:uid="{540CD1E6-1505-42E3-BA38-50537D0F88AC}"/>
    <cellStyle name="Normal 5 2 3 4 7" xfId="4804" xr:uid="{00000000-0005-0000-0000-0000BF180000}"/>
    <cellStyle name="Normal 5 2 3 4 7 2" xfId="14130" xr:uid="{70BD1367-F244-441D-AFFE-968EBAAF65DB}"/>
    <cellStyle name="Normal 5 2 3 4 7 3" xfId="22571" xr:uid="{DB03C530-7553-4F2A-BB9E-8A39C3245CB3}"/>
    <cellStyle name="Normal 5 2 3 4 7 4" xfId="31011" xr:uid="{AE0375CE-C49A-4824-A5C2-42D4CA6729AF}"/>
    <cellStyle name="Normal 5 2 3 4 8" xfId="8983" xr:uid="{07388FCC-03DE-4CE8-89CB-9C92F8174E24}"/>
    <cellStyle name="Normal 5 2 3 4 9" xfId="9913" xr:uid="{2FFC2BCB-0A04-418E-BA80-F303864DD8D1}"/>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71766E08-0260-4850-B89B-32D720A30D92}"/>
    <cellStyle name="Normal 5 2 3 5 2 2 3" xfId="25122" xr:uid="{C1A0A3EF-00C3-4627-AC59-6EC218660A66}"/>
    <cellStyle name="Normal 5 2 3 5 2 2 4" xfId="33562" xr:uid="{4BB71F17-0B91-4E32-BAA5-6F9C63BADBE7}"/>
    <cellStyle name="Normal 5 2 3 5 2 3" xfId="12464" xr:uid="{3ADF2881-0943-48A0-A227-5CC1DA16F829}"/>
    <cellStyle name="Normal 5 2 3 5 2 4" xfId="20905" xr:uid="{B721D8F4-4D83-442F-9BFD-016825EC5E03}"/>
    <cellStyle name="Normal 5 2 3 5 2 5" xfId="29345" xr:uid="{45397D30-21AD-4952-B88E-25C1B782050E}"/>
    <cellStyle name="Normal 5 2 3 5 3" xfId="5210" xr:uid="{00000000-0005-0000-0000-0000C3180000}"/>
    <cellStyle name="Normal 5 2 3 5 3 2" xfId="14536" xr:uid="{922E6DF0-72C3-4476-90D7-AADB4DA1D4CF}"/>
    <cellStyle name="Normal 5 2 3 5 3 3" xfId="22977" xr:uid="{791D7DBF-7FC8-4864-8CAD-E62C249A8D45}"/>
    <cellStyle name="Normal 5 2 3 5 3 4" xfId="31417" xr:uid="{96FD8709-AD3A-48D8-B2D5-7A889DEFFC3A}"/>
    <cellStyle name="Normal 5 2 3 5 4" xfId="9200" xr:uid="{13DE827A-4007-427A-9869-ADBBE6B70993}"/>
    <cellStyle name="Normal 5 2 3 5 5" xfId="10319" xr:uid="{88BE1FDD-744A-4CFA-9863-9E818D272E2D}"/>
    <cellStyle name="Normal 5 2 3 5 6" xfId="18760" xr:uid="{073AA967-087B-4A42-B43F-452A9A3A262E}"/>
    <cellStyle name="Normal 5 2 3 5 7" xfId="27200" xr:uid="{D46B165A-1467-40D2-A035-F34005AB350F}"/>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140C53F8-7313-48CB-A246-E6A7AA8E6157}"/>
    <cellStyle name="Normal 5 2 3 6 2 2 3" xfId="25535" xr:uid="{751A90FF-DA7E-4666-967D-A2E42C54C77C}"/>
    <cellStyle name="Normal 5 2 3 6 2 2 4" xfId="33975" xr:uid="{C2DB620F-1BB1-4CD5-A057-DF513CCE7E87}"/>
    <cellStyle name="Normal 5 2 3 6 2 3" xfId="12877" xr:uid="{59609EDD-01B7-4469-BAA2-373470E7F701}"/>
    <cellStyle name="Normal 5 2 3 6 2 4" xfId="21318" xr:uid="{202FAC85-F3A3-43C8-B2B8-7FFD17D3BCD2}"/>
    <cellStyle name="Normal 5 2 3 6 2 5" xfId="29758" xr:uid="{4A4C0947-9602-46AA-9BB8-EC94A2DB22D0}"/>
    <cellStyle name="Normal 5 2 3 6 3" xfId="5623" xr:uid="{00000000-0005-0000-0000-0000C7180000}"/>
    <cellStyle name="Normal 5 2 3 6 3 2" xfId="14949" xr:uid="{C25F73EC-7E73-420A-B72C-76F3882F7F5C}"/>
    <cellStyle name="Normal 5 2 3 6 3 3" xfId="23390" xr:uid="{0F6C99F1-243E-441A-BB49-5E6578EF9D6D}"/>
    <cellStyle name="Normal 5 2 3 6 3 4" xfId="31830" xr:uid="{56C821F4-3212-4335-A6C3-CC38F27FD98B}"/>
    <cellStyle name="Normal 5 2 3 6 4" xfId="10732" xr:uid="{24736CB2-C5ED-4B89-805F-28EF229F3102}"/>
    <cellStyle name="Normal 5 2 3 6 5" xfId="19173" xr:uid="{B78FC0B7-E853-4D3D-893C-88B259225250}"/>
    <cellStyle name="Normal 5 2 3 6 6" xfId="27613" xr:uid="{9405E59B-89CB-40F5-8B1D-6B67128C10EC}"/>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1FDE2E41-A7AC-4F6B-AE2A-14A89C7986A8}"/>
    <cellStyle name="Normal 5 2 3 7 2 2 3" xfId="25948" xr:uid="{09E54F87-5B30-4FB1-A7F5-56F3BB2AE3EB}"/>
    <cellStyle name="Normal 5 2 3 7 2 2 4" xfId="34388" xr:uid="{F3E06CD3-1474-459B-B494-0CEA54BA4836}"/>
    <cellStyle name="Normal 5 2 3 7 2 3" xfId="13290" xr:uid="{58DF63B9-D8DD-4AB9-8828-C658AEE58C77}"/>
    <cellStyle name="Normal 5 2 3 7 2 4" xfId="21731" xr:uid="{999382BB-2C57-47D7-868B-2957480B0632}"/>
    <cellStyle name="Normal 5 2 3 7 2 5" xfId="30171" xr:uid="{A1D0C866-2527-4930-99E0-8F4364DC737B}"/>
    <cellStyle name="Normal 5 2 3 7 3" xfId="6036" xr:uid="{00000000-0005-0000-0000-0000CB180000}"/>
    <cellStyle name="Normal 5 2 3 7 3 2" xfId="15362" xr:uid="{3BBA8864-ED23-4D51-88B9-BCB293AD7719}"/>
    <cellStyle name="Normal 5 2 3 7 3 3" xfId="23803" xr:uid="{122F8313-79FF-4215-97ED-60CE6DEB5C99}"/>
    <cellStyle name="Normal 5 2 3 7 3 4" xfId="32243" xr:uid="{1A9C0D8D-F56E-4D09-B3A1-FFB25D8DA55F}"/>
    <cellStyle name="Normal 5 2 3 7 4" xfId="11145" xr:uid="{326B356E-B20A-4091-AA56-EA3BBC43E93E}"/>
    <cellStyle name="Normal 5 2 3 7 5" xfId="19586" xr:uid="{9079EBA7-A908-4370-9F97-4E8BF2FBE52B}"/>
    <cellStyle name="Normal 5 2 3 7 6" xfId="28026" xr:uid="{35BFB7D7-CB7E-42C9-9704-EE9F7C3BD747}"/>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C4807F93-B9F3-4808-ABA7-105DB7F96B63}"/>
    <cellStyle name="Normal 5 2 3 8 2 2 3" xfId="26361" xr:uid="{16E1A5A4-2C2D-4230-B157-A2E01E5120BF}"/>
    <cellStyle name="Normal 5 2 3 8 2 2 4" xfId="34801" xr:uid="{9B235251-E386-4D0F-8EEA-B48C8348A3AA}"/>
    <cellStyle name="Normal 5 2 3 8 2 3" xfId="13703" xr:uid="{3558DECE-8911-4877-A631-2A71761ECD09}"/>
    <cellStyle name="Normal 5 2 3 8 2 4" xfId="22144" xr:uid="{D47ACE89-36B0-4513-8C8C-686AFD592D28}"/>
    <cellStyle name="Normal 5 2 3 8 2 5" xfId="30584" xr:uid="{495F2D09-C7E3-4B4A-B86C-D4A8B3E545FC}"/>
    <cellStyle name="Normal 5 2 3 8 3" xfId="6449" xr:uid="{00000000-0005-0000-0000-0000CF180000}"/>
    <cellStyle name="Normal 5 2 3 8 3 2" xfId="15775" xr:uid="{931EEF22-14FE-49F9-BB86-0D7CFBBEA2F6}"/>
    <cellStyle name="Normal 5 2 3 8 3 3" xfId="24216" xr:uid="{AC71ABC4-FB80-4015-AC6C-6F8F0809FA6F}"/>
    <cellStyle name="Normal 5 2 3 8 3 4" xfId="32656" xr:uid="{11BBADE5-F066-44EC-A13C-7EAD7A9B950E}"/>
    <cellStyle name="Normal 5 2 3 8 4" xfId="11558" xr:uid="{E32DBBC0-0D63-4E07-8EEA-70D4FBBC0857}"/>
    <cellStyle name="Normal 5 2 3 8 5" xfId="19999" xr:uid="{9475E3B4-9FE3-46AA-AA53-389E0EF337E1}"/>
    <cellStyle name="Normal 5 2 3 8 6" xfId="28439" xr:uid="{E5C6FFD4-23DA-4CD8-A697-1D7731D4FD7F}"/>
    <cellStyle name="Normal 5 2 3 9" xfId="2579" xr:uid="{00000000-0005-0000-0000-0000D0180000}"/>
    <cellStyle name="Normal 5 2 3 9 2" xfId="6862" xr:uid="{00000000-0005-0000-0000-0000D1180000}"/>
    <cellStyle name="Normal 5 2 3 9 2 2" xfId="16188" xr:uid="{6840F5F7-CFD4-4B15-99F1-3D98009BC4E0}"/>
    <cellStyle name="Normal 5 2 3 9 2 3" xfId="24629" xr:uid="{D44F6C47-7477-44BD-8181-DDC3C8C1578E}"/>
    <cellStyle name="Normal 5 2 3 9 2 4" xfId="33069" xr:uid="{492F63BE-21D3-4291-92D7-519B9D23A406}"/>
    <cellStyle name="Normal 5 2 3 9 3" xfId="11971" xr:uid="{514173E3-A63B-4F4C-8624-488F14031C15}"/>
    <cellStyle name="Normal 5 2 3 9 4" xfId="20412" xr:uid="{3E2DDC54-7594-49D7-91D2-7CDBFCF9F8B3}"/>
    <cellStyle name="Normal 5 2 3 9 5" xfId="28852" xr:uid="{986D3152-8D26-45D0-B95D-5987F8E12D8A}"/>
    <cellStyle name="Normal 5 2 4" xfId="432" xr:uid="{00000000-0005-0000-0000-0000D2180000}"/>
    <cellStyle name="Normal 5 2 4 10" xfId="8827" xr:uid="{1EC4F605-F0BA-487E-A3C0-2CBAE7C22D8A}"/>
    <cellStyle name="Normal 5 2 4 11" xfId="9914" xr:uid="{04D9E22D-AAA2-408F-8D79-A350040487BF}"/>
    <cellStyle name="Normal 5 2 4 12" xfId="18355" xr:uid="{C6481180-1737-4EF6-9CA9-5BB9B76B6969}"/>
    <cellStyle name="Normal 5 2 4 13" xfId="26795" xr:uid="{54CAE220-24AC-4E7A-9139-B955BA0F62CE}"/>
    <cellStyle name="Normal 5 2 4 2" xfId="433" xr:uid="{00000000-0005-0000-0000-0000D3180000}"/>
    <cellStyle name="Normal 5 2 4 2 10" xfId="9915" xr:uid="{F0A6591D-377E-4CF6-A1B7-5F96765E569A}"/>
    <cellStyle name="Normal 5 2 4 2 11" xfId="18356" xr:uid="{8FBCCEF6-930A-4B23-96DF-23F628AB17FB}"/>
    <cellStyle name="Normal 5 2 4 2 12" xfId="26796" xr:uid="{19BF91B2-65CD-4A5C-BABE-1692313E8559}"/>
    <cellStyle name="Normal 5 2 4 2 2" xfId="434" xr:uid="{00000000-0005-0000-0000-0000D4180000}"/>
    <cellStyle name="Normal 5 2 4 2 2 10" xfId="18357" xr:uid="{83BAFF9C-8EF7-4DAC-A6C3-6B6EF4C7493B}"/>
    <cellStyle name="Normal 5 2 4 2 2 11" xfId="26797" xr:uid="{D53752ED-EA60-4DEF-AE57-DCEF0EFCBED6}"/>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A7C89675-65FB-4AF3-AB58-31A2A56625EE}"/>
    <cellStyle name="Normal 5 2 4 2 2 2 2 2 3" xfId="25132" xr:uid="{DC42691D-55BC-46C3-BD62-EAB0530985C9}"/>
    <cellStyle name="Normal 5 2 4 2 2 2 2 2 4" xfId="33572" xr:uid="{E2E8EE80-7B6A-4010-98A6-566342AC616E}"/>
    <cellStyle name="Normal 5 2 4 2 2 2 2 3" xfId="12474" xr:uid="{E8DE56FA-1E58-42AD-8A31-62C8D88E1ABD}"/>
    <cellStyle name="Normal 5 2 4 2 2 2 2 4" xfId="20915" xr:uid="{12CEC87D-B33C-4380-A40E-2A9CBBF569CD}"/>
    <cellStyle name="Normal 5 2 4 2 2 2 2 5" xfId="29355" xr:uid="{20DF8DD9-6774-414F-AF21-796A88B5013F}"/>
    <cellStyle name="Normal 5 2 4 2 2 2 3" xfId="5220" xr:uid="{00000000-0005-0000-0000-0000D8180000}"/>
    <cellStyle name="Normal 5 2 4 2 2 2 3 2" xfId="14546" xr:uid="{CB42AD51-DEE6-4618-9027-105E29BF6008}"/>
    <cellStyle name="Normal 5 2 4 2 2 2 3 3" xfId="22987" xr:uid="{76FB5219-BC3D-4545-BA23-ADB37DCD463D}"/>
    <cellStyle name="Normal 5 2 4 2 2 2 3 4" xfId="31427" xr:uid="{B1CDDFBD-D74E-4642-B4CF-D268D0617D65}"/>
    <cellStyle name="Normal 5 2 4 2 2 2 4" xfId="9562" xr:uid="{5E243FB4-F3B1-4B34-B377-1444454AD19E}"/>
    <cellStyle name="Normal 5 2 4 2 2 2 5" xfId="10329" xr:uid="{2D814AA4-3F6F-4542-A1CE-71EC67D6A1A3}"/>
    <cellStyle name="Normal 5 2 4 2 2 2 6" xfId="18770" xr:uid="{B5622722-578B-467E-A977-06E739A1D53E}"/>
    <cellStyle name="Normal 5 2 4 2 2 2 7" xfId="27210" xr:uid="{8C9EE49D-AEA8-4AE7-ACD5-3881C1AF56A5}"/>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58AFC801-D964-4CC7-98D9-64E7C3EDD665}"/>
    <cellStyle name="Normal 5 2 4 2 2 3 2 2 3" xfId="25545" xr:uid="{7555C017-0073-4A0B-B706-10D0557FB614}"/>
    <cellStyle name="Normal 5 2 4 2 2 3 2 2 4" xfId="33985" xr:uid="{B47850B4-B2BF-44F7-9AC9-B4D3FEEBAB72}"/>
    <cellStyle name="Normal 5 2 4 2 2 3 2 3" xfId="12887" xr:uid="{04FEF5BB-2B2C-44E0-9A41-A874E425AE8A}"/>
    <cellStyle name="Normal 5 2 4 2 2 3 2 4" xfId="21328" xr:uid="{EDAADA94-2B79-4431-A794-408B542F3656}"/>
    <cellStyle name="Normal 5 2 4 2 2 3 2 5" xfId="29768" xr:uid="{AD4E515C-3E81-45DC-8D10-F90AA0556CB3}"/>
    <cellStyle name="Normal 5 2 4 2 2 3 3" xfId="5633" xr:uid="{00000000-0005-0000-0000-0000DC180000}"/>
    <cellStyle name="Normal 5 2 4 2 2 3 3 2" xfId="14959" xr:uid="{E977CAFD-6961-4C9B-B130-6F1CE85D9522}"/>
    <cellStyle name="Normal 5 2 4 2 2 3 3 3" xfId="23400" xr:uid="{20C8E9AF-B1A4-4A21-8A57-BDA04B7347E4}"/>
    <cellStyle name="Normal 5 2 4 2 2 3 3 4" xfId="31840" xr:uid="{4B7A14AA-CE92-4EAC-BD5C-D2C030480826}"/>
    <cellStyle name="Normal 5 2 4 2 2 3 4" xfId="10742" xr:uid="{227B9FFF-2CB6-4ED4-B6F1-18774950103F}"/>
    <cellStyle name="Normal 5 2 4 2 2 3 5" xfId="19183" xr:uid="{A421020D-4649-4052-90B6-9C5BCDD57564}"/>
    <cellStyle name="Normal 5 2 4 2 2 3 6" xfId="27623" xr:uid="{6E90357F-ADD2-4E82-984E-0392DB55452E}"/>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DD3B8338-9CA2-411E-AB08-67EB13990BC2}"/>
    <cellStyle name="Normal 5 2 4 2 2 4 2 2 3" xfId="25958" xr:uid="{29F50772-64AB-45ED-9A7F-03D1832295BF}"/>
    <cellStyle name="Normal 5 2 4 2 2 4 2 2 4" xfId="34398" xr:uid="{1509A80D-D505-4D0A-96E8-4BB752F14249}"/>
    <cellStyle name="Normal 5 2 4 2 2 4 2 3" xfId="13300" xr:uid="{74014DCA-F27C-4BCF-A876-765636BDF25D}"/>
    <cellStyle name="Normal 5 2 4 2 2 4 2 4" xfId="21741" xr:uid="{AF592322-22A6-4B6B-81CD-D75FEF32E3E9}"/>
    <cellStyle name="Normal 5 2 4 2 2 4 2 5" xfId="30181" xr:uid="{ACDEC662-2571-4BC4-B302-828070972764}"/>
    <cellStyle name="Normal 5 2 4 2 2 4 3" xfId="6046" xr:uid="{00000000-0005-0000-0000-0000E0180000}"/>
    <cellStyle name="Normal 5 2 4 2 2 4 3 2" xfId="15372" xr:uid="{A88BE8BD-02E5-453F-A228-4D756A960787}"/>
    <cellStyle name="Normal 5 2 4 2 2 4 3 3" xfId="23813" xr:uid="{E99B25C4-1F9B-4AAC-85E9-85D73A91B97F}"/>
    <cellStyle name="Normal 5 2 4 2 2 4 3 4" xfId="32253" xr:uid="{81CD0BC4-23C3-40F5-9A0E-F49F1EDC9BBA}"/>
    <cellStyle name="Normal 5 2 4 2 2 4 4" xfId="11155" xr:uid="{EEA4C6C0-F676-4020-9678-8035366C0DCB}"/>
    <cellStyle name="Normal 5 2 4 2 2 4 5" xfId="19596" xr:uid="{433F7E71-6DF1-4903-9F6B-7319E3DA0DF3}"/>
    <cellStyle name="Normal 5 2 4 2 2 4 6" xfId="28036" xr:uid="{7FBC6746-97BD-467B-9584-86E43D7CC6CB}"/>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7DDE1C4A-FEE1-4F3D-8427-5CDA129A396E}"/>
    <cellStyle name="Normal 5 2 4 2 2 5 2 2 3" xfId="26371" xr:uid="{F75AB6FB-2A81-43B7-8A7C-2D04A9F740B6}"/>
    <cellStyle name="Normal 5 2 4 2 2 5 2 2 4" xfId="34811" xr:uid="{179F7F6F-5A7B-4F71-AC57-3823EBA3381B}"/>
    <cellStyle name="Normal 5 2 4 2 2 5 2 3" xfId="13713" xr:uid="{B78F1137-FDF3-4F38-A6CD-230E0221604D}"/>
    <cellStyle name="Normal 5 2 4 2 2 5 2 4" xfId="22154" xr:uid="{84165700-EA7D-40F3-B6E8-6C3A9C7646CB}"/>
    <cellStyle name="Normal 5 2 4 2 2 5 2 5" xfId="30594" xr:uid="{B1B3AAF0-2FEB-4485-BA0F-DB39A3BFB41E}"/>
    <cellStyle name="Normal 5 2 4 2 2 5 3" xfId="6459" xr:uid="{00000000-0005-0000-0000-0000E4180000}"/>
    <cellStyle name="Normal 5 2 4 2 2 5 3 2" xfId="15785" xr:uid="{00652BC2-7D42-4BB7-B662-9EF428796271}"/>
    <cellStyle name="Normal 5 2 4 2 2 5 3 3" xfId="24226" xr:uid="{C9BA8A89-E312-477D-B11C-DE3F40918B72}"/>
    <cellStyle name="Normal 5 2 4 2 2 5 3 4" xfId="32666" xr:uid="{AA485020-2540-4509-A46C-353277E140CC}"/>
    <cellStyle name="Normal 5 2 4 2 2 5 4" xfId="11568" xr:uid="{668EE7C4-1D87-4236-8515-753F6843AD50}"/>
    <cellStyle name="Normal 5 2 4 2 2 5 5" xfId="20009" xr:uid="{A88B10A9-B558-4449-9E1B-BC088111A7A8}"/>
    <cellStyle name="Normal 5 2 4 2 2 5 6" xfId="28449" xr:uid="{918ACCE2-49E1-409E-A213-2CD93F5EAF7A}"/>
    <cellStyle name="Normal 5 2 4 2 2 6" xfId="2589" xr:uid="{00000000-0005-0000-0000-0000E5180000}"/>
    <cellStyle name="Normal 5 2 4 2 2 6 2" xfId="6872" xr:uid="{00000000-0005-0000-0000-0000E6180000}"/>
    <cellStyle name="Normal 5 2 4 2 2 6 2 2" xfId="16198" xr:uid="{BB762B6D-59BE-4CED-BE9B-F9100BE17427}"/>
    <cellStyle name="Normal 5 2 4 2 2 6 2 3" xfId="24639" xr:uid="{4B608635-FB03-464B-9877-5665B1B43817}"/>
    <cellStyle name="Normal 5 2 4 2 2 6 2 4" xfId="33079" xr:uid="{8F90B2B7-A47B-48A5-B4CD-07CA68A54CAD}"/>
    <cellStyle name="Normal 5 2 4 2 2 6 3" xfId="11981" xr:uid="{599DD891-B1DF-4AB6-8AEF-1458C8005AD4}"/>
    <cellStyle name="Normal 5 2 4 2 2 6 4" xfId="20422" xr:uid="{74A46008-833B-4294-A2BD-8085ACF9795A}"/>
    <cellStyle name="Normal 5 2 4 2 2 6 5" xfId="28862" xr:uid="{BCC16989-833A-404A-B84A-AB01AEF34FC7}"/>
    <cellStyle name="Normal 5 2 4 2 2 7" xfId="4807" xr:uid="{00000000-0005-0000-0000-0000E7180000}"/>
    <cellStyle name="Normal 5 2 4 2 2 7 2" xfId="14133" xr:uid="{9D29F717-85EA-457A-A0C8-E93AD28D5E25}"/>
    <cellStyle name="Normal 5 2 4 2 2 7 3" xfId="22574" xr:uid="{91584822-387F-4EF7-924A-BDD573D8B402}"/>
    <cellStyle name="Normal 5 2 4 2 2 7 4" xfId="31014" xr:uid="{6F7C369B-63AA-4D5C-A7D2-9E73F5BD04BA}"/>
    <cellStyle name="Normal 5 2 4 2 2 8" xfId="9137" xr:uid="{C80E4B27-40CA-4953-ABB8-99E2C575F775}"/>
    <cellStyle name="Normal 5 2 4 2 2 9" xfId="9916" xr:uid="{5F1D0936-5394-4B02-99C7-16FA97147DDA}"/>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1451AB3D-C279-4DA3-BAC7-10966D51C791}"/>
    <cellStyle name="Normal 5 2 4 2 3 2 2 3" xfId="25131" xr:uid="{86A78C83-C596-40AE-991E-EFB373BF977E}"/>
    <cellStyle name="Normal 5 2 4 2 3 2 2 4" xfId="33571" xr:uid="{067EF156-E864-43F9-B4B3-720316890E97}"/>
    <cellStyle name="Normal 5 2 4 2 3 2 3" xfId="12473" xr:uid="{380913B7-B1FD-443D-9972-AA7CDB92F446}"/>
    <cellStyle name="Normal 5 2 4 2 3 2 4" xfId="20914" xr:uid="{089D62AE-9121-43DD-A9B7-48B6479013F9}"/>
    <cellStyle name="Normal 5 2 4 2 3 2 5" xfId="29354" xr:uid="{D2FCD0B6-91F4-4E9F-A352-50A0C7E1AA0A}"/>
    <cellStyle name="Normal 5 2 4 2 3 3" xfId="5219" xr:uid="{00000000-0005-0000-0000-0000EB180000}"/>
    <cellStyle name="Normal 5 2 4 2 3 3 2" xfId="14545" xr:uid="{502CE1AE-F847-4D5F-8AFF-1FF6983660D7}"/>
    <cellStyle name="Normal 5 2 4 2 3 3 3" xfId="22986" xr:uid="{32FD2843-0934-41B4-B4E0-BBD8BDA4FABA}"/>
    <cellStyle name="Normal 5 2 4 2 3 3 4" xfId="31426" xr:uid="{CEB22804-E3F2-4A3C-98E8-7F0E2994E58F}"/>
    <cellStyle name="Normal 5 2 4 2 3 4" xfId="9355" xr:uid="{9D38A6AA-2F63-4275-9FB8-F86A15F6A4D3}"/>
    <cellStyle name="Normal 5 2 4 2 3 5" xfId="10328" xr:uid="{C644500D-1531-4870-A678-D712207822D9}"/>
    <cellStyle name="Normal 5 2 4 2 3 6" xfId="18769" xr:uid="{8C0896E2-E8E7-49A1-8276-3F0A792D88BA}"/>
    <cellStyle name="Normal 5 2 4 2 3 7" xfId="27209" xr:uid="{C5910F78-A70F-47B8-8CA7-1757E74F6D83}"/>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E72D281A-AF7A-41A9-97BB-D131FC73CF68}"/>
    <cellStyle name="Normal 5 2 4 2 4 2 2 3" xfId="25544" xr:uid="{A10F6124-8C60-4C1F-A24C-B5661E774F5D}"/>
    <cellStyle name="Normal 5 2 4 2 4 2 2 4" xfId="33984" xr:uid="{3A14889C-6208-40BB-92BF-FB47A4A41449}"/>
    <cellStyle name="Normal 5 2 4 2 4 2 3" xfId="12886" xr:uid="{1D3BB1F4-5E59-4307-B58E-45685D027BFE}"/>
    <cellStyle name="Normal 5 2 4 2 4 2 4" xfId="21327" xr:uid="{B1F2856A-8F52-463D-AD07-933DDCF80CBC}"/>
    <cellStyle name="Normal 5 2 4 2 4 2 5" xfId="29767" xr:uid="{02E25F4C-01FB-495A-B2F7-BDBF180C214C}"/>
    <cellStyle name="Normal 5 2 4 2 4 3" xfId="5632" xr:uid="{00000000-0005-0000-0000-0000EF180000}"/>
    <cellStyle name="Normal 5 2 4 2 4 3 2" xfId="14958" xr:uid="{83808E7C-EF11-4F2A-B4D2-C79F7D2632B4}"/>
    <cellStyle name="Normal 5 2 4 2 4 3 3" xfId="23399" xr:uid="{52292616-3CF3-4D0D-AB98-37B915413AC7}"/>
    <cellStyle name="Normal 5 2 4 2 4 3 4" xfId="31839" xr:uid="{D4CC42A2-5C00-4EAC-81F0-B890AD0C1DE6}"/>
    <cellStyle name="Normal 5 2 4 2 4 4" xfId="10741" xr:uid="{2BC299CF-A42B-4592-A076-FBABA7153E35}"/>
    <cellStyle name="Normal 5 2 4 2 4 5" xfId="19182" xr:uid="{8D8F4C89-ABB2-439F-9F21-385D42BCC5C8}"/>
    <cellStyle name="Normal 5 2 4 2 4 6" xfId="27622" xr:uid="{62FE2F44-0210-42C1-8AB7-B6A98C66B52B}"/>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703A0181-D1D3-4B5A-8492-B953BBAB7033}"/>
    <cellStyle name="Normal 5 2 4 2 5 2 2 3" xfId="25957" xr:uid="{C95B5F8E-0EB7-4070-8B07-22DF7EF99A81}"/>
    <cellStyle name="Normal 5 2 4 2 5 2 2 4" xfId="34397" xr:uid="{0BB27FA7-C8FF-4932-9854-79AB5FF243AB}"/>
    <cellStyle name="Normal 5 2 4 2 5 2 3" xfId="13299" xr:uid="{B28332F5-E45B-4C69-A61D-B9815FD7BE17}"/>
    <cellStyle name="Normal 5 2 4 2 5 2 4" xfId="21740" xr:uid="{4C82B369-0E8D-4822-B456-F03F8A16E81E}"/>
    <cellStyle name="Normal 5 2 4 2 5 2 5" xfId="30180" xr:uid="{46C40916-704B-4E94-95BB-BD36F4EF2EE9}"/>
    <cellStyle name="Normal 5 2 4 2 5 3" xfId="6045" xr:uid="{00000000-0005-0000-0000-0000F3180000}"/>
    <cellStyle name="Normal 5 2 4 2 5 3 2" xfId="15371" xr:uid="{9CD8BEA1-008F-4197-A273-E3656E2B96C7}"/>
    <cellStyle name="Normal 5 2 4 2 5 3 3" xfId="23812" xr:uid="{B69106C0-24D4-4364-A70D-194F6AAF73E4}"/>
    <cellStyle name="Normal 5 2 4 2 5 3 4" xfId="32252" xr:uid="{9301E491-68FF-47E1-B9EB-E37FDA8D45F0}"/>
    <cellStyle name="Normal 5 2 4 2 5 4" xfId="11154" xr:uid="{6F2BD446-A54B-4014-BAD3-0FD9CE11065E}"/>
    <cellStyle name="Normal 5 2 4 2 5 5" xfId="19595" xr:uid="{A771A7EB-ADE2-41C8-AB98-09E69DDF5434}"/>
    <cellStyle name="Normal 5 2 4 2 5 6" xfId="28035" xr:uid="{A0D58B8C-5EEA-4B39-958F-F7C8DEBB0B8F}"/>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F404F60A-129A-42BA-9B6B-78A57F18C029}"/>
    <cellStyle name="Normal 5 2 4 2 6 2 2 3" xfId="26370" xr:uid="{D18D2904-3658-4F08-B0E1-FB5A153A4A19}"/>
    <cellStyle name="Normal 5 2 4 2 6 2 2 4" xfId="34810" xr:uid="{009B8E92-7FE3-43D4-9E5D-B01F5A0F9177}"/>
    <cellStyle name="Normal 5 2 4 2 6 2 3" xfId="13712" xr:uid="{6BACED93-DE51-453C-B3EE-5D9FCE775766}"/>
    <cellStyle name="Normal 5 2 4 2 6 2 4" xfId="22153" xr:uid="{F54704A8-8DFA-4ADB-8C14-05F400002998}"/>
    <cellStyle name="Normal 5 2 4 2 6 2 5" xfId="30593" xr:uid="{7BAD1166-9085-41C9-BB3B-D48374543B90}"/>
    <cellStyle name="Normal 5 2 4 2 6 3" xfId="6458" xr:uid="{00000000-0005-0000-0000-0000F7180000}"/>
    <cellStyle name="Normal 5 2 4 2 6 3 2" xfId="15784" xr:uid="{54A664E7-50AD-4FC7-B9A1-FCC08EBBDDE9}"/>
    <cellStyle name="Normal 5 2 4 2 6 3 3" xfId="24225" xr:uid="{1ED4A4E9-6CCF-4FFC-A107-3851E7A558B4}"/>
    <cellStyle name="Normal 5 2 4 2 6 3 4" xfId="32665" xr:uid="{57E5FC19-35E1-4514-B197-77D56490987E}"/>
    <cellStyle name="Normal 5 2 4 2 6 4" xfId="11567" xr:uid="{8A47B98C-C310-46C1-8F4D-66535BD7262E}"/>
    <cellStyle name="Normal 5 2 4 2 6 5" xfId="20008" xr:uid="{815D1B96-2850-4974-9D8E-2ADC59BDEB19}"/>
    <cellStyle name="Normal 5 2 4 2 6 6" xfId="28448" xr:uid="{C71BAB6F-BB26-42BF-AD41-CAAE50F88ABE}"/>
    <cellStyle name="Normal 5 2 4 2 7" xfId="2588" xr:uid="{00000000-0005-0000-0000-0000F8180000}"/>
    <cellStyle name="Normal 5 2 4 2 7 2" xfId="6871" xr:uid="{00000000-0005-0000-0000-0000F9180000}"/>
    <cellStyle name="Normal 5 2 4 2 7 2 2" xfId="16197" xr:uid="{43E9767F-8F75-40FD-885C-278DA60E02EE}"/>
    <cellStyle name="Normal 5 2 4 2 7 2 3" xfId="24638" xr:uid="{D5113F3E-A4CA-4BC0-87EE-01DBE1E376E1}"/>
    <cellStyle name="Normal 5 2 4 2 7 2 4" xfId="33078" xr:uid="{34B0E843-724D-49AE-81E4-85985361049D}"/>
    <cellStyle name="Normal 5 2 4 2 7 3" xfId="11980" xr:uid="{ED114C6D-64DF-460E-A2D6-40C2EF8E4072}"/>
    <cellStyle name="Normal 5 2 4 2 7 4" xfId="20421" xr:uid="{DD64B41D-1D96-4059-9D38-194D93549293}"/>
    <cellStyle name="Normal 5 2 4 2 7 5" xfId="28861" xr:uid="{0D3C950C-069C-48E7-B74F-96985290F993}"/>
    <cellStyle name="Normal 5 2 4 2 8" xfId="4806" xr:uid="{00000000-0005-0000-0000-0000FA180000}"/>
    <cellStyle name="Normal 5 2 4 2 8 2" xfId="14132" xr:uid="{3F59744F-4872-4543-8D6A-0563C5B1595D}"/>
    <cellStyle name="Normal 5 2 4 2 8 3" xfId="22573" xr:uid="{1621A21F-779A-4B4B-82C7-E646BC33DCB5}"/>
    <cellStyle name="Normal 5 2 4 2 8 4" xfId="31013" xr:uid="{0E31F30D-C737-48E9-9F62-CB6AA74AC10F}"/>
    <cellStyle name="Normal 5 2 4 2 9" xfId="8930" xr:uid="{66B84ABA-CAF3-4BBE-9026-E7A47CB6006F}"/>
    <cellStyle name="Normal 5 2 4 3" xfId="435" xr:uid="{00000000-0005-0000-0000-0000FB180000}"/>
    <cellStyle name="Normal 5 2 4 3 10" xfId="18358" xr:uid="{D36B9B90-7D99-496C-9368-D1C7FFE5DADF}"/>
    <cellStyle name="Normal 5 2 4 3 11" xfId="26798" xr:uid="{9F962379-CE30-42F2-9331-551F29A645BB}"/>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36FB54DF-E50F-4356-9B28-5782DAAD73AF}"/>
    <cellStyle name="Normal 5 2 4 3 2 2 2 3" xfId="25133" xr:uid="{9CEC8B39-89E9-4059-BFA7-210ADCAC66C0}"/>
    <cellStyle name="Normal 5 2 4 3 2 2 2 4" xfId="33573" xr:uid="{B16E6B24-E2B9-4B34-A2EC-52AB26E9EAFF}"/>
    <cellStyle name="Normal 5 2 4 3 2 2 3" xfId="12475" xr:uid="{3C751958-0E48-45CC-B608-95C96D057D19}"/>
    <cellStyle name="Normal 5 2 4 3 2 2 4" xfId="20916" xr:uid="{F688AEE5-6569-4D7F-9001-0EAF2B112962}"/>
    <cellStyle name="Normal 5 2 4 3 2 2 5" xfId="29356" xr:uid="{2E88A1CD-0B3B-48B1-B757-048164885622}"/>
    <cellStyle name="Normal 5 2 4 3 2 3" xfId="5221" xr:uid="{00000000-0005-0000-0000-0000FF180000}"/>
    <cellStyle name="Normal 5 2 4 3 2 3 2" xfId="14547" xr:uid="{9169C858-CA84-4070-8BEE-2CE806276DF4}"/>
    <cellStyle name="Normal 5 2 4 3 2 3 3" xfId="22988" xr:uid="{BD274DCE-FC42-4E6E-A2E1-3190AA464FE5}"/>
    <cellStyle name="Normal 5 2 4 3 2 3 4" xfId="31428" xr:uid="{FE921F1E-82D8-4ADB-808E-A28C0366D283}"/>
    <cellStyle name="Normal 5 2 4 3 2 4" xfId="9459" xr:uid="{ED2A936E-5624-4B26-A175-3FCE68E1BF5A}"/>
    <cellStyle name="Normal 5 2 4 3 2 5" xfId="10330" xr:uid="{83E0CEDF-D02C-448B-9892-AA1E27B49BCD}"/>
    <cellStyle name="Normal 5 2 4 3 2 6" xfId="18771" xr:uid="{29E641DE-AABC-4A6F-8F34-C409F33C0E13}"/>
    <cellStyle name="Normal 5 2 4 3 2 7" xfId="27211" xr:uid="{672924AE-75E7-4934-ADF1-FA9B626026B3}"/>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DBCD57A3-1F75-4003-83C3-0BC0C24B9D16}"/>
    <cellStyle name="Normal 5 2 4 3 3 2 2 3" xfId="25546" xr:uid="{4122AC6F-E263-4BEF-8C51-C6A31AA2950F}"/>
    <cellStyle name="Normal 5 2 4 3 3 2 2 4" xfId="33986" xr:uid="{E2CCDEF5-A4E3-4159-8C8F-3E975CD45744}"/>
    <cellStyle name="Normal 5 2 4 3 3 2 3" xfId="12888" xr:uid="{4D2ED4DC-878C-4FD6-B6B4-F7B4B0B896E7}"/>
    <cellStyle name="Normal 5 2 4 3 3 2 4" xfId="21329" xr:uid="{D905022C-069D-4F4B-AD14-CF6E915DFD55}"/>
    <cellStyle name="Normal 5 2 4 3 3 2 5" xfId="29769" xr:uid="{B536F03F-176F-40F7-BC9A-9B2B5E14E822}"/>
    <cellStyle name="Normal 5 2 4 3 3 3" xfId="5634" xr:uid="{00000000-0005-0000-0000-000003190000}"/>
    <cellStyle name="Normal 5 2 4 3 3 3 2" xfId="14960" xr:uid="{5092A860-9D25-4720-9EB2-2B33A30F2E47}"/>
    <cellStyle name="Normal 5 2 4 3 3 3 3" xfId="23401" xr:uid="{51B06DCC-560B-449B-A076-AB8FD186020F}"/>
    <cellStyle name="Normal 5 2 4 3 3 3 4" xfId="31841" xr:uid="{B6B38E39-D6C0-4360-87C2-B1F16E7AC34D}"/>
    <cellStyle name="Normal 5 2 4 3 3 4" xfId="10743" xr:uid="{DEE0ADC0-63E8-497F-9AA6-33B7FCC79422}"/>
    <cellStyle name="Normal 5 2 4 3 3 5" xfId="19184" xr:uid="{66E9C80D-3903-4037-B650-72AEE65C3610}"/>
    <cellStyle name="Normal 5 2 4 3 3 6" xfId="27624" xr:uid="{BCC7E6D4-E389-4AAE-8A1D-15BF79BA586C}"/>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32E6B755-33C8-4029-8551-58809D6EA1E0}"/>
    <cellStyle name="Normal 5 2 4 3 4 2 2 3" xfId="25959" xr:uid="{7E12F258-18C8-430A-96CA-7CCD31A1865E}"/>
    <cellStyle name="Normal 5 2 4 3 4 2 2 4" xfId="34399" xr:uid="{58385E94-E3CC-454F-8B26-91526AA35314}"/>
    <cellStyle name="Normal 5 2 4 3 4 2 3" xfId="13301" xr:uid="{F87C411B-1F9B-46AD-9057-1293B78CCFC1}"/>
    <cellStyle name="Normal 5 2 4 3 4 2 4" xfId="21742" xr:uid="{3115E724-64F6-45E2-84CB-C387552FAEFE}"/>
    <cellStyle name="Normal 5 2 4 3 4 2 5" xfId="30182" xr:uid="{04FD9BEB-C587-46FE-9F65-BAD3B6AFA23B}"/>
    <cellStyle name="Normal 5 2 4 3 4 3" xfId="6047" xr:uid="{00000000-0005-0000-0000-000007190000}"/>
    <cellStyle name="Normal 5 2 4 3 4 3 2" xfId="15373" xr:uid="{961FD3EF-3AB9-4775-8EA5-C33CE8C6F8DD}"/>
    <cellStyle name="Normal 5 2 4 3 4 3 3" xfId="23814" xr:uid="{AE992837-4249-4B59-BCFF-5B5D8F0B7CFA}"/>
    <cellStyle name="Normal 5 2 4 3 4 3 4" xfId="32254" xr:uid="{A9A40AF5-BBA3-4B2A-85E7-1A2BCA8A6F76}"/>
    <cellStyle name="Normal 5 2 4 3 4 4" xfId="11156" xr:uid="{6887031D-F8F7-42D8-B06E-EA68B28386FF}"/>
    <cellStyle name="Normal 5 2 4 3 4 5" xfId="19597" xr:uid="{CF5DFA8B-5592-4F89-8FFE-7658D5BF8349}"/>
    <cellStyle name="Normal 5 2 4 3 4 6" xfId="28037" xr:uid="{0C129DC6-A171-4811-AA5A-BB879536AEE7}"/>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29C06604-279A-4268-ACE8-A533705D57AA}"/>
    <cellStyle name="Normal 5 2 4 3 5 2 2 3" xfId="26372" xr:uid="{5448673E-64F7-41F6-B380-68A5249B9937}"/>
    <cellStyle name="Normal 5 2 4 3 5 2 2 4" xfId="34812" xr:uid="{F984A914-F471-4DEA-B8D7-462963F15256}"/>
    <cellStyle name="Normal 5 2 4 3 5 2 3" xfId="13714" xr:uid="{4DD64600-D7C7-41DA-81B6-9EB56BF72788}"/>
    <cellStyle name="Normal 5 2 4 3 5 2 4" xfId="22155" xr:uid="{2697FAC7-9D7F-46CE-B51B-8CB2E98CDDB1}"/>
    <cellStyle name="Normal 5 2 4 3 5 2 5" xfId="30595" xr:uid="{D1EEFBBA-117C-4205-9D94-7188EC3CA74E}"/>
    <cellStyle name="Normal 5 2 4 3 5 3" xfId="6460" xr:uid="{00000000-0005-0000-0000-00000B190000}"/>
    <cellStyle name="Normal 5 2 4 3 5 3 2" xfId="15786" xr:uid="{F0BAC938-3852-41C8-A819-81E2C5BD1529}"/>
    <cellStyle name="Normal 5 2 4 3 5 3 3" xfId="24227" xr:uid="{EDFAD88D-3E67-4C4A-B660-2D53353D8459}"/>
    <cellStyle name="Normal 5 2 4 3 5 3 4" xfId="32667" xr:uid="{1D7B94B9-9AB4-4526-A075-9A8CC29489E6}"/>
    <cellStyle name="Normal 5 2 4 3 5 4" xfId="11569" xr:uid="{24F4724E-0E44-4ED7-93EC-70EC154CDE62}"/>
    <cellStyle name="Normal 5 2 4 3 5 5" xfId="20010" xr:uid="{5EF40CF4-EEA4-4C83-8CC4-101FF2E3F3AA}"/>
    <cellStyle name="Normal 5 2 4 3 5 6" xfId="28450" xr:uid="{AEAE88A5-A292-4348-A5BA-8DF27007A477}"/>
    <cellStyle name="Normal 5 2 4 3 6" xfId="2590" xr:uid="{00000000-0005-0000-0000-00000C190000}"/>
    <cellStyle name="Normal 5 2 4 3 6 2" xfId="6873" xr:uid="{00000000-0005-0000-0000-00000D190000}"/>
    <cellStyle name="Normal 5 2 4 3 6 2 2" xfId="16199" xr:uid="{E41B836A-D574-43D7-A32B-548217F1CC5F}"/>
    <cellStyle name="Normal 5 2 4 3 6 2 3" xfId="24640" xr:uid="{B4374790-5C02-4E96-BD8E-67257FE78F8B}"/>
    <cellStyle name="Normal 5 2 4 3 6 2 4" xfId="33080" xr:uid="{5C3DB23F-DC38-4C6C-A828-B0B0F780289B}"/>
    <cellStyle name="Normal 5 2 4 3 6 3" xfId="11982" xr:uid="{0AEB4CB0-0DF9-4384-AB4E-1E42B8704C6C}"/>
    <cellStyle name="Normal 5 2 4 3 6 4" xfId="20423" xr:uid="{E21C06A4-C408-4826-80B8-5DCA7591FF2D}"/>
    <cellStyle name="Normal 5 2 4 3 6 5" xfId="28863" xr:uid="{C5052317-282F-45C3-AE1B-2AAA0AAB8661}"/>
    <cellStyle name="Normal 5 2 4 3 7" xfId="4808" xr:uid="{00000000-0005-0000-0000-00000E190000}"/>
    <cellStyle name="Normal 5 2 4 3 7 2" xfId="14134" xr:uid="{89BDBA7E-FBC9-4EB3-9C8D-B1E945B10F0A}"/>
    <cellStyle name="Normal 5 2 4 3 7 3" xfId="22575" xr:uid="{9FF3D7CD-4920-40CB-843E-E92ADC0FF9C1}"/>
    <cellStyle name="Normal 5 2 4 3 7 4" xfId="31015" xr:uid="{972B569E-6707-4CCC-A654-96C4BA697142}"/>
    <cellStyle name="Normal 5 2 4 3 8" xfId="9034" xr:uid="{82D3DE5B-E868-4CF9-BA07-6E197DA4FAA5}"/>
    <cellStyle name="Normal 5 2 4 3 9" xfId="9917" xr:uid="{825E033D-3B9E-43B5-A850-22402D6234A8}"/>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7EDB3F27-F42E-4FEF-A2D6-A720ED57CEE1}"/>
    <cellStyle name="Normal 5 2 4 4 2 2 3" xfId="25130" xr:uid="{A59DD031-3D4D-4E64-A130-B46485FB2548}"/>
    <cellStyle name="Normal 5 2 4 4 2 2 4" xfId="33570" xr:uid="{75D7CD69-1D43-4300-9F62-6D261AC2123C}"/>
    <cellStyle name="Normal 5 2 4 4 2 3" xfId="12472" xr:uid="{D14D300C-C37E-483C-B7AA-5BBCC9B92FCF}"/>
    <cellStyle name="Normal 5 2 4 4 2 4" xfId="20913" xr:uid="{9AC083FD-B6F2-4CCE-8D83-16D0F104D3FD}"/>
    <cellStyle name="Normal 5 2 4 4 2 5" xfId="29353" xr:uid="{805B885A-8750-43B3-8D3B-7E3CAE86872B}"/>
    <cellStyle name="Normal 5 2 4 4 3" xfId="5218" xr:uid="{00000000-0005-0000-0000-000012190000}"/>
    <cellStyle name="Normal 5 2 4 4 3 2" xfId="14544" xr:uid="{8163F6CB-540F-4A4F-A001-92F08A04B85D}"/>
    <cellStyle name="Normal 5 2 4 4 3 3" xfId="22985" xr:uid="{E2A9FDAB-0006-44D7-9292-DE6D8E2FDE05}"/>
    <cellStyle name="Normal 5 2 4 4 3 4" xfId="31425" xr:uid="{FE484B6D-80A6-49E2-AF8C-D1C6AA06C741}"/>
    <cellStyle name="Normal 5 2 4 4 4" xfId="9252" xr:uid="{1D1A8EC4-7286-46A1-B40C-E987F273E760}"/>
    <cellStyle name="Normal 5 2 4 4 5" xfId="10327" xr:uid="{374F184F-B053-47F6-B8CC-8BA800475BA0}"/>
    <cellStyle name="Normal 5 2 4 4 6" xfId="18768" xr:uid="{9BBB91A9-A1F1-4C98-9715-0AF75E0719BB}"/>
    <cellStyle name="Normal 5 2 4 4 7" xfId="27208" xr:uid="{D68E893A-0BB4-4FC3-A48F-3FA42ACA2A41}"/>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B5D1F9DD-6861-4F46-9008-4484412A1C5F}"/>
    <cellStyle name="Normal 5 2 4 5 2 2 3" xfId="25543" xr:uid="{3AFB5FD4-7B25-4439-A1AC-5E927BB19060}"/>
    <cellStyle name="Normal 5 2 4 5 2 2 4" xfId="33983" xr:uid="{379C0DD9-66BC-4AD1-9780-7A5D87B386CA}"/>
    <cellStyle name="Normal 5 2 4 5 2 3" xfId="12885" xr:uid="{E92719AB-05CD-4C95-A29E-9F6D25D68761}"/>
    <cellStyle name="Normal 5 2 4 5 2 4" xfId="21326" xr:uid="{F513D04F-3016-486B-95E5-273369E9E507}"/>
    <cellStyle name="Normal 5 2 4 5 2 5" xfId="29766" xr:uid="{EF942F87-4FCB-4309-BCD7-48489E60482A}"/>
    <cellStyle name="Normal 5 2 4 5 3" xfId="5631" xr:uid="{00000000-0005-0000-0000-000016190000}"/>
    <cellStyle name="Normal 5 2 4 5 3 2" xfId="14957" xr:uid="{8AA97905-DEFA-4575-93F9-29B633FCFB8F}"/>
    <cellStyle name="Normal 5 2 4 5 3 3" xfId="23398" xr:uid="{F491525A-481F-4A41-9455-A9043996CF88}"/>
    <cellStyle name="Normal 5 2 4 5 3 4" xfId="31838" xr:uid="{EE1FD526-9507-4300-AAE3-E9C7B72C7400}"/>
    <cellStyle name="Normal 5 2 4 5 4" xfId="10740" xr:uid="{F7092B18-7960-4873-81FA-949B2DCA6C1E}"/>
    <cellStyle name="Normal 5 2 4 5 5" xfId="19181" xr:uid="{8069AEC7-E858-456A-B123-102B5DB900E9}"/>
    <cellStyle name="Normal 5 2 4 5 6" xfId="27621" xr:uid="{D26B387C-4AFC-41C7-95D7-5118F3595602}"/>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10B3A237-40E1-4294-BC07-817F7FE7236C}"/>
    <cellStyle name="Normal 5 2 4 6 2 2 3" xfId="25956" xr:uid="{C5E40870-2973-4672-A75A-0644C655827D}"/>
    <cellStyle name="Normal 5 2 4 6 2 2 4" xfId="34396" xr:uid="{A376CE25-2936-4629-BD2E-C5013F8655F6}"/>
    <cellStyle name="Normal 5 2 4 6 2 3" xfId="13298" xr:uid="{8DB99354-F49E-4B83-A8A5-0C390C74B765}"/>
    <cellStyle name="Normal 5 2 4 6 2 4" xfId="21739" xr:uid="{C76095F1-F4CC-44BD-8668-181BED3B6587}"/>
    <cellStyle name="Normal 5 2 4 6 2 5" xfId="30179" xr:uid="{F9A4B76C-FB64-46BD-A316-761827138AAB}"/>
    <cellStyle name="Normal 5 2 4 6 3" xfId="6044" xr:uid="{00000000-0005-0000-0000-00001A190000}"/>
    <cellStyle name="Normal 5 2 4 6 3 2" xfId="15370" xr:uid="{5014F7EF-DB14-4506-9537-73A2D4514187}"/>
    <cellStyle name="Normal 5 2 4 6 3 3" xfId="23811" xr:uid="{CBB9D6B0-1E4D-4FF4-BCD8-66FC614CF1CF}"/>
    <cellStyle name="Normal 5 2 4 6 3 4" xfId="32251" xr:uid="{DF4AF492-AF73-4DB5-8DEC-D701F875C308}"/>
    <cellStyle name="Normal 5 2 4 6 4" xfId="11153" xr:uid="{DF5E8E5D-45F0-4D1C-84CE-66EE55A52B63}"/>
    <cellStyle name="Normal 5 2 4 6 5" xfId="19594" xr:uid="{7A3997A1-C30C-453A-B6B7-FBD9EA601DCF}"/>
    <cellStyle name="Normal 5 2 4 6 6" xfId="28034" xr:uid="{E4BA8868-08DD-4EBD-9CFD-88D991F2AED0}"/>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F2D79257-60E5-4BC5-B236-4A91D65814C5}"/>
    <cellStyle name="Normal 5 2 4 7 2 2 3" xfId="26369" xr:uid="{06D64B46-427C-4654-8F5C-BE4B13CF3DD0}"/>
    <cellStyle name="Normal 5 2 4 7 2 2 4" xfId="34809" xr:uid="{8A923E46-5140-4010-BE82-D7D0AB6DDFC8}"/>
    <cellStyle name="Normal 5 2 4 7 2 3" xfId="13711" xr:uid="{EBAFC2E2-0AAC-4960-A081-CB3F152C705B}"/>
    <cellStyle name="Normal 5 2 4 7 2 4" xfId="22152" xr:uid="{A4B5CA9B-91D7-42CA-BC14-469FC93D175B}"/>
    <cellStyle name="Normal 5 2 4 7 2 5" xfId="30592" xr:uid="{6708FA2B-A605-4FD2-A896-67C9C65CF344}"/>
    <cellStyle name="Normal 5 2 4 7 3" xfId="6457" xr:uid="{00000000-0005-0000-0000-00001E190000}"/>
    <cellStyle name="Normal 5 2 4 7 3 2" xfId="15783" xr:uid="{FDF50BA1-20A2-44C4-9717-1B9510D2FAE1}"/>
    <cellStyle name="Normal 5 2 4 7 3 3" xfId="24224" xr:uid="{1A4688CB-FE47-4EE8-8634-20ABBD3D03D0}"/>
    <cellStyle name="Normal 5 2 4 7 3 4" xfId="32664" xr:uid="{E507CEF8-87F4-4E85-8FB2-0CD6897FDFF7}"/>
    <cellStyle name="Normal 5 2 4 7 4" xfId="11566" xr:uid="{82A15DE8-D655-431B-A4CE-C1254460E591}"/>
    <cellStyle name="Normal 5 2 4 7 5" xfId="20007" xr:uid="{2F023BE1-E965-4439-AA67-16F5B71DA870}"/>
    <cellStyle name="Normal 5 2 4 7 6" xfId="28447" xr:uid="{B631034D-0BE7-453B-BF1C-984C76A645F4}"/>
    <cellStyle name="Normal 5 2 4 8" xfId="2587" xr:uid="{00000000-0005-0000-0000-00001F190000}"/>
    <cellStyle name="Normal 5 2 4 8 2" xfId="6870" xr:uid="{00000000-0005-0000-0000-000020190000}"/>
    <cellStyle name="Normal 5 2 4 8 2 2" xfId="16196" xr:uid="{CAF052E4-BCED-4217-BCCE-96D1AAB10882}"/>
    <cellStyle name="Normal 5 2 4 8 2 3" xfId="24637" xr:uid="{D6F0DE08-CDDE-4F5E-A044-D370E3A26E77}"/>
    <cellStyle name="Normal 5 2 4 8 2 4" xfId="33077" xr:uid="{26524F75-8F84-4025-A774-1AD8C0437FA4}"/>
    <cellStyle name="Normal 5 2 4 8 3" xfId="11979" xr:uid="{466403DD-ABFA-4B6A-9D90-05DF9AB29B56}"/>
    <cellStyle name="Normal 5 2 4 8 4" xfId="20420" xr:uid="{1DFD6FCF-21CC-4F3F-9969-36872EDF0A8D}"/>
    <cellStyle name="Normal 5 2 4 8 5" xfId="28860" xr:uid="{1C25A767-B75B-4DBC-B615-B6D4F8CD5BD4}"/>
    <cellStyle name="Normal 5 2 4 9" xfId="4805" xr:uid="{00000000-0005-0000-0000-000021190000}"/>
    <cellStyle name="Normal 5 2 4 9 2" xfId="14131" xr:uid="{0D3978A4-690C-444E-A6FF-6CE1F860F6A9}"/>
    <cellStyle name="Normal 5 2 4 9 3" xfId="22572" xr:uid="{ACEA6932-E05C-455D-94F2-A13284A007FA}"/>
    <cellStyle name="Normal 5 2 4 9 4" xfId="31012" xr:uid="{1E9E5E56-9739-4986-A248-406C0A7EBBAE}"/>
    <cellStyle name="Normal 5 2 5" xfId="436" xr:uid="{00000000-0005-0000-0000-000022190000}"/>
    <cellStyle name="Normal 5 2 5 10" xfId="9918" xr:uid="{408AEB4F-8374-4D4C-847B-CF22B7BE33DD}"/>
    <cellStyle name="Normal 5 2 5 11" xfId="18359" xr:uid="{0CC2CD97-99AC-4601-A834-B77838C42730}"/>
    <cellStyle name="Normal 5 2 5 12" xfId="26799" xr:uid="{DBC76996-598C-4BAD-A40F-E5AAC17A6F19}"/>
    <cellStyle name="Normal 5 2 5 2" xfId="437" xr:uid="{00000000-0005-0000-0000-000023190000}"/>
    <cellStyle name="Normal 5 2 5 2 10" xfId="18360" xr:uid="{26F9D77B-321E-4109-A0E8-C8D2F48163EA}"/>
    <cellStyle name="Normal 5 2 5 2 11" xfId="26800" xr:uid="{58FB86F4-3540-49D2-B493-82A90E8FFA3E}"/>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0E8C8ECB-F9C3-4B6A-B503-15D07FDFBC3C}"/>
    <cellStyle name="Normal 5 2 5 2 2 2 2 3" xfId="25135" xr:uid="{00C583F2-7E99-46CA-9E3A-FAF8DB874E8F}"/>
    <cellStyle name="Normal 5 2 5 2 2 2 2 4" xfId="33575" xr:uid="{5B1A3210-05D6-42B1-95DC-D914CA118B59}"/>
    <cellStyle name="Normal 5 2 5 2 2 2 3" xfId="12477" xr:uid="{DE5E459B-DB15-4BA9-9FF5-A225EDEB9EB8}"/>
    <cellStyle name="Normal 5 2 5 2 2 2 4" xfId="20918" xr:uid="{6357E848-4E9F-4562-B1A2-546EED055402}"/>
    <cellStyle name="Normal 5 2 5 2 2 2 5" xfId="29358" xr:uid="{CA0C9608-8C80-4FE8-81D8-88AAF1DC3656}"/>
    <cellStyle name="Normal 5 2 5 2 2 3" xfId="5223" xr:uid="{00000000-0005-0000-0000-000027190000}"/>
    <cellStyle name="Normal 5 2 5 2 2 3 2" xfId="14549" xr:uid="{A51A005C-12B9-48F3-A2E0-AF6505937BDB}"/>
    <cellStyle name="Normal 5 2 5 2 2 3 3" xfId="22990" xr:uid="{FB04A6E8-8AC9-43C7-B5B2-8C7EAC02D48A}"/>
    <cellStyle name="Normal 5 2 5 2 2 3 4" xfId="31430" xr:uid="{0D247433-C0A1-4349-97E9-EBA410FCDF8F}"/>
    <cellStyle name="Normal 5 2 5 2 2 4" xfId="9479" xr:uid="{0DDFFFD4-5D62-4038-B6D4-9E9BD7CBA380}"/>
    <cellStyle name="Normal 5 2 5 2 2 5" xfId="10332" xr:uid="{4D708637-55A0-4027-81F1-3145ED058834}"/>
    <cellStyle name="Normal 5 2 5 2 2 6" xfId="18773" xr:uid="{022BA2BC-29D7-4D31-800D-4CB83FC1CE1E}"/>
    <cellStyle name="Normal 5 2 5 2 2 7" xfId="27213" xr:uid="{3DAE0C5A-5EF3-46B6-9906-9E28CC6B97D5}"/>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6E2EA5C6-7AB8-4F5A-8234-67AF4F79A6C2}"/>
    <cellStyle name="Normal 5 2 5 2 3 2 2 3" xfId="25548" xr:uid="{AA8B8E06-73A4-4F6A-AA34-C7171D33C996}"/>
    <cellStyle name="Normal 5 2 5 2 3 2 2 4" xfId="33988" xr:uid="{EA016BFB-F4D9-4B0C-A633-9D5C91E5B347}"/>
    <cellStyle name="Normal 5 2 5 2 3 2 3" xfId="12890" xr:uid="{2ABC07C3-CEB6-42A8-BF10-CACAE43CC377}"/>
    <cellStyle name="Normal 5 2 5 2 3 2 4" xfId="21331" xr:uid="{E0E5C7CF-5C3E-42EC-AC95-8B764DF8C2FE}"/>
    <cellStyle name="Normal 5 2 5 2 3 2 5" xfId="29771" xr:uid="{93D653EC-9306-489B-AADF-1C3A84DA8FC3}"/>
    <cellStyle name="Normal 5 2 5 2 3 3" xfId="5636" xr:uid="{00000000-0005-0000-0000-00002B190000}"/>
    <cellStyle name="Normal 5 2 5 2 3 3 2" xfId="14962" xr:uid="{77F8FD19-A8F8-4F76-91A1-CA759098E038}"/>
    <cellStyle name="Normal 5 2 5 2 3 3 3" xfId="23403" xr:uid="{2F80EC45-A76F-4E83-A971-964224EC8F78}"/>
    <cellStyle name="Normal 5 2 5 2 3 3 4" xfId="31843" xr:uid="{759FCAF2-5663-4BC5-A962-5B40287D1CB4}"/>
    <cellStyle name="Normal 5 2 5 2 3 4" xfId="10745" xr:uid="{00C77DD9-45B3-40C6-810A-6EF6B062EAF6}"/>
    <cellStyle name="Normal 5 2 5 2 3 5" xfId="19186" xr:uid="{A29AC8EB-7D6C-4821-A20B-E5A7E974C782}"/>
    <cellStyle name="Normal 5 2 5 2 3 6" xfId="27626" xr:uid="{DD3CF09E-B21A-4AAD-BDAB-F42C9A029C00}"/>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BC98DA96-5DA1-47FD-A778-704E8B851D23}"/>
    <cellStyle name="Normal 5 2 5 2 4 2 2 3" xfId="25961" xr:uid="{650498F2-C708-40C0-920D-1EE2DD92442D}"/>
    <cellStyle name="Normal 5 2 5 2 4 2 2 4" xfId="34401" xr:uid="{414689E8-5867-4BDC-AB06-EBB3F3D05EDB}"/>
    <cellStyle name="Normal 5 2 5 2 4 2 3" xfId="13303" xr:uid="{FD41EC30-F068-4A95-A920-76F5B5A6038D}"/>
    <cellStyle name="Normal 5 2 5 2 4 2 4" xfId="21744" xr:uid="{F39D1A94-A3F2-4A3C-9D44-B89D74BA84C8}"/>
    <cellStyle name="Normal 5 2 5 2 4 2 5" xfId="30184" xr:uid="{1BFBB437-8F8F-4308-88A5-C168F39E096A}"/>
    <cellStyle name="Normal 5 2 5 2 4 3" xfId="6049" xr:uid="{00000000-0005-0000-0000-00002F190000}"/>
    <cellStyle name="Normal 5 2 5 2 4 3 2" xfId="15375" xr:uid="{678FECCC-C24D-4363-832E-579096469934}"/>
    <cellStyle name="Normal 5 2 5 2 4 3 3" xfId="23816" xr:uid="{3CFC9897-15B3-49F2-B787-410C532D76CD}"/>
    <cellStyle name="Normal 5 2 5 2 4 3 4" xfId="32256" xr:uid="{8B914F77-5AAF-44A6-A18C-3453FDEB69A3}"/>
    <cellStyle name="Normal 5 2 5 2 4 4" xfId="11158" xr:uid="{DA196ECA-4C5F-4031-A90F-E9013A7EB0A6}"/>
    <cellStyle name="Normal 5 2 5 2 4 5" xfId="19599" xr:uid="{E773517D-87FF-415C-AB4B-34078CBAE5BE}"/>
    <cellStyle name="Normal 5 2 5 2 4 6" xfId="28039" xr:uid="{8119B025-934C-42DE-8D8D-67D07AB916A2}"/>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6BB390EA-0CE8-40F5-853A-7945C3016E14}"/>
    <cellStyle name="Normal 5 2 5 2 5 2 2 3" xfId="26374" xr:uid="{48A51219-6DD2-492B-9F9B-CD4E074812DE}"/>
    <cellStyle name="Normal 5 2 5 2 5 2 2 4" xfId="34814" xr:uid="{BE776325-F87E-4758-AA8C-42C9D94127A4}"/>
    <cellStyle name="Normal 5 2 5 2 5 2 3" xfId="13716" xr:uid="{D3423BEA-7F74-4CB5-9CBD-F4444E60DC22}"/>
    <cellStyle name="Normal 5 2 5 2 5 2 4" xfId="22157" xr:uid="{52EF3523-28E4-4A51-992D-7C1C16C49A54}"/>
    <cellStyle name="Normal 5 2 5 2 5 2 5" xfId="30597" xr:uid="{8CC2B979-A6E5-4379-94F9-67129F33777D}"/>
    <cellStyle name="Normal 5 2 5 2 5 3" xfId="6462" xr:uid="{00000000-0005-0000-0000-000033190000}"/>
    <cellStyle name="Normal 5 2 5 2 5 3 2" xfId="15788" xr:uid="{9B76DCB3-725A-4184-9B72-7E8BD73EDD5F}"/>
    <cellStyle name="Normal 5 2 5 2 5 3 3" xfId="24229" xr:uid="{346E97E1-65EE-45C7-80F3-FE1C602AA89B}"/>
    <cellStyle name="Normal 5 2 5 2 5 3 4" xfId="32669" xr:uid="{2D3C20D3-C5C4-4BED-AC4F-21BAA4409FCB}"/>
    <cellStyle name="Normal 5 2 5 2 5 4" xfId="11571" xr:uid="{AE3BE4E8-6EA6-4572-B9B3-217F95F2F695}"/>
    <cellStyle name="Normal 5 2 5 2 5 5" xfId="20012" xr:uid="{2E9A63DA-300D-4691-A93A-34704E77578C}"/>
    <cellStyle name="Normal 5 2 5 2 5 6" xfId="28452" xr:uid="{5E8557FF-414C-48A7-ABB4-CAD26C1EB85A}"/>
    <cellStyle name="Normal 5 2 5 2 6" xfId="2592" xr:uid="{00000000-0005-0000-0000-000034190000}"/>
    <cellStyle name="Normal 5 2 5 2 6 2" xfId="6875" xr:uid="{00000000-0005-0000-0000-000035190000}"/>
    <cellStyle name="Normal 5 2 5 2 6 2 2" xfId="16201" xr:uid="{5284738D-7DA4-4665-9A13-E02D59DFA6E0}"/>
    <cellStyle name="Normal 5 2 5 2 6 2 3" xfId="24642" xr:uid="{A20C0752-DB11-4F58-AE12-476E2B49CBE8}"/>
    <cellStyle name="Normal 5 2 5 2 6 2 4" xfId="33082" xr:uid="{B7981AD3-4D66-425F-9D06-87C6C1D4CA91}"/>
    <cellStyle name="Normal 5 2 5 2 6 3" xfId="11984" xr:uid="{7D6E61DA-0481-4000-AB67-287653DD3C80}"/>
    <cellStyle name="Normal 5 2 5 2 6 4" xfId="20425" xr:uid="{2A0C659A-38F8-4D38-804C-3684D0A51766}"/>
    <cellStyle name="Normal 5 2 5 2 6 5" xfId="28865" xr:uid="{D7E26E4E-BE6D-40F6-9917-BBFF039CFB77}"/>
    <cellStyle name="Normal 5 2 5 2 7" xfId="4810" xr:uid="{00000000-0005-0000-0000-000036190000}"/>
    <cellStyle name="Normal 5 2 5 2 7 2" xfId="14136" xr:uid="{3860CDC5-A1DF-44B1-B1B2-5D8BBBD6572D}"/>
    <cellStyle name="Normal 5 2 5 2 7 3" xfId="22577" xr:uid="{137F3ECC-E1B3-4211-AFBA-DD584F9D23C5}"/>
    <cellStyle name="Normal 5 2 5 2 7 4" xfId="31017" xr:uid="{B11A26E1-AB6C-4B25-B363-46D2A113E295}"/>
    <cellStyle name="Normal 5 2 5 2 8" xfId="9054" xr:uid="{844F6476-DDB9-4C38-A2B2-83AB0DCF1773}"/>
    <cellStyle name="Normal 5 2 5 2 9" xfId="9919" xr:uid="{AA29C214-E059-472E-9CB5-E345534C44EC}"/>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02AB9620-4B1F-47FE-898E-9B3B2DD273E8}"/>
    <cellStyle name="Normal 5 2 5 3 2 2 3" xfId="25134" xr:uid="{1204B8BA-502F-4D5C-8778-16F6C3287B6F}"/>
    <cellStyle name="Normal 5 2 5 3 2 2 4" xfId="33574" xr:uid="{AB73166E-E83F-4C03-9CBD-5A960B0D6774}"/>
    <cellStyle name="Normal 5 2 5 3 2 3" xfId="12476" xr:uid="{F5F36A95-40B7-4F24-AED6-391F3CBFA7A8}"/>
    <cellStyle name="Normal 5 2 5 3 2 4" xfId="20917" xr:uid="{C70EB669-5D8F-4817-9ED7-446F56AD6CB7}"/>
    <cellStyle name="Normal 5 2 5 3 2 5" xfId="29357" xr:uid="{292239DD-73DA-4F66-95CA-06FD00804D6C}"/>
    <cellStyle name="Normal 5 2 5 3 3" xfId="5222" xr:uid="{00000000-0005-0000-0000-00003A190000}"/>
    <cellStyle name="Normal 5 2 5 3 3 2" xfId="14548" xr:uid="{2598885A-94BE-46C3-9799-E6A586C23717}"/>
    <cellStyle name="Normal 5 2 5 3 3 3" xfId="22989" xr:uid="{C8767066-ABAF-41F8-8CEF-43001BCB7862}"/>
    <cellStyle name="Normal 5 2 5 3 3 4" xfId="31429" xr:uid="{F7B372E6-0C1E-444E-8A87-D16BB67AD70C}"/>
    <cellStyle name="Normal 5 2 5 3 4" xfId="9272" xr:uid="{8865498C-CC61-4C5F-A1F4-57A1D301E1CE}"/>
    <cellStyle name="Normal 5 2 5 3 5" xfId="10331" xr:uid="{97F634B7-7E20-4F72-AE05-9CEC04902840}"/>
    <cellStyle name="Normal 5 2 5 3 6" xfId="18772" xr:uid="{22B87F63-80ED-4CF7-8643-B6CB26A8F361}"/>
    <cellStyle name="Normal 5 2 5 3 7" xfId="27212" xr:uid="{36DAF724-84AE-40BB-848D-999F69CC2543}"/>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4AD4F90A-3CD7-45C4-8F95-EC1F2BB7B4CA}"/>
    <cellStyle name="Normal 5 2 5 4 2 2 3" xfId="25547" xr:uid="{B5C622D7-9422-44B4-A8BC-0E5BB9865898}"/>
    <cellStyle name="Normal 5 2 5 4 2 2 4" xfId="33987" xr:uid="{E4DE7553-5981-43F1-8874-6DC51067916F}"/>
    <cellStyle name="Normal 5 2 5 4 2 3" xfId="12889" xr:uid="{0765CA11-6A37-4489-80AB-5BB9316C0A90}"/>
    <cellStyle name="Normal 5 2 5 4 2 4" xfId="21330" xr:uid="{5B28C6ED-C547-4886-A024-833FE74068C8}"/>
    <cellStyle name="Normal 5 2 5 4 2 5" xfId="29770" xr:uid="{11731636-89D3-4F08-B21B-991BB04A9C7B}"/>
    <cellStyle name="Normal 5 2 5 4 3" xfId="5635" xr:uid="{00000000-0005-0000-0000-00003E190000}"/>
    <cellStyle name="Normal 5 2 5 4 3 2" xfId="14961" xr:uid="{8F796F95-22BC-4BF8-8F21-C642CB143127}"/>
    <cellStyle name="Normal 5 2 5 4 3 3" xfId="23402" xr:uid="{3F86A057-178C-43E4-9C91-2C813709CF91}"/>
    <cellStyle name="Normal 5 2 5 4 3 4" xfId="31842" xr:uid="{5D770D77-9BA9-49AF-8227-3FB8B5006BDC}"/>
    <cellStyle name="Normal 5 2 5 4 4" xfId="10744" xr:uid="{15980B5F-473E-4F6B-B8E2-953A49C0DA34}"/>
    <cellStyle name="Normal 5 2 5 4 5" xfId="19185" xr:uid="{161CD9E2-8C75-41AA-B3BE-7DB923CDF8E5}"/>
    <cellStyle name="Normal 5 2 5 4 6" xfId="27625" xr:uid="{4F504098-394F-4FCA-85E5-8614C4707CD2}"/>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0939E36C-DEA9-4C75-9615-903CC1597133}"/>
    <cellStyle name="Normal 5 2 5 5 2 2 3" xfId="25960" xr:uid="{825A8DA1-AF83-4BCF-A809-07EEF390F215}"/>
    <cellStyle name="Normal 5 2 5 5 2 2 4" xfId="34400" xr:uid="{B3B4CC88-437C-44DF-8520-6AFDA404AA17}"/>
    <cellStyle name="Normal 5 2 5 5 2 3" xfId="13302" xr:uid="{0448FA8D-3327-4C60-B62D-7359E30615CA}"/>
    <cellStyle name="Normal 5 2 5 5 2 4" xfId="21743" xr:uid="{1539FD5E-3752-41D7-A5DE-9BE65532FF90}"/>
    <cellStyle name="Normal 5 2 5 5 2 5" xfId="30183" xr:uid="{DAD5EECD-404A-40D6-B7BA-76421FD5ED1D}"/>
    <cellStyle name="Normal 5 2 5 5 3" xfId="6048" xr:uid="{00000000-0005-0000-0000-000042190000}"/>
    <cellStyle name="Normal 5 2 5 5 3 2" xfId="15374" xr:uid="{990DFD16-F709-420B-AECD-1EA11DD88DE0}"/>
    <cellStyle name="Normal 5 2 5 5 3 3" xfId="23815" xr:uid="{E11BFBA4-CF95-4F09-8027-5F757E209CD5}"/>
    <cellStyle name="Normal 5 2 5 5 3 4" xfId="32255" xr:uid="{1DD306A7-9DE2-45EC-ABE2-395B6E84155B}"/>
    <cellStyle name="Normal 5 2 5 5 4" xfId="11157" xr:uid="{B7169A73-2DDD-4D71-8345-AD3089BB1361}"/>
    <cellStyle name="Normal 5 2 5 5 5" xfId="19598" xr:uid="{2796FBC8-5E15-472E-9893-0B4158D72105}"/>
    <cellStyle name="Normal 5 2 5 5 6" xfId="28038" xr:uid="{38EFA66E-F7D8-408A-A35D-BACA85A26719}"/>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F7AF3A58-85F6-4171-9EB2-1F35248B3961}"/>
    <cellStyle name="Normal 5 2 5 6 2 2 3" xfId="26373" xr:uid="{6C8BC1D3-DAA2-4250-A4A4-057602D32E3E}"/>
    <cellStyle name="Normal 5 2 5 6 2 2 4" xfId="34813" xr:uid="{B484C131-50CE-41F9-9F22-48C715E6AA57}"/>
    <cellStyle name="Normal 5 2 5 6 2 3" xfId="13715" xr:uid="{62D547B0-61BF-4541-9E02-E8BE73528382}"/>
    <cellStyle name="Normal 5 2 5 6 2 4" xfId="22156" xr:uid="{F069B9AC-3691-450D-9F4E-EF5CFC79B14C}"/>
    <cellStyle name="Normal 5 2 5 6 2 5" xfId="30596" xr:uid="{F3260431-43FF-4563-B0D1-4697C0E70ED0}"/>
    <cellStyle name="Normal 5 2 5 6 3" xfId="6461" xr:uid="{00000000-0005-0000-0000-000046190000}"/>
    <cellStyle name="Normal 5 2 5 6 3 2" xfId="15787" xr:uid="{BB2A30FF-450B-451D-B10D-3787E3852752}"/>
    <cellStyle name="Normal 5 2 5 6 3 3" xfId="24228" xr:uid="{445D61F0-DE40-4FCB-B68B-C3F7863BABFE}"/>
    <cellStyle name="Normal 5 2 5 6 3 4" xfId="32668" xr:uid="{DBA02234-41A2-4915-B71B-7FDA6345F078}"/>
    <cellStyle name="Normal 5 2 5 6 4" xfId="11570" xr:uid="{B2B25C63-F6E8-4284-8E0C-76B2AFEB3668}"/>
    <cellStyle name="Normal 5 2 5 6 5" xfId="20011" xr:uid="{E2796E80-856C-411A-BB25-3D65FF2EFCEC}"/>
    <cellStyle name="Normal 5 2 5 6 6" xfId="28451" xr:uid="{0A086F48-9294-46BD-AADE-F1F0507AA730}"/>
    <cellStyle name="Normal 5 2 5 7" xfId="2591" xr:uid="{00000000-0005-0000-0000-000047190000}"/>
    <cellStyle name="Normal 5 2 5 7 2" xfId="6874" xr:uid="{00000000-0005-0000-0000-000048190000}"/>
    <cellStyle name="Normal 5 2 5 7 2 2" xfId="16200" xr:uid="{6F1B8BD8-5510-4843-BA7B-192F3484880F}"/>
    <cellStyle name="Normal 5 2 5 7 2 3" xfId="24641" xr:uid="{D7EFCE98-5B1F-4E06-B1C8-343FE7422E1C}"/>
    <cellStyle name="Normal 5 2 5 7 2 4" xfId="33081" xr:uid="{545DB1A8-CFD7-44D7-A0DC-0F8D41BC8574}"/>
    <cellStyle name="Normal 5 2 5 7 3" xfId="11983" xr:uid="{1013214A-A263-495D-BD0A-13E9CA20E035}"/>
    <cellStyle name="Normal 5 2 5 7 4" xfId="20424" xr:uid="{A1E45FBE-F739-4C22-9947-32F097B945A9}"/>
    <cellStyle name="Normal 5 2 5 7 5" xfId="28864" xr:uid="{4B34C2FE-1A45-40F1-8074-0E6D3F68B413}"/>
    <cellStyle name="Normal 5 2 5 8" xfId="4809" xr:uid="{00000000-0005-0000-0000-000049190000}"/>
    <cellStyle name="Normal 5 2 5 8 2" xfId="14135" xr:uid="{330FCFF3-073D-4003-84CE-E035297FC062}"/>
    <cellStyle name="Normal 5 2 5 8 3" xfId="22576" xr:uid="{E3C6B6F2-5C56-4B20-A711-638A1AB7C4C5}"/>
    <cellStyle name="Normal 5 2 5 8 4" xfId="31016" xr:uid="{EA590697-01BD-4C6A-8CD8-90747779293D}"/>
    <cellStyle name="Normal 5 2 5 9" xfId="8847" xr:uid="{504334B5-BB84-4906-81A5-68746D711AC3}"/>
    <cellStyle name="Normal 5 2 6" xfId="438" xr:uid="{00000000-0005-0000-0000-00004A190000}"/>
    <cellStyle name="Normal 5 2 6 10" xfId="18361" xr:uid="{215BFCE0-DDEF-478C-BD59-5E292109BC5F}"/>
    <cellStyle name="Normal 5 2 6 11" xfId="26801" xr:uid="{1BB2E4AE-7702-4087-9513-12A973C6BF87}"/>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679114DA-8EB1-497D-9474-CAFA5A8E9D2B}"/>
    <cellStyle name="Normal 5 2 6 2 2 2 3" xfId="25136" xr:uid="{7768DF75-FED2-4CFC-9678-00869E397127}"/>
    <cellStyle name="Normal 5 2 6 2 2 2 4" xfId="33576" xr:uid="{F138301A-0B30-4D7A-8196-FA084879151D}"/>
    <cellStyle name="Normal 5 2 6 2 2 3" xfId="12478" xr:uid="{D076E83E-69F5-4460-A203-6DF7D1366B28}"/>
    <cellStyle name="Normal 5 2 6 2 2 4" xfId="20919" xr:uid="{EE4D6771-F90D-4357-81FD-40CC4116CD5E}"/>
    <cellStyle name="Normal 5 2 6 2 2 5" xfId="29359" xr:uid="{31DA5C1A-7E61-499F-9D69-AAD5EE893749}"/>
    <cellStyle name="Normal 5 2 6 2 3" xfId="5224" xr:uid="{00000000-0005-0000-0000-00004E190000}"/>
    <cellStyle name="Normal 5 2 6 2 3 2" xfId="14550" xr:uid="{AF258FF0-64AC-4CF2-86ED-D15FD902F2A7}"/>
    <cellStyle name="Normal 5 2 6 2 3 3" xfId="22991" xr:uid="{26924342-D269-4A00-AC18-71F478ACE8C8}"/>
    <cellStyle name="Normal 5 2 6 2 3 4" xfId="31431" xr:uid="{BB0C962A-7B3B-4547-ABA1-E653B2A1D91F}"/>
    <cellStyle name="Normal 5 2 6 2 4" xfId="9388" xr:uid="{38BE55A5-085B-499D-8766-DF826B77D03C}"/>
    <cellStyle name="Normal 5 2 6 2 5" xfId="10333" xr:uid="{0774F88D-12A8-49F2-89F3-363957CE176C}"/>
    <cellStyle name="Normal 5 2 6 2 6" xfId="18774" xr:uid="{B622E02C-927E-40DD-8919-769C87DB1011}"/>
    <cellStyle name="Normal 5 2 6 2 7" xfId="27214" xr:uid="{C6A6E035-DB02-4C6D-B0EC-75F763F82B5B}"/>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324EF800-6B44-4E8A-90B6-8D63271E8AD6}"/>
    <cellStyle name="Normal 5 2 6 3 2 2 3" xfId="25549" xr:uid="{B91B51DF-D993-4A2A-BF0C-86CECBD3C2CA}"/>
    <cellStyle name="Normal 5 2 6 3 2 2 4" xfId="33989" xr:uid="{18CD51B7-3B84-489E-B7D8-9AB8FF0433D0}"/>
    <cellStyle name="Normal 5 2 6 3 2 3" xfId="12891" xr:uid="{97CC26DF-F765-413D-A591-90330CAD38F1}"/>
    <cellStyle name="Normal 5 2 6 3 2 4" xfId="21332" xr:uid="{916062D1-242F-46E1-BC96-42B99AB8AB24}"/>
    <cellStyle name="Normal 5 2 6 3 2 5" xfId="29772" xr:uid="{AC9F43EA-8FB1-4DC1-BF35-414267CB1645}"/>
    <cellStyle name="Normal 5 2 6 3 3" xfId="5637" xr:uid="{00000000-0005-0000-0000-000052190000}"/>
    <cellStyle name="Normal 5 2 6 3 3 2" xfId="14963" xr:uid="{AB81450E-1761-4359-A3C4-B87278827EDC}"/>
    <cellStyle name="Normal 5 2 6 3 3 3" xfId="23404" xr:uid="{63DDD297-9BC1-46C6-97E1-83E3C63BC697}"/>
    <cellStyle name="Normal 5 2 6 3 3 4" xfId="31844" xr:uid="{9C2DB192-9590-49A5-A1CB-1AE79793A891}"/>
    <cellStyle name="Normal 5 2 6 3 4" xfId="10746" xr:uid="{A46B249E-CCE7-4843-87E2-C587E023F139}"/>
    <cellStyle name="Normal 5 2 6 3 5" xfId="19187" xr:uid="{121CE339-5B80-48A4-9E42-2C8BD928EA18}"/>
    <cellStyle name="Normal 5 2 6 3 6" xfId="27627" xr:uid="{F20B5EA8-8007-441B-9EA3-DDD845431F4D}"/>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DE4AC656-B983-4E0D-B861-2910BE8476B9}"/>
    <cellStyle name="Normal 5 2 6 4 2 2 3" xfId="25962" xr:uid="{37AC34CB-CB78-4EDA-9674-46D7A8AD4935}"/>
    <cellStyle name="Normal 5 2 6 4 2 2 4" xfId="34402" xr:uid="{CB16F857-DF39-4D53-9015-256B382906C1}"/>
    <cellStyle name="Normal 5 2 6 4 2 3" xfId="13304" xr:uid="{3FB404A9-F800-483F-AE37-667047DB7269}"/>
    <cellStyle name="Normal 5 2 6 4 2 4" xfId="21745" xr:uid="{85B87537-8F17-41C2-AE85-3116E880509C}"/>
    <cellStyle name="Normal 5 2 6 4 2 5" xfId="30185" xr:uid="{295787A9-205C-4047-8DA4-C9EF67314BBD}"/>
    <cellStyle name="Normal 5 2 6 4 3" xfId="6050" xr:uid="{00000000-0005-0000-0000-000056190000}"/>
    <cellStyle name="Normal 5 2 6 4 3 2" xfId="15376" xr:uid="{EA225197-CB2D-4B62-B407-CBB7BCBDFFE5}"/>
    <cellStyle name="Normal 5 2 6 4 3 3" xfId="23817" xr:uid="{6880B6A4-44F4-4472-A723-EDB85A6D38D2}"/>
    <cellStyle name="Normal 5 2 6 4 3 4" xfId="32257" xr:uid="{06656729-5BFD-4049-9A3C-DFC20395B44A}"/>
    <cellStyle name="Normal 5 2 6 4 4" xfId="11159" xr:uid="{FE79E018-637B-449D-B52A-32E2F30C49BC}"/>
    <cellStyle name="Normal 5 2 6 4 5" xfId="19600" xr:uid="{11BFA78A-70BE-4E1F-A328-5DF1A28F22AF}"/>
    <cellStyle name="Normal 5 2 6 4 6" xfId="28040" xr:uid="{76D71079-2DAB-47DE-AAA2-1706DEB3F1EF}"/>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38329A9B-6E65-4E18-808D-0D81F1023FED}"/>
    <cellStyle name="Normal 5 2 6 5 2 2 3" xfId="26375" xr:uid="{53D4A148-BDED-4BD8-A239-B51C1CF35ED9}"/>
    <cellStyle name="Normal 5 2 6 5 2 2 4" xfId="34815" xr:uid="{BCAB5CB0-4F3D-49A4-9A06-2881F2DF7344}"/>
    <cellStyle name="Normal 5 2 6 5 2 3" xfId="13717" xr:uid="{033B1DD4-E71C-4F5C-9A63-5044B3E977CB}"/>
    <cellStyle name="Normal 5 2 6 5 2 4" xfId="22158" xr:uid="{AA3F470C-8C1A-44E4-94FB-83B47F86C666}"/>
    <cellStyle name="Normal 5 2 6 5 2 5" xfId="30598" xr:uid="{B429B170-E78D-44C1-A23E-D3454D0063B3}"/>
    <cellStyle name="Normal 5 2 6 5 3" xfId="6463" xr:uid="{00000000-0005-0000-0000-00005A190000}"/>
    <cellStyle name="Normal 5 2 6 5 3 2" xfId="15789" xr:uid="{50A43E32-70C4-4FC8-BBD3-AE39140D586F}"/>
    <cellStyle name="Normal 5 2 6 5 3 3" xfId="24230" xr:uid="{D48FAAE9-F1BF-4140-AB3F-2199D481A77C}"/>
    <cellStyle name="Normal 5 2 6 5 3 4" xfId="32670" xr:uid="{8A0A54DF-48AF-4F5C-AADB-DE0EF1E9419F}"/>
    <cellStyle name="Normal 5 2 6 5 4" xfId="11572" xr:uid="{DA7262CF-2279-45B5-8B74-3061FBC6819E}"/>
    <cellStyle name="Normal 5 2 6 5 5" xfId="20013" xr:uid="{7418F986-3EED-408E-9478-F64EED4FF23D}"/>
    <cellStyle name="Normal 5 2 6 5 6" xfId="28453" xr:uid="{FECF5061-2B44-42DF-A3E3-4CBAAC08E2BF}"/>
    <cellStyle name="Normal 5 2 6 6" xfId="2593" xr:uid="{00000000-0005-0000-0000-00005B190000}"/>
    <cellStyle name="Normal 5 2 6 6 2" xfId="6876" xr:uid="{00000000-0005-0000-0000-00005C190000}"/>
    <cellStyle name="Normal 5 2 6 6 2 2" xfId="16202" xr:uid="{E454043C-CF33-4ADF-B96B-70DD58D5F3FB}"/>
    <cellStyle name="Normal 5 2 6 6 2 3" xfId="24643" xr:uid="{A1E110A6-1A5C-4A34-AB14-B3D58ABF1D01}"/>
    <cellStyle name="Normal 5 2 6 6 2 4" xfId="33083" xr:uid="{50CD62D0-4D8A-46E0-B112-70ECF25589C3}"/>
    <cellStyle name="Normal 5 2 6 6 3" xfId="11985" xr:uid="{BA2DD400-4C1A-4D76-A202-EC1EC9B37491}"/>
    <cellStyle name="Normal 5 2 6 6 4" xfId="20426" xr:uid="{D064CCC9-5CE2-43A2-91ED-65775C3C52B5}"/>
    <cellStyle name="Normal 5 2 6 6 5" xfId="28866" xr:uid="{D5347858-5696-4720-8450-31A69B1C4AD7}"/>
    <cellStyle name="Normal 5 2 6 7" xfId="4811" xr:uid="{00000000-0005-0000-0000-00005D190000}"/>
    <cellStyle name="Normal 5 2 6 7 2" xfId="14137" xr:uid="{962FF016-6F03-4DBB-B8EE-91D14A19F58E}"/>
    <cellStyle name="Normal 5 2 6 7 3" xfId="22578" xr:uid="{AB33524E-D6D8-4D01-8300-09DFDCE1ABAD}"/>
    <cellStyle name="Normal 5 2 6 7 4" xfId="31018" xr:uid="{D1803C28-372E-4600-8BE2-32E3F93E35AE}"/>
    <cellStyle name="Normal 5 2 6 8" xfId="8963" xr:uid="{01BDB756-0B70-4C0D-AC32-9959EE0C8F11}"/>
    <cellStyle name="Normal 5 2 6 9" xfId="9920" xr:uid="{F4D1084F-BBC5-49F2-8163-60AFD85F16F1}"/>
    <cellStyle name="Normal 5 2 7" xfId="881" xr:uid="{00000000-0005-0000-0000-00005E190000}"/>
    <cellStyle name="Normal 5 2 7 2" xfId="3116" xr:uid="{00000000-0005-0000-0000-00005F190000}"/>
    <cellStyle name="Normal 5 2 7 2 2" xfId="7338" xr:uid="{00000000-0005-0000-0000-000060190000}"/>
    <cellStyle name="Normal 5 2 7 2 2 2" xfId="16664" xr:uid="{B53CA51B-D230-456C-94DD-D5B882A2C5AF}"/>
    <cellStyle name="Normal 5 2 7 2 2 3" xfId="25105" xr:uid="{0959353C-45C1-4908-AD19-5C42655C24EF}"/>
    <cellStyle name="Normal 5 2 7 2 2 4" xfId="33545" xr:uid="{A5B7360A-8FA4-4305-BE5D-08BAE02E78FC}"/>
    <cellStyle name="Normal 5 2 7 2 3" xfId="12447" xr:uid="{2F406DC3-689A-4C92-9DF0-36C077B4B0CC}"/>
    <cellStyle name="Normal 5 2 7 2 4" xfId="20888" xr:uid="{A1F729D8-526C-4749-AE7A-508446AF3CFD}"/>
    <cellStyle name="Normal 5 2 7 2 5" xfId="29328" xr:uid="{BEA936FB-3807-43A5-9938-445D7BC60FEE}"/>
    <cellStyle name="Normal 5 2 7 3" xfId="5193" xr:uid="{00000000-0005-0000-0000-000061190000}"/>
    <cellStyle name="Normal 5 2 7 3 2" xfId="14519" xr:uid="{F330836E-2F3C-4B2E-9BF6-6BDF19461A6D}"/>
    <cellStyle name="Normal 5 2 7 3 3" xfId="22960" xr:uid="{D9E7F31F-0935-4E74-A9DC-34CAC8D56CF7}"/>
    <cellStyle name="Normal 5 2 7 3 4" xfId="31400" xr:uid="{B37F848A-4EA0-4578-80BC-E904BF2A0E11}"/>
    <cellStyle name="Normal 5 2 7 4" xfId="9166" xr:uid="{903BB692-5043-4803-B109-F7C532EB2A09}"/>
    <cellStyle name="Normal 5 2 7 5" xfId="10302" xr:uid="{1052615D-785E-4099-A7EE-8B8649BDBC2C}"/>
    <cellStyle name="Normal 5 2 7 6" xfId="18743" xr:uid="{07853F1D-8A75-4DC9-9C43-A5FB5DB7A862}"/>
    <cellStyle name="Normal 5 2 7 7" xfId="27183" xr:uid="{D0D38066-CAEB-4AA9-B719-101DBDE37BAC}"/>
    <cellStyle name="Normal 5 2 8" xfId="1299" xr:uid="{00000000-0005-0000-0000-000062190000}"/>
    <cellStyle name="Normal 5 2 8 2" xfId="3529" xr:uid="{00000000-0005-0000-0000-000063190000}"/>
    <cellStyle name="Normal 5 2 8 2 2" xfId="7751" xr:uid="{00000000-0005-0000-0000-000064190000}"/>
    <cellStyle name="Normal 5 2 8 2 2 2" xfId="17077" xr:uid="{00543E85-2623-4998-B2D9-22850DC8AEAA}"/>
    <cellStyle name="Normal 5 2 8 2 2 3" xfId="25518" xr:uid="{70B48DD8-4470-429D-B07A-4B3AD57C5D55}"/>
    <cellStyle name="Normal 5 2 8 2 2 4" xfId="33958" xr:uid="{3C42CEED-499C-4A3A-955B-1044C80144EA}"/>
    <cellStyle name="Normal 5 2 8 2 3" xfId="12860" xr:uid="{515EF322-06E0-4D46-9512-8BAC8FDFEAF5}"/>
    <cellStyle name="Normal 5 2 8 2 4" xfId="21301" xr:uid="{C620C138-D30F-4674-B1B2-DF03100B462E}"/>
    <cellStyle name="Normal 5 2 8 2 5" xfId="29741" xr:uid="{D565E251-EF83-44BA-AFD2-88586AA6E532}"/>
    <cellStyle name="Normal 5 2 8 3" xfId="5606" xr:uid="{00000000-0005-0000-0000-000065190000}"/>
    <cellStyle name="Normal 5 2 8 3 2" xfId="14932" xr:uid="{71053BF2-5FD3-4463-A184-5690D7A8C03B}"/>
    <cellStyle name="Normal 5 2 8 3 3" xfId="23373" xr:uid="{E4AF305E-D898-4015-A22F-70ED86343D12}"/>
    <cellStyle name="Normal 5 2 8 3 4" xfId="31813" xr:uid="{25F875CF-5B1C-4613-9FCD-FDA1C83743B1}"/>
    <cellStyle name="Normal 5 2 8 4" xfId="10715" xr:uid="{F73803F8-974F-4065-9C4D-60BA13D50AC4}"/>
    <cellStyle name="Normal 5 2 8 5" xfId="19156" xr:uid="{3C9400A6-FB97-435F-A9A4-0441A7ADA2EB}"/>
    <cellStyle name="Normal 5 2 8 6" xfId="27596" xr:uid="{401DED5B-4BCD-40C1-87C1-554316696AD2}"/>
    <cellStyle name="Normal 5 2 9" xfId="1712" xr:uid="{00000000-0005-0000-0000-000066190000}"/>
    <cellStyle name="Normal 5 2 9 2" xfId="3942" xr:uid="{00000000-0005-0000-0000-000067190000}"/>
    <cellStyle name="Normal 5 2 9 2 2" xfId="8164" xr:uid="{00000000-0005-0000-0000-000068190000}"/>
    <cellStyle name="Normal 5 2 9 2 2 2" xfId="17490" xr:uid="{93EE2F75-EE44-4E9E-8FBA-FC720C5A91E3}"/>
    <cellStyle name="Normal 5 2 9 2 2 3" xfId="25931" xr:uid="{C7CA831F-3261-4F28-8FA0-BBF2CA42F5BA}"/>
    <cellStyle name="Normal 5 2 9 2 2 4" xfId="34371" xr:uid="{3ABDD266-5E3B-45EE-9CD9-D7B8465BED57}"/>
    <cellStyle name="Normal 5 2 9 2 3" xfId="13273" xr:uid="{588941D6-E83C-4184-9963-C609C4AAD68E}"/>
    <cellStyle name="Normal 5 2 9 2 4" xfId="21714" xr:uid="{594200FF-DE63-4B5E-9D71-22A372EEB2A7}"/>
    <cellStyle name="Normal 5 2 9 2 5" xfId="30154" xr:uid="{994B7864-4DE0-4610-8B41-574E0FF4EFA8}"/>
    <cellStyle name="Normal 5 2 9 3" xfId="6019" xr:uid="{00000000-0005-0000-0000-000069190000}"/>
    <cellStyle name="Normal 5 2 9 3 2" xfId="15345" xr:uid="{45AA80B4-5706-4985-BFF3-CAC2236F3265}"/>
    <cellStyle name="Normal 5 2 9 3 3" xfId="23786" xr:uid="{EB6B3DFB-68A3-4F4F-8F25-EB016EDBD59D}"/>
    <cellStyle name="Normal 5 2 9 3 4" xfId="32226" xr:uid="{2A6C5B3A-FECE-4BD0-A44A-6FAF0636DC46}"/>
    <cellStyle name="Normal 5 2 9 4" xfId="11128" xr:uid="{00DDA5BD-DEC2-4B3F-89BA-15AE6D8A6DDA}"/>
    <cellStyle name="Normal 5 2 9 5" xfId="19569" xr:uid="{478EB574-2E0E-45D7-B20B-DDF5CDEE422B}"/>
    <cellStyle name="Normal 5 2 9 6" xfId="28009" xr:uid="{2C6B5F24-DAD5-4498-8C9D-97405AA9279D}"/>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8B49E8F4-53BD-4C5C-9269-0A6B9E74A023}"/>
    <cellStyle name="Normal 5 3 10 2 2 3" xfId="26376" xr:uid="{5B84865E-92D0-456A-A2B3-5B2714FA8852}"/>
    <cellStyle name="Normal 5 3 10 2 2 4" xfId="34816" xr:uid="{06D11A75-3AAF-4656-8811-3C63122E9556}"/>
    <cellStyle name="Normal 5 3 10 2 3" xfId="13718" xr:uid="{360123CD-5EBF-4D39-8E7B-16E14DACCC60}"/>
    <cellStyle name="Normal 5 3 10 2 4" xfId="22159" xr:uid="{455FBC85-9AA7-4FD1-9C1B-1096B3D8A65B}"/>
    <cellStyle name="Normal 5 3 10 2 5" xfId="30599" xr:uid="{0F0BBEA5-6F3C-41C6-8CAD-052FC5A04E3E}"/>
    <cellStyle name="Normal 5 3 10 3" xfId="6464" xr:uid="{00000000-0005-0000-0000-00006E190000}"/>
    <cellStyle name="Normal 5 3 10 3 2" xfId="15790" xr:uid="{D319E137-57D0-4F4C-92E2-1434EFC4E699}"/>
    <cellStyle name="Normal 5 3 10 3 3" xfId="24231" xr:uid="{18318651-229D-4423-8C8E-4638F321544F}"/>
    <cellStyle name="Normal 5 3 10 3 4" xfId="32671" xr:uid="{103C0DF0-97DC-4657-9025-69CE31B9C42D}"/>
    <cellStyle name="Normal 5 3 10 4" xfId="11573" xr:uid="{ED876C6F-F3BE-460E-B2E0-EC628C883424}"/>
    <cellStyle name="Normal 5 3 10 5" xfId="20014" xr:uid="{F9BB1CB1-EA2B-4B5C-BBA5-02CD3CFDE093}"/>
    <cellStyle name="Normal 5 3 10 6" xfId="28454" xr:uid="{4AA3A9B4-F231-4042-9342-1F45310575C2}"/>
    <cellStyle name="Normal 5 3 11" xfId="2594" xr:uid="{00000000-0005-0000-0000-00006F190000}"/>
    <cellStyle name="Normal 5 3 11 2" xfId="6877" xr:uid="{00000000-0005-0000-0000-000070190000}"/>
    <cellStyle name="Normal 5 3 11 2 2" xfId="16203" xr:uid="{5DE9008F-F0A1-4C76-B45A-574F4DD4AB5D}"/>
    <cellStyle name="Normal 5 3 11 2 3" xfId="24644" xr:uid="{CA61BE8D-6094-4DF5-AE42-B67B15A01BC6}"/>
    <cellStyle name="Normal 5 3 11 2 4" xfId="33084" xr:uid="{32490921-C7A4-4D37-AFB6-0BE871259405}"/>
    <cellStyle name="Normal 5 3 11 3" xfId="11986" xr:uid="{7FAB33EF-29AE-41D8-A13E-0D27862B5DAA}"/>
    <cellStyle name="Normal 5 3 11 4" xfId="20427" xr:uid="{CB6A64B8-3585-484F-9750-DBE1FDFB476B}"/>
    <cellStyle name="Normal 5 3 11 5" xfId="28867" xr:uid="{25028A35-5E04-459E-B099-F43F04B6628A}"/>
    <cellStyle name="Normal 5 3 12" xfId="4812" xr:uid="{00000000-0005-0000-0000-000071190000}"/>
    <cellStyle name="Normal 5 3 12 2" xfId="14138" xr:uid="{C3E7F08A-E892-45BA-8134-E4ACD97260F7}"/>
    <cellStyle name="Normal 5 3 12 3" xfId="22579" xr:uid="{D10801C7-F64C-4143-8801-917F47F4E1A7}"/>
    <cellStyle name="Normal 5 3 12 4" xfId="31019" xr:uid="{BF4CA1C5-C462-4B3C-B789-20A507324A9E}"/>
    <cellStyle name="Normal 5 3 13" xfId="8750" xr:uid="{36957AEF-D081-4A23-AEE3-073A5901863C}"/>
    <cellStyle name="Normal 5 3 14" xfId="9921" xr:uid="{1CD74F2D-1970-4621-9519-0303C6B2EA85}"/>
    <cellStyle name="Normal 5 3 15" xfId="18362" xr:uid="{07097213-2E1E-451B-9399-23059F1EA204}"/>
    <cellStyle name="Normal 5 3 16" xfId="26802" xr:uid="{60F85F64-AD26-44C9-A513-042D2F30A85F}"/>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4730430D-D3A6-48FA-94DB-1304DA9EA8EB}"/>
    <cellStyle name="Normal 5 3 3 10 3" xfId="22580" xr:uid="{A29F617D-1FD4-49DC-BB09-1E4196B40357}"/>
    <cellStyle name="Normal 5 3 3 10 4" xfId="31020" xr:uid="{0C1565D7-0872-43CC-802F-8A47C6F7722D}"/>
    <cellStyle name="Normal 5 3 3 11" xfId="8782" xr:uid="{4219AD28-469A-4693-BD0B-B0536AC433E5}"/>
    <cellStyle name="Normal 5 3 3 12" xfId="9922" xr:uid="{694D993D-34C2-4782-A416-2B29BD6E0899}"/>
    <cellStyle name="Normal 5 3 3 13" xfId="18363" xr:uid="{5F7E6724-0D67-481E-B4E5-4A6E1D769C60}"/>
    <cellStyle name="Normal 5 3 3 14" xfId="26803" xr:uid="{9519DD8D-EFB1-4727-8277-C023900A46D9}"/>
    <cellStyle name="Normal 5 3 3 2" xfId="442" xr:uid="{00000000-0005-0000-0000-000076190000}"/>
    <cellStyle name="Normal 5 3 3 2 10" xfId="8832" xr:uid="{03323DDB-E4E1-4078-8BBE-EA3DD4471E1B}"/>
    <cellStyle name="Normal 5 3 3 2 11" xfId="9923" xr:uid="{21AE55A0-14B7-47BA-8D8A-BE6AB88DA92F}"/>
    <cellStyle name="Normal 5 3 3 2 12" xfId="18364" xr:uid="{FD8B6388-5684-4673-94F6-529CA9E28B88}"/>
    <cellStyle name="Normal 5 3 3 2 13" xfId="26804" xr:uid="{8AF9F74C-29DE-4836-B5C9-6BF8CE55D74C}"/>
    <cellStyle name="Normal 5 3 3 2 2" xfId="443" xr:uid="{00000000-0005-0000-0000-000077190000}"/>
    <cellStyle name="Normal 5 3 3 2 2 10" xfId="9924" xr:uid="{18E24BC4-C9E7-4A50-8A62-653640D0F775}"/>
    <cellStyle name="Normal 5 3 3 2 2 11" xfId="18365" xr:uid="{014BC298-16BD-4573-8C2C-515BD3594537}"/>
    <cellStyle name="Normal 5 3 3 2 2 12" xfId="26805" xr:uid="{374C6B83-50D5-4037-A418-CBF14B02870A}"/>
    <cellStyle name="Normal 5 3 3 2 2 2" xfId="444" xr:uid="{00000000-0005-0000-0000-000078190000}"/>
    <cellStyle name="Normal 5 3 3 2 2 2 10" xfId="18366" xr:uid="{59FBE4EE-CE67-44F0-BA4A-CF6C2642C52F}"/>
    <cellStyle name="Normal 5 3 3 2 2 2 11" xfId="26806" xr:uid="{DDEB7CE2-36A9-469B-B197-C4FB79E4450E}"/>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60A0BB4F-8001-4EB5-8AE0-0D35EB4D8B8B}"/>
    <cellStyle name="Normal 5 3 3 2 2 2 2 2 2 3" xfId="25141" xr:uid="{451B97C8-B8C6-4941-9DDB-4AE7EB30717B}"/>
    <cellStyle name="Normal 5 3 3 2 2 2 2 2 2 4" xfId="33581" xr:uid="{45375C90-5184-4F9A-8355-76025BFADB03}"/>
    <cellStyle name="Normal 5 3 3 2 2 2 2 2 3" xfId="12483" xr:uid="{EFB6CB9C-4272-4500-86C8-4C46950EE756}"/>
    <cellStyle name="Normal 5 3 3 2 2 2 2 2 4" xfId="20924" xr:uid="{05FB9CF1-04A1-40F4-92E9-D35980410D89}"/>
    <cellStyle name="Normal 5 3 3 2 2 2 2 2 5" xfId="29364" xr:uid="{8C324950-E375-4B61-A42F-545A2781B22A}"/>
    <cellStyle name="Normal 5 3 3 2 2 2 2 3" xfId="5229" xr:uid="{00000000-0005-0000-0000-00007C190000}"/>
    <cellStyle name="Normal 5 3 3 2 2 2 2 3 2" xfId="14555" xr:uid="{E6EAB495-F692-4C67-87D7-CEAB1CD10E27}"/>
    <cellStyle name="Normal 5 3 3 2 2 2 2 3 3" xfId="22996" xr:uid="{76188286-5E21-4D67-93B1-17D873E2D387}"/>
    <cellStyle name="Normal 5 3 3 2 2 2 2 3 4" xfId="31436" xr:uid="{5E6B6156-11AA-4D9E-BE29-07BC99A79361}"/>
    <cellStyle name="Normal 5 3 3 2 2 2 2 4" xfId="9567" xr:uid="{C2519486-6BC5-47D1-879F-EC6040BC9E9D}"/>
    <cellStyle name="Normal 5 3 3 2 2 2 2 5" xfId="10338" xr:uid="{983C9A12-7A43-47B7-9B56-C5255F7ECA68}"/>
    <cellStyle name="Normal 5 3 3 2 2 2 2 6" xfId="18779" xr:uid="{1E6848BE-2723-497B-972B-4614C8559A89}"/>
    <cellStyle name="Normal 5 3 3 2 2 2 2 7" xfId="27219" xr:uid="{168C8D57-2EA8-46CF-A7B2-4CF6319BD445}"/>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DD9B3AF0-7B0E-4779-8AE1-6FBE1D0E1093}"/>
    <cellStyle name="Normal 5 3 3 2 2 2 3 2 2 3" xfId="25554" xr:uid="{D4633546-E58F-4102-B034-02CB1B4D380A}"/>
    <cellStyle name="Normal 5 3 3 2 2 2 3 2 2 4" xfId="33994" xr:uid="{E28B1E46-2BC3-4619-8221-5220CF64B6BA}"/>
    <cellStyle name="Normal 5 3 3 2 2 2 3 2 3" xfId="12896" xr:uid="{4039FB20-5AC5-43B7-9EC2-55507E2B8931}"/>
    <cellStyle name="Normal 5 3 3 2 2 2 3 2 4" xfId="21337" xr:uid="{CD848CC9-7EB8-4351-A7B9-FD3986B277AC}"/>
    <cellStyle name="Normal 5 3 3 2 2 2 3 2 5" xfId="29777" xr:uid="{2CD711DE-6CF1-4D15-B19F-F69853CBFE8A}"/>
    <cellStyle name="Normal 5 3 3 2 2 2 3 3" xfId="5642" xr:uid="{00000000-0005-0000-0000-000080190000}"/>
    <cellStyle name="Normal 5 3 3 2 2 2 3 3 2" xfId="14968" xr:uid="{ED4A2432-26C0-4A74-A9FE-8FEDF99660A8}"/>
    <cellStyle name="Normal 5 3 3 2 2 2 3 3 3" xfId="23409" xr:uid="{A59B5ACE-C406-4CA3-A88A-B8A3FF1F4927}"/>
    <cellStyle name="Normal 5 3 3 2 2 2 3 3 4" xfId="31849" xr:uid="{BF9010DF-1908-48FF-A20D-6C04791E27C4}"/>
    <cellStyle name="Normal 5 3 3 2 2 2 3 4" xfId="10751" xr:uid="{FA6E09C7-1974-4045-9A2E-05F183184B45}"/>
    <cellStyle name="Normal 5 3 3 2 2 2 3 5" xfId="19192" xr:uid="{806D519E-B863-4146-ACF0-5756732C471B}"/>
    <cellStyle name="Normal 5 3 3 2 2 2 3 6" xfId="27632" xr:uid="{CA1CB9B5-B822-4A21-8E6D-DF429BED528B}"/>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B5B0D8F3-AF4C-4873-86C9-851F290355FB}"/>
    <cellStyle name="Normal 5 3 3 2 2 2 4 2 2 3" xfId="25967" xr:uid="{DEE15202-6760-4D0F-AEE9-01B30C93112C}"/>
    <cellStyle name="Normal 5 3 3 2 2 2 4 2 2 4" xfId="34407" xr:uid="{3B89228D-12F8-45D6-9160-0C5EFCD99D97}"/>
    <cellStyle name="Normal 5 3 3 2 2 2 4 2 3" xfId="13309" xr:uid="{AA83BB73-6BCA-4B52-96A8-D0E38CA5B291}"/>
    <cellStyle name="Normal 5 3 3 2 2 2 4 2 4" xfId="21750" xr:uid="{556B5645-1877-4459-A878-AF812EFAD8DC}"/>
    <cellStyle name="Normal 5 3 3 2 2 2 4 2 5" xfId="30190" xr:uid="{995558D0-FFBB-4B6B-A711-2F57E24C2DC7}"/>
    <cellStyle name="Normal 5 3 3 2 2 2 4 3" xfId="6055" xr:uid="{00000000-0005-0000-0000-000084190000}"/>
    <cellStyle name="Normal 5 3 3 2 2 2 4 3 2" xfId="15381" xr:uid="{79181211-EFBD-485C-BA50-0EC37E26D70B}"/>
    <cellStyle name="Normal 5 3 3 2 2 2 4 3 3" xfId="23822" xr:uid="{E55370DB-F5C5-4A9D-9162-E25DB4CC04AC}"/>
    <cellStyle name="Normal 5 3 3 2 2 2 4 3 4" xfId="32262" xr:uid="{32E4828D-4F1B-4503-ADCC-8EEAC42E684B}"/>
    <cellStyle name="Normal 5 3 3 2 2 2 4 4" xfId="11164" xr:uid="{811D8F7F-6653-4BF0-A250-ADAEFE4104D9}"/>
    <cellStyle name="Normal 5 3 3 2 2 2 4 5" xfId="19605" xr:uid="{9CBDD2F2-DC1B-493E-925A-9B295E161436}"/>
    <cellStyle name="Normal 5 3 3 2 2 2 4 6" xfId="28045" xr:uid="{E60D8AE5-E725-4227-BAC8-4106410F6982}"/>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C20C652A-779D-48E6-8D7B-4C55AE92DDA8}"/>
    <cellStyle name="Normal 5 3 3 2 2 2 5 2 2 3" xfId="26380" xr:uid="{17EA7A93-7157-4D68-B758-625107CCD344}"/>
    <cellStyle name="Normal 5 3 3 2 2 2 5 2 2 4" xfId="34820" xr:uid="{D8291F53-5374-41D5-B4AA-659D5B0A957A}"/>
    <cellStyle name="Normal 5 3 3 2 2 2 5 2 3" xfId="13722" xr:uid="{C624AF2A-1C55-4935-B3DE-A8EFA1715352}"/>
    <cellStyle name="Normal 5 3 3 2 2 2 5 2 4" xfId="22163" xr:uid="{301F8511-2CAA-428E-9A02-B819B9263292}"/>
    <cellStyle name="Normal 5 3 3 2 2 2 5 2 5" xfId="30603" xr:uid="{2DE64A05-43D9-49A1-B59B-042F06D7B0E0}"/>
    <cellStyle name="Normal 5 3 3 2 2 2 5 3" xfId="6468" xr:uid="{00000000-0005-0000-0000-000088190000}"/>
    <cellStyle name="Normal 5 3 3 2 2 2 5 3 2" xfId="15794" xr:uid="{02737F54-A65F-4D41-BD3F-2C55D8A74853}"/>
    <cellStyle name="Normal 5 3 3 2 2 2 5 3 3" xfId="24235" xr:uid="{41919B6A-3DDA-479F-B195-005EFB091743}"/>
    <cellStyle name="Normal 5 3 3 2 2 2 5 3 4" xfId="32675" xr:uid="{F3D62D0A-6248-49D5-8162-683EDB512F83}"/>
    <cellStyle name="Normal 5 3 3 2 2 2 5 4" xfId="11577" xr:uid="{6F62604C-CA5E-484E-8B35-ECDA1290FB19}"/>
    <cellStyle name="Normal 5 3 3 2 2 2 5 5" xfId="20018" xr:uid="{9F8BFDFC-7C43-42E3-83E7-9C87A17B1996}"/>
    <cellStyle name="Normal 5 3 3 2 2 2 5 6" xfId="28458" xr:uid="{DE626C50-42CA-45A0-AEAE-1C05066F2363}"/>
    <cellStyle name="Normal 5 3 3 2 2 2 6" xfId="2598" xr:uid="{00000000-0005-0000-0000-000089190000}"/>
    <cellStyle name="Normal 5 3 3 2 2 2 6 2" xfId="6881" xr:uid="{00000000-0005-0000-0000-00008A190000}"/>
    <cellStyle name="Normal 5 3 3 2 2 2 6 2 2" xfId="16207" xr:uid="{17A54C7D-5045-4919-BDF8-55C7D7D42FD3}"/>
    <cellStyle name="Normal 5 3 3 2 2 2 6 2 3" xfId="24648" xr:uid="{CEDCD493-C785-4FBC-A8EC-CE9386834A80}"/>
    <cellStyle name="Normal 5 3 3 2 2 2 6 2 4" xfId="33088" xr:uid="{C3EA5F36-4F80-4051-A75C-25571539EBF0}"/>
    <cellStyle name="Normal 5 3 3 2 2 2 6 3" xfId="11990" xr:uid="{B7391385-5847-4E11-B7EC-A360933E162B}"/>
    <cellStyle name="Normal 5 3 3 2 2 2 6 4" xfId="20431" xr:uid="{382CE231-50BF-4450-8927-4C6CC65DF723}"/>
    <cellStyle name="Normal 5 3 3 2 2 2 6 5" xfId="28871" xr:uid="{4280691B-E48B-4726-B4D5-5909949AC0B6}"/>
    <cellStyle name="Normal 5 3 3 2 2 2 7" xfId="4816" xr:uid="{00000000-0005-0000-0000-00008B190000}"/>
    <cellStyle name="Normal 5 3 3 2 2 2 7 2" xfId="14142" xr:uid="{494E84FB-B92E-4E79-B38D-2CEA1A325DEE}"/>
    <cellStyle name="Normal 5 3 3 2 2 2 7 3" xfId="22583" xr:uid="{27D9C6CF-835D-47EA-95A8-14E026E15FC7}"/>
    <cellStyle name="Normal 5 3 3 2 2 2 7 4" xfId="31023" xr:uid="{33436A66-5538-4E45-8530-600BA29A803D}"/>
    <cellStyle name="Normal 5 3 3 2 2 2 8" xfId="9142" xr:uid="{81CF9711-3A0B-4712-8E8F-033C974AA9E3}"/>
    <cellStyle name="Normal 5 3 3 2 2 2 9" xfId="9925" xr:uid="{FB3FAF9E-3837-48BB-B93D-D15FB08F93FC}"/>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51841A4A-5A86-412A-80C3-32902BDBF2B3}"/>
    <cellStyle name="Normal 5 3 3 2 2 3 2 2 3" xfId="25140" xr:uid="{00937D02-7A8C-49EA-B445-4705BAB059E6}"/>
    <cellStyle name="Normal 5 3 3 2 2 3 2 2 4" xfId="33580" xr:uid="{23EE9565-2463-4DC8-B6B4-1298AB0C9BBC}"/>
    <cellStyle name="Normal 5 3 3 2 2 3 2 3" xfId="12482" xr:uid="{FAE69CA1-203B-4990-8840-7980CCA5FF46}"/>
    <cellStyle name="Normal 5 3 3 2 2 3 2 4" xfId="20923" xr:uid="{D8C0C0C4-2434-474F-BC49-87A79365CC90}"/>
    <cellStyle name="Normal 5 3 3 2 2 3 2 5" xfId="29363" xr:uid="{50C1D254-293E-4F9F-9547-4292BFC3ECFA}"/>
    <cellStyle name="Normal 5 3 3 2 2 3 3" xfId="5228" xr:uid="{00000000-0005-0000-0000-00008F190000}"/>
    <cellStyle name="Normal 5 3 3 2 2 3 3 2" xfId="14554" xr:uid="{A1F58BD2-F0E6-44FC-8F86-1A59C3897174}"/>
    <cellStyle name="Normal 5 3 3 2 2 3 3 3" xfId="22995" xr:uid="{F77EDC89-4D83-4F6C-AB73-0A0A00575CCB}"/>
    <cellStyle name="Normal 5 3 3 2 2 3 3 4" xfId="31435" xr:uid="{ED566AD3-9D70-45F1-B235-27D699690A93}"/>
    <cellStyle name="Normal 5 3 3 2 2 3 4" xfId="9360" xr:uid="{07447062-3C9B-4A41-BE9D-50DE495FF588}"/>
    <cellStyle name="Normal 5 3 3 2 2 3 5" xfId="10337" xr:uid="{1A57151A-82BB-46AC-8393-3977689A51C5}"/>
    <cellStyle name="Normal 5 3 3 2 2 3 6" xfId="18778" xr:uid="{400855CD-7A3B-4B1E-B443-DB24257369C5}"/>
    <cellStyle name="Normal 5 3 3 2 2 3 7" xfId="27218" xr:uid="{8CC0901B-7070-46F7-A3BB-B49FD60071AE}"/>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57EADDBA-02C2-4AB3-92CB-58369AD3D6BE}"/>
    <cellStyle name="Normal 5 3 3 2 2 4 2 2 3" xfId="25553" xr:uid="{8E8E28F8-0E26-4594-BB54-98AC37DC0BB7}"/>
    <cellStyle name="Normal 5 3 3 2 2 4 2 2 4" xfId="33993" xr:uid="{0B8DD2DE-FC02-4081-8A5E-1F2CA9A5FB23}"/>
    <cellStyle name="Normal 5 3 3 2 2 4 2 3" xfId="12895" xr:uid="{FDE3F4B2-2497-4AF8-958B-AF9A66DFAE79}"/>
    <cellStyle name="Normal 5 3 3 2 2 4 2 4" xfId="21336" xr:uid="{90D1F209-7448-403D-984C-85DA32EA5418}"/>
    <cellStyle name="Normal 5 3 3 2 2 4 2 5" xfId="29776" xr:uid="{69420C67-9E55-49F8-AE32-6CF76BCAA26C}"/>
    <cellStyle name="Normal 5 3 3 2 2 4 3" xfId="5641" xr:uid="{00000000-0005-0000-0000-000093190000}"/>
    <cellStyle name="Normal 5 3 3 2 2 4 3 2" xfId="14967" xr:uid="{E747B777-9922-4F3E-9094-77A9A5D450A9}"/>
    <cellStyle name="Normal 5 3 3 2 2 4 3 3" xfId="23408" xr:uid="{7B7D2CA8-7D43-452D-A809-DA43182A89B3}"/>
    <cellStyle name="Normal 5 3 3 2 2 4 3 4" xfId="31848" xr:uid="{A3722801-8701-4C14-B4FF-4CE02AACB548}"/>
    <cellStyle name="Normal 5 3 3 2 2 4 4" xfId="10750" xr:uid="{58EB50F4-AC2D-4D15-A000-461AF1DE5876}"/>
    <cellStyle name="Normal 5 3 3 2 2 4 5" xfId="19191" xr:uid="{87BE0277-F47E-4CEA-AAC3-ED3FAA460165}"/>
    <cellStyle name="Normal 5 3 3 2 2 4 6" xfId="27631" xr:uid="{5889DFBD-82F6-477B-AD96-4A4E89CE299F}"/>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883ECB16-7D19-4D96-9AED-A9813BAD7CE4}"/>
    <cellStyle name="Normal 5 3 3 2 2 5 2 2 3" xfId="25966" xr:uid="{26062A2B-BDEA-4F4F-B1F9-DFFEA536029C}"/>
    <cellStyle name="Normal 5 3 3 2 2 5 2 2 4" xfId="34406" xr:uid="{B5A109AF-C12C-4E9D-BB19-CEAAF0864F97}"/>
    <cellStyle name="Normal 5 3 3 2 2 5 2 3" xfId="13308" xr:uid="{EEC669B3-EBBF-465F-B626-70B34C2ABFEB}"/>
    <cellStyle name="Normal 5 3 3 2 2 5 2 4" xfId="21749" xr:uid="{07029869-A4B7-4782-A803-16F2F8F6A370}"/>
    <cellStyle name="Normal 5 3 3 2 2 5 2 5" xfId="30189" xr:uid="{77F5BA7E-14D4-48C9-95B2-856A7ECB90B0}"/>
    <cellStyle name="Normal 5 3 3 2 2 5 3" xfId="6054" xr:uid="{00000000-0005-0000-0000-000097190000}"/>
    <cellStyle name="Normal 5 3 3 2 2 5 3 2" xfId="15380" xr:uid="{902E33F5-2184-42A0-AD14-D66C91F02521}"/>
    <cellStyle name="Normal 5 3 3 2 2 5 3 3" xfId="23821" xr:uid="{8612AF6C-0F96-4318-9767-8E6FDF2A9F54}"/>
    <cellStyle name="Normal 5 3 3 2 2 5 3 4" xfId="32261" xr:uid="{67E07AB0-A8F4-4587-B4C2-FF4C00184392}"/>
    <cellStyle name="Normal 5 3 3 2 2 5 4" xfId="11163" xr:uid="{04A47279-6EE3-4A74-A5AD-C505B44789A2}"/>
    <cellStyle name="Normal 5 3 3 2 2 5 5" xfId="19604" xr:uid="{6FD40FE4-E6B3-4423-AD7B-846A5EE95FD4}"/>
    <cellStyle name="Normal 5 3 3 2 2 5 6" xfId="28044" xr:uid="{B3E7A5D5-6811-4FC5-916A-DC8C343D632A}"/>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36FA8808-9924-482D-8104-DBA8F7E019A2}"/>
    <cellStyle name="Normal 5 3 3 2 2 6 2 2 3" xfId="26379" xr:uid="{CD94FFBC-A602-4BDA-8647-D1EB767D8076}"/>
    <cellStyle name="Normal 5 3 3 2 2 6 2 2 4" xfId="34819" xr:uid="{1A91948C-C06F-474F-88E1-94368EAFC105}"/>
    <cellStyle name="Normal 5 3 3 2 2 6 2 3" xfId="13721" xr:uid="{578F27A4-5E2F-483C-9CD1-D7898B448457}"/>
    <cellStyle name="Normal 5 3 3 2 2 6 2 4" xfId="22162" xr:uid="{04F5ABF5-DF39-476D-9797-04A8995BDB51}"/>
    <cellStyle name="Normal 5 3 3 2 2 6 2 5" xfId="30602" xr:uid="{C10B59F6-90CB-47EF-BECE-A114D262B564}"/>
    <cellStyle name="Normal 5 3 3 2 2 6 3" xfId="6467" xr:uid="{00000000-0005-0000-0000-00009B190000}"/>
    <cellStyle name="Normal 5 3 3 2 2 6 3 2" xfId="15793" xr:uid="{D359AC68-0B00-48C0-A762-564410BAAA47}"/>
    <cellStyle name="Normal 5 3 3 2 2 6 3 3" xfId="24234" xr:uid="{E96952F3-2E5B-42AC-9580-9295C0DA7F58}"/>
    <cellStyle name="Normal 5 3 3 2 2 6 3 4" xfId="32674" xr:uid="{75F82F5D-D7E4-4945-9703-3E7267736698}"/>
    <cellStyle name="Normal 5 3 3 2 2 6 4" xfId="11576" xr:uid="{F27D4119-4018-4D2D-B71B-FA6AF92B34F8}"/>
    <cellStyle name="Normal 5 3 3 2 2 6 5" xfId="20017" xr:uid="{36129418-554A-4A9F-96F1-F9F3BEA03551}"/>
    <cellStyle name="Normal 5 3 3 2 2 6 6" xfId="28457" xr:uid="{205954C5-0DD6-4DC5-BC39-0E59A2FF69BD}"/>
    <cellStyle name="Normal 5 3 3 2 2 7" xfId="2597" xr:uid="{00000000-0005-0000-0000-00009C190000}"/>
    <cellStyle name="Normal 5 3 3 2 2 7 2" xfId="6880" xr:uid="{00000000-0005-0000-0000-00009D190000}"/>
    <cellStyle name="Normal 5 3 3 2 2 7 2 2" xfId="16206" xr:uid="{E5D89FB1-5C72-42A6-9BE8-2FA9301E4FDE}"/>
    <cellStyle name="Normal 5 3 3 2 2 7 2 3" xfId="24647" xr:uid="{4E831C68-904D-4089-92C6-6DF1124AEF6C}"/>
    <cellStyle name="Normal 5 3 3 2 2 7 2 4" xfId="33087" xr:uid="{16706F9F-7B21-4B66-BE39-5B8EE81C48DE}"/>
    <cellStyle name="Normal 5 3 3 2 2 7 3" xfId="11989" xr:uid="{C319271D-453F-43E3-A9E6-6E3BE08E789C}"/>
    <cellStyle name="Normal 5 3 3 2 2 7 4" xfId="20430" xr:uid="{6EECB3C9-FA18-4FCF-BFE3-AA39CC12C0A6}"/>
    <cellStyle name="Normal 5 3 3 2 2 7 5" xfId="28870" xr:uid="{3A393716-A4BC-4440-A6F9-953437B4FFC4}"/>
    <cellStyle name="Normal 5 3 3 2 2 8" xfId="4815" xr:uid="{00000000-0005-0000-0000-00009E190000}"/>
    <cellStyle name="Normal 5 3 3 2 2 8 2" xfId="14141" xr:uid="{001BF9F3-D40A-4D82-8E20-8D1C606B7F4A}"/>
    <cellStyle name="Normal 5 3 3 2 2 8 3" xfId="22582" xr:uid="{1F7FA8CE-D87F-46E1-AFC4-53780E0EC6F1}"/>
    <cellStyle name="Normal 5 3 3 2 2 8 4" xfId="31022" xr:uid="{66C15252-8EE7-4F8B-9499-A892BC776B9C}"/>
    <cellStyle name="Normal 5 3 3 2 2 9" xfId="8935" xr:uid="{94B8766B-0DD5-4CC7-9403-D37FC711344B}"/>
    <cellStyle name="Normal 5 3 3 2 3" xfId="445" xr:uid="{00000000-0005-0000-0000-00009F190000}"/>
    <cellStyle name="Normal 5 3 3 2 3 10" xfId="18367" xr:uid="{2937A2F4-8182-4C84-B220-42263BE9195D}"/>
    <cellStyle name="Normal 5 3 3 2 3 11" xfId="26807" xr:uid="{3FE61FFA-F1B9-4294-ABC2-3F35AA5F04FD}"/>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4B83A8A9-4D96-408F-AA3A-4130C6B7F8F1}"/>
    <cellStyle name="Normal 5 3 3 2 3 2 2 2 3" xfId="25142" xr:uid="{8C62BD09-D0E9-490B-8B38-F1A31A1DA844}"/>
    <cellStyle name="Normal 5 3 3 2 3 2 2 2 4" xfId="33582" xr:uid="{36E051A6-E2F0-4720-9AB1-416A01FF85B1}"/>
    <cellStyle name="Normal 5 3 3 2 3 2 2 3" xfId="12484" xr:uid="{5FB02D8B-25F5-4E68-923A-A1D6E5F1D79F}"/>
    <cellStyle name="Normal 5 3 3 2 3 2 2 4" xfId="20925" xr:uid="{6A5B8BA3-CB7C-44DD-AC6E-51810ABD687F}"/>
    <cellStyle name="Normal 5 3 3 2 3 2 2 5" xfId="29365" xr:uid="{7770FF2C-2751-4C75-87B9-30C7DBE1D790}"/>
    <cellStyle name="Normal 5 3 3 2 3 2 3" xfId="5230" xr:uid="{00000000-0005-0000-0000-0000A3190000}"/>
    <cellStyle name="Normal 5 3 3 2 3 2 3 2" xfId="14556" xr:uid="{4B195B6D-1D6F-4E0C-AF57-4B400A71D220}"/>
    <cellStyle name="Normal 5 3 3 2 3 2 3 3" xfId="22997" xr:uid="{9BDC947A-7989-4681-8C3A-A29111A1AB15}"/>
    <cellStyle name="Normal 5 3 3 2 3 2 3 4" xfId="31437" xr:uid="{38EE89DA-0582-45A1-B2FC-8833A73A3D1C}"/>
    <cellStyle name="Normal 5 3 3 2 3 2 4" xfId="9464" xr:uid="{6A182EEF-0879-47AD-839A-17D560B4AF3D}"/>
    <cellStyle name="Normal 5 3 3 2 3 2 5" xfId="10339" xr:uid="{2C571EB6-D87C-426A-B988-E64926C3EA9B}"/>
    <cellStyle name="Normal 5 3 3 2 3 2 6" xfId="18780" xr:uid="{0747E245-10C9-4CE6-9653-928AACF5373A}"/>
    <cellStyle name="Normal 5 3 3 2 3 2 7" xfId="27220" xr:uid="{5E3F9876-D090-41A8-A423-39AAE4588164}"/>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A8B32A03-879D-49C3-8DF6-6970DE4B710F}"/>
    <cellStyle name="Normal 5 3 3 2 3 3 2 2 3" xfId="25555" xr:uid="{AD0D7319-643E-4D3C-918E-C2411EBED892}"/>
    <cellStyle name="Normal 5 3 3 2 3 3 2 2 4" xfId="33995" xr:uid="{8AFEA890-F81D-4102-A662-224A55807FA4}"/>
    <cellStyle name="Normal 5 3 3 2 3 3 2 3" xfId="12897" xr:uid="{8BBAEE8E-F680-403B-85BB-EBF2C32D611E}"/>
    <cellStyle name="Normal 5 3 3 2 3 3 2 4" xfId="21338" xr:uid="{5BC1301B-E0B6-4BC6-892F-5F70A63EECEA}"/>
    <cellStyle name="Normal 5 3 3 2 3 3 2 5" xfId="29778" xr:uid="{BBFC74D9-378B-4F82-AE0A-535F4DE4E52F}"/>
    <cellStyle name="Normal 5 3 3 2 3 3 3" xfId="5643" xr:uid="{00000000-0005-0000-0000-0000A7190000}"/>
    <cellStyle name="Normal 5 3 3 2 3 3 3 2" xfId="14969" xr:uid="{4E1668C2-3E36-404F-92F3-D787F9D34C0C}"/>
    <cellStyle name="Normal 5 3 3 2 3 3 3 3" xfId="23410" xr:uid="{A6F0F4E4-8A6C-4C15-AC26-FE3B469ECECA}"/>
    <cellStyle name="Normal 5 3 3 2 3 3 3 4" xfId="31850" xr:uid="{655C98AA-21B3-4AB9-8377-89277FCFAFC8}"/>
    <cellStyle name="Normal 5 3 3 2 3 3 4" xfId="10752" xr:uid="{E16D63F3-92D6-4D3E-B511-356D36D7EBC5}"/>
    <cellStyle name="Normal 5 3 3 2 3 3 5" xfId="19193" xr:uid="{C4B1B5BC-02F2-43D6-BC90-4D768C4EDE09}"/>
    <cellStyle name="Normal 5 3 3 2 3 3 6" xfId="27633" xr:uid="{BBF5572C-0A9C-4178-BC95-A071F93BA46D}"/>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33516EFF-EEFF-410C-8135-8C067C1BFCE4}"/>
    <cellStyle name="Normal 5 3 3 2 3 4 2 2 3" xfId="25968" xr:uid="{6B45CA98-C231-41F8-AA53-D9F325E5C56B}"/>
    <cellStyle name="Normal 5 3 3 2 3 4 2 2 4" xfId="34408" xr:uid="{F26979EB-4B58-4B5C-991F-2E9E946AD1B4}"/>
    <cellStyle name="Normal 5 3 3 2 3 4 2 3" xfId="13310" xr:uid="{16250859-4B60-4C74-B36A-FB23E1A6E352}"/>
    <cellStyle name="Normal 5 3 3 2 3 4 2 4" xfId="21751" xr:uid="{A7D69C5D-A278-4C72-B0A7-DB1187383718}"/>
    <cellStyle name="Normal 5 3 3 2 3 4 2 5" xfId="30191" xr:uid="{9DCE5A62-FE17-4C66-988E-6C7E3EAD0E2B}"/>
    <cellStyle name="Normal 5 3 3 2 3 4 3" xfId="6056" xr:uid="{00000000-0005-0000-0000-0000AB190000}"/>
    <cellStyle name="Normal 5 3 3 2 3 4 3 2" xfId="15382" xr:uid="{54B040A6-55EC-4AA0-8387-77C052C0E907}"/>
    <cellStyle name="Normal 5 3 3 2 3 4 3 3" xfId="23823" xr:uid="{0B24031F-578C-4E23-AACC-B1919C980889}"/>
    <cellStyle name="Normal 5 3 3 2 3 4 3 4" xfId="32263" xr:uid="{4DA63400-BD47-469E-AAA6-36E785A021C2}"/>
    <cellStyle name="Normal 5 3 3 2 3 4 4" xfId="11165" xr:uid="{6BCEECFF-8E9A-4903-A308-59AB8F086679}"/>
    <cellStyle name="Normal 5 3 3 2 3 4 5" xfId="19606" xr:uid="{9CF1CDBC-1029-478E-9D7A-59C264DFB450}"/>
    <cellStyle name="Normal 5 3 3 2 3 4 6" xfId="28046" xr:uid="{606693C0-33B1-41DE-BA6A-349EA33AAE0E}"/>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7EB0C1DE-A103-4813-AB12-7F90110194F2}"/>
    <cellStyle name="Normal 5 3 3 2 3 5 2 2 3" xfId="26381" xr:uid="{2A27F0D0-AF31-4853-92E4-260FFBBD0CBE}"/>
    <cellStyle name="Normal 5 3 3 2 3 5 2 2 4" xfId="34821" xr:uid="{3E331DD5-DC4D-4991-821F-CF107D0CD9A6}"/>
    <cellStyle name="Normal 5 3 3 2 3 5 2 3" xfId="13723" xr:uid="{82E25085-279F-4B1F-8870-B7DA6C9C52C1}"/>
    <cellStyle name="Normal 5 3 3 2 3 5 2 4" xfId="22164" xr:uid="{DAF650E0-7E2F-46D4-AF13-ED7161A87246}"/>
    <cellStyle name="Normal 5 3 3 2 3 5 2 5" xfId="30604" xr:uid="{95D2988C-D93D-4903-B01F-731ECD4ED2EE}"/>
    <cellStyle name="Normal 5 3 3 2 3 5 3" xfId="6469" xr:uid="{00000000-0005-0000-0000-0000AF190000}"/>
    <cellStyle name="Normal 5 3 3 2 3 5 3 2" xfId="15795" xr:uid="{B2FD881D-AFEC-4767-84DC-621A975BD16C}"/>
    <cellStyle name="Normal 5 3 3 2 3 5 3 3" xfId="24236" xr:uid="{120ECC0B-6A31-4E88-887C-01D7D951214A}"/>
    <cellStyle name="Normal 5 3 3 2 3 5 3 4" xfId="32676" xr:uid="{66496E0B-6AD7-4F44-9147-D3CBAD1CBBC3}"/>
    <cellStyle name="Normal 5 3 3 2 3 5 4" xfId="11578" xr:uid="{98FE6F5B-709C-450E-8661-6C4C141D7B60}"/>
    <cellStyle name="Normal 5 3 3 2 3 5 5" xfId="20019" xr:uid="{1D9ABC81-3104-45A4-BA8B-A67E0286CE96}"/>
    <cellStyle name="Normal 5 3 3 2 3 5 6" xfId="28459" xr:uid="{7E1551FE-D744-4A7A-B6B9-56C0040F9F65}"/>
    <cellStyle name="Normal 5 3 3 2 3 6" xfId="2599" xr:uid="{00000000-0005-0000-0000-0000B0190000}"/>
    <cellStyle name="Normal 5 3 3 2 3 6 2" xfId="6882" xr:uid="{00000000-0005-0000-0000-0000B1190000}"/>
    <cellStyle name="Normal 5 3 3 2 3 6 2 2" xfId="16208" xr:uid="{6FD6E149-9B76-4BBE-BAB3-E0B4A870B5AA}"/>
    <cellStyle name="Normal 5 3 3 2 3 6 2 3" xfId="24649" xr:uid="{1535915D-08D5-48CF-B617-7C1D7465D32E}"/>
    <cellStyle name="Normal 5 3 3 2 3 6 2 4" xfId="33089" xr:uid="{EFD1852A-B2C1-40B5-97B8-6576358D7798}"/>
    <cellStyle name="Normal 5 3 3 2 3 6 3" xfId="11991" xr:uid="{5CC969F8-C332-4F7F-BB6E-68CDEE0E14F8}"/>
    <cellStyle name="Normal 5 3 3 2 3 6 4" xfId="20432" xr:uid="{CAF36861-09AC-4B8C-A7E5-5F8B77C6C616}"/>
    <cellStyle name="Normal 5 3 3 2 3 6 5" xfId="28872" xr:uid="{831726AC-6BE9-4E44-89E0-D2E766778DE9}"/>
    <cellStyle name="Normal 5 3 3 2 3 7" xfId="4817" xr:uid="{00000000-0005-0000-0000-0000B2190000}"/>
    <cellStyle name="Normal 5 3 3 2 3 7 2" xfId="14143" xr:uid="{C804803A-DA42-402A-9C0E-DFE8778C256A}"/>
    <cellStyle name="Normal 5 3 3 2 3 7 3" xfId="22584" xr:uid="{BAC725DE-42A1-496B-914B-34E6E95D0CAA}"/>
    <cellStyle name="Normal 5 3 3 2 3 7 4" xfId="31024" xr:uid="{15BAC2F0-B3A2-4275-8457-4CF2FFBD7140}"/>
    <cellStyle name="Normal 5 3 3 2 3 8" xfId="9039" xr:uid="{84D80CE6-A0CA-4841-8673-26EA7EC6806D}"/>
    <cellStyle name="Normal 5 3 3 2 3 9" xfId="9926" xr:uid="{35C60513-9BF7-48F4-AC04-DBB2AC1C291E}"/>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4EDA6DB3-5DF1-4DF7-A3F7-21B75045179A}"/>
    <cellStyle name="Normal 5 3 3 2 4 2 2 3" xfId="25139" xr:uid="{00311C78-1DDE-4062-A40D-0C7538D067EF}"/>
    <cellStyle name="Normal 5 3 3 2 4 2 2 4" xfId="33579" xr:uid="{75CDB062-BDC4-40BF-9EB1-248F70B007C2}"/>
    <cellStyle name="Normal 5 3 3 2 4 2 3" xfId="12481" xr:uid="{134D2BAB-5ACA-41AE-88BF-4C71E0B5A6C9}"/>
    <cellStyle name="Normal 5 3 3 2 4 2 4" xfId="20922" xr:uid="{D49E2E6E-9E48-4010-8682-A108119DEDDA}"/>
    <cellStyle name="Normal 5 3 3 2 4 2 5" xfId="29362" xr:uid="{973022CA-2C2A-4F9F-AECE-B679591DFC46}"/>
    <cellStyle name="Normal 5 3 3 2 4 3" xfId="5227" xr:uid="{00000000-0005-0000-0000-0000B6190000}"/>
    <cellStyle name="Normal 5 3 3 2 4 3 2" xfId="14553" xr:uid="{D60C0A1C-042A-45FE-920D-45B8A71DEA70}"/>
    <cellStyle name="Normal 5 3 3 2 4 3 3" xfId="22994" xr:uid="{6DD9EA5A-EF90-4F7F-8492-128FFD42F269}"/>
    <cellStyle name="Normal 5 3 3 2 4 3 4" xfId="31434" xr:uid="{B9586D0F-E2E3-4709-B848-7A45ACC8D4DA}"/>
    <cellStyle name="Normal 5 3 3 2 4 4" xfId="9257" xr:uid="{E6656214-6E5B-491F-B1E3-227CB6568726}"/>
    <cellStyle name="Normal 5 3 3 2 4 5" xfId="10336" xr:uid="{BFA7480B-E455-43FD-9AA1-D0BD8F862617}"/>
    <cellStyle name="Normal 5 3 3 2 4 6" xfId="18777" xr:uid="{EEEE58C9-1871-489F-B24F-6D748A8E126A}"/>
    <cellStyle name="Normal 5 3 3 2 4 7" xfId="27217" xr:uid="{E655DA6F-5298-4C27-8991-6BE2BEBE12B3}"/>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D4C9DE34-B7F7-4123-B547-E5DD11446238}"/>
    <cellStyle name="Normal 5 3 3 2 5 2 2 3" xfId="25552" xr:uid="{7428CFED-DA29-415A-B2F5-A00F475E1A22}"/>
    <cellStyle name="Normal 5 3 3 2 5 2 2 4" xfId="33992" xr:uid="{13304879-3571-4026-A588-55CE9986F1CE}"/>
    <cellStyle name="Normal 5 3 3 2 5 2 3" xfId="12894" xr:uid="{505B66EB-8167-4D12-9580-38ED2282F61A}"/>
    <cellStyle name="Normal 5 3 3 2 5 2 4" xfId="21335" xr:uid="{544CB786-F3F5-4C16-960B-F51282E092E5}"/>
    <cellStyle name="Normal 5 3 3 2 5 2 5" xfId="29775" xr:uid="{043CE0F5-9C71-497F-A499-1C15F1C2C62B}"/>
    <cellStyle name="Normal 5 3 3 2 5 3" xfId="5640" xr:uid="{00000000-0005-0000-0000-0000BA190000}"/>
    <cellStyle name="Normal 5 3 3 2 5 3 2" xfId="14966" xr:uid="{2EDCB36B-44B1-4E94-8A19-91564CC7DD7C}"/>
    <cellStyle name="Normal 5 3 3 2 5 3 3" xfId="23407" xr:uid="{7C3118C2-9251-490A-BC81-2D80186E17D5}"/>
    <cellStyle name="Normal 5 3 3 2 5 3 4" xfId="31847" xr:uid="{56797132-4DA4-4012-9D2A-2CFF765AAE8E}"/>
    <cellStyle name="Normal 5 3 3 2 5 4" xfId="10749" xr:uid="{4B8D1F68-BF59-4B2D-AAF2-6B3EEC532A8F}"/>
    <cellStyle name="Normal 5 3 3 2 5 5" xfId="19190" xr:uid="{98B386B9-28D8-4C56-BDCE-E6722F44FD21}"/>
    <cellStyle name="Normal 5 3 3 2 5 6" xfId="27630" xr:uid="{2B6F15B2-DD3D-4B4B-9F51-7E28179BB5C6}"/>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17F3794B-CDE8-47B8-B1EB-CF304499C645}"/>
    <cellStyle name="Normal 5 3 3 2 6 2 2 3" xfId="25965" xr:uid="{257693CC-875A-4E09-816A-9D148D2650AD}"/>
    <cellStyle name="Normal 5 3 3 2 6 2 2 4" xfId="34405" xr:uid="{E51D24A6-AF09-449A-8F05-3AB73FC20BCF}"/>
    <cellStyle name="Normal 5 3 3 2 6 2 3" xfId="13307" xr:uid="{C6F688CB-5F7F-42D4-902F-AB2E5D1C928F}"/>
    <cellStyle name="Normal 5 3 3 2 6 2 4" xfId="21748" xr:uid="{6FF879CB-8716-4120-BD28-D12401636833}"/>
    <cellStyle name="Normal 5 3 3 2 6 2 5" xfId="30188" xr:uid="{DF5C2F6E-2778-4C89-9447-B858C049AC3E}"/>
    <cellStyle name="Normal 5 3 3 2 6 3" xfId="6053" xr:uid="{00000000-0005-0000-0000-0000BE190000}"/>
    <cellStyle name="Normal 5 3 3 2 6 3 2" xfId="15379" xr:uid="{7ADBFD68-FE10-46E7-BBCD-55E32748B5E9}"/>
    <cellStyle name="Normal 5 3 3 2 6 3 3" xfId="23820" xr:uid="{0608B96F-9B97-4896-9418-4DC33B2B9A97}"/>
    <cellStyle name="Normal 5 3 3 2 6 3 4" xfId="32260" xr:uid="{93353B5D-6A9F-4FA3-ACD5-BE754672B06C}"/>
    <cellStyle name="Normal 5 3 3 2 6 4" xfId="11162" xr:uid="{60D36F92-FB66-4B6F-A2FD-945209AFCF39}"/>
    <cellStyle name="Normal 5 3 3 2 6 5" xfId="19603" xr:uid="{719523A0-1399-4FE9-87B7-1F9ABF0C2341}"/>
    <cellStyle name="Normal 5 3 3 2 6 6" xfId="28043" xr:uid="{3E3EDCFE-143B-4F9A-AD03-FFA474CD6BD5}"/>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9E908850-6B6F-4F17-9012-552F17C86B9C}"/>
    <cellStyle name="Normal 5 3 3 2 7 2 2 3" xfId="26378" xr:uid="{49422D7C-578C-47B2-ACD9-6AAA7B9BB5E2}"/>
    <cellStyle name="Normal 5 3 3 2 7 2 2 4" xfId="34818" xr:uid="{30C5A029-000D-42F8-9937-817E7A179873}"/>
    <cellStyle name="Normal 5 3 3 2 7 2 3" xfId="13720" xr:uid="{17447DDC-8169-405C-A3C1-C1AD1C7F57E8}"/>
    <cellStyle name="Normal 5 3 3 2 7 2 4" xfId="22161" xr:uid="{FDC56C6E-59BA-4A12-8D17-E9BD65182FEC}"/>
    <cellStyle name="Normal 5 3 3 2 7 2 5" xfId="30601" xr:uid="{AFE51751-E850-4821-83BC-0461C5D98EA4}"/>
    <cellStyle name="Normal 5 3 3 2 7 3" xfId="6466" xr:uid="{00000000-0005-0000-0000-0000C2190000}"/>
    <cellStyle name="Normal 5 3 3 2 7 3 2" xfId="15792" xr:uid="{D998EB2D-91D7-4680-B77E-38CA1D80D67D}"/>
    <cellStyle name="Normal 5 3 3 2 7 3 3" xfId="24233" xr:uid="{58E02568-A84F-4F35-96F0-2870DD24518E}"/>
    <cellStyle name="Normal 5 3 3 2 7 3 4" xfId="32673" xr:uid="{37040B51-68D7-458D-9273-73DF47E0A0B5}"/>
    <cellStyle name="Normal 5 3 3 2 7 4" xfId="11575" xr:uid="{726754A2-D1B0-4116-83CB-F5C0E5A28616}"/>
    <cellStyle name="Normal 5 3 3 2 7 5" xfId="20016" xr:uid="{45466B0F-3FA5-40F5-91AA-BE748C4843DE}"/>
    <cellStyle name="Normal 5 3 3 2 7 6" xfId="28456" xr:uid="{1EBFDBB9-5212-4110-B5F2-EC61F403FB37}"/>
    <cellStyle name="Normal 5 3 3 2 8" xfId="2596" xr:uid="{00000000-0005-0000-0000-0000C3190000}"/>
    <cellStyle name="Normal 5 3 3 2 8 2" xfId="6879" xr:uid="{00000000-0005-0000-0000-0000C4190000}"/>
    <cellStyle name="Normal 5 3 3 2 8 2 2" xfId="16205" xr:uid="{5C627491-9A71-4FE2-8701-D6FC4AD8BFD4}"/>
    <cellStyle name="Normal 5 3 3 2 8 2 3" xfId="24646" xr:uid="{6B1F4387-0B6E-48A8-9862-BB7C12F75F9E}"/>
    <cellStyle name="Normal 5 3 3 2 8 2 4" xfId="33086" xr:uid="{E68711CA-C40F-43A8-937E-3594781A439D}"/>
    <cellStyle name="Normal 5 3 3 2 8 3" xfId="11988" xr:uid="{BF4B4F5A-D6FF-4DE9-81C0-A75A8022D4AB}"/>
    <cellStyle name="Normal 5 3 3 2 8 4" xfId="20429" xr:uid="{42BB71D7-6789-4AB5-8B14-A4290011C0D8}"/>
    <cellStyle name="Normal 5 3 3 2 8 5" xfId="28869" xr:uid="{C2A88CD0-2FE3-41E3-8A4A-27F698E59269}"/>
    <cellStyle name="Normal 5 3 3 2 9" xfId="4814" xr:uid="{00000000-0005-0000-0000-0000C5190000}"/>
    <cellStyle name="Normal 5 3 3 2 9 2" xfId="14140" xr:uid="{D18A2B8F-8B76-4295-9074-6097C6365AFC}"/>
    <cellStyle name="Normal 5 3 3 2 9 3" xfId="22581" xr:uid="{8EFA3DE2-D861-412D-98A1-2821828C01A2}"/>
    <cellStyle name="Normal 5 3 3 2 9 4" xfId="31021" xr:uid="{829FDA95-06DF-4B50-82D9-53B13EF4B21C}"/>
    <cellStyle name="Normal 5 3 3 3" xfId="446" xr:uid="{00000000-0005-0000-0000-0000C6190000}"/>
    <cellStyle name="Normal 5 3 3 3 10" xfId="9927" xr:uid="{A7FC7593-6997-48BE-BF0B-8FB0D690D812}"/>
    <cellStyle name="Normal 5 3 3 3 11" xfId="18368" xr:uid="{0A714523-37A2-4957-AD47-ED9E65630055}"/>
    <cellStyle name="Normal 5 3 3 3 12" xfId="26808" xr:uid="{936429DB-27A8-47D9-A1ED-B5FD4E7F8C0E}"/>
    <cellStyle name="Normal 5 3 3 3 2" xfId="447" xr:uid="{00000000-0005-0000-0000-0000C7190000}"/>
    <cellStyle name="Normal 5 3 3 3 2 10" xfId="18369" xr:uid="{7A3B6861-2F3B-4A24-A775-F0CCF21D5CB6}"/>
    <cellStyle name="Normal 5 3 3 3 2 11" xfId="26809" xr:uid="{9621CC25-617C-4A52-8BAD-37C376448B04}"/>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F5D9DCA2-56F8-41FE-BC0B-5A152801EF7E}"/>
    <cellStyle name="Normal 5 3 3 3 2 2 2 2 3" xfId="25144" xr:uid="{1CE7FCA7-8623-4579-BA2F-8117A6F64A05}"/>
    <cellStyle name="Normal 5 3 3 3 2 2 2 2 4" xfId="33584" xr:uid="{AF5936D4-C04A-4530-A251-1B2A2AB3BDAC}"/>
    <cellStyle name="Normal 5 3 3 3 2 2 2 3" xfId="12486" xr:uid="{E041D7B4-AD80-47D3-9DB7-DE815BCD5F6A}"/>
    <cellStyle name="Normal 5 3 3 3 2 2 2 4" xfId="20927" xr:uid="{E67052CA-BD8E-4B2A-9817-613631279F15}"/>
    <cellStyle name="Normal 5 3 3 3 2 2 2 5" xfId="29367" xr:uid="{C98811F9-EC39-4FA0-89BD-3280961D99DE}"/>
    <cellStyle name="Normal 5 3 3 3 2 2 3" xfId="5232" xr:uid="{00000000-0005-0000-0000-0000CB190000}"/>
    <cellStyle name="Normal 5 3 3 3 2 2 3 2" xfId="14558" xr:uid="{73B47066-BAA6-4713-8DAA-FBF16F57C028}"/>
    <cellStyle name="Normal 5 3 3 3 2 2 3 3" xfId="22999" xr:uid="{DF55042D-1D39-425B-9F37-7B3792EAFB32}"/>
    <cellStyle name="Normal 5 3 3 3 2 2 3 4" xfId="31439" xr:uid="{05EED927-2ABF-4020-B124-D4948DAA9A0E}"/>
    <cellStyle name="Normal 5 3 3 3 2 2 4" xfId="9517" xr:uid="{EA62A3B1-8ED5-4A6F-ACE0-B924BC16AA9E}"/>
    <cellStyle name="Normal 5 3 3 3 2 2 5" xfId="10341" xr:uid="{87C9AB80-A9AB-4620-8B7B-E2778B0D0D46}"/>
    <cellStyle name="Normal 5 3 3 3 2 2 6" xfId="18782" xr:uid="{7D5B9835-A5CD-4A0E-BCB9-E17DC6669A8D}"/>
    <cellStyle name="Normal 5 3 3 3 2 2 7" xfId="27222" xr:uid="{6C023CBE-A918-4789-97E4-95DA1FBCB6A2}"/>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C4258A09-96C1-493D-93E9-AE7A31735FC8}"/>
    <cellStyle name="Normal 5 3 3 3 2 3 2 2 3" xfId="25557" xr:uid="{919109B9-E0C2-441F-AB08-7B98700F12FB}"/>
    <cellStyle name="Normal 5 3 3 3 2 3 2 2 4" xfId="33997" xr:uid="{A3118CFA-AB06-4DFE-A257-B88D38F17A1C}"/>
    <cellStyle name="Normal 5 3 3 3 2 3 2 3" xfId="12899" xr:uid="{B2B01AF1-E15F-4E00-9C7A-4C5953B67E72}"/>
    <cellStyle name="Normal 5 3 3 3 2 3 2 4" xfId="21340" xr:uid="{8579F4B5-FFBF-4FB6-A1CA-963D67DABF99}"/>
    <cellStyle name="Normal 5 3 3 3 2 3 2 5" xfId="29780" xr:uid="{EE4903C1-C4E3-4D7D-844E-9F5C0E1D5F93}"/>
    <cellStyle name="Normal 5 3 3 3 2 3 3" xfId="5645" xr:uid="{00000000-0005-0000-0000-0000CF190000}"/>
    <cellStyle name="Normal 5 3 3 3 2 3 3 2" xfId="14971" xr:uid="{370ED1C0-03D2-46DA-AE72-74B388C1C395}"/>
    <cellStyle name="Normal 5 3 3 3 2 3 3 3" xfId="23412" xr:uid="{89750964-A647-4F49-8745-9116A1CB183B}"/>
    <cellStyle name="Normal 5 3 3 3 2 3 3 4" xfId="31852" xr:uid="{A4249FD9-C5C4-4A1E-B8E0-CB996C27B452}"/>
    <cellStyle name="Normal 5 3 3 3 2 3 4" xfId="10754" xr:uid="{2C9AB04E-72C8-4768-B573-8B189D6DAFC8}"/>
    <cellStyle name="Normal 5 3 3 3 2 3 5" xfId="19195" xr:uid="{31FD954C-D83A-42F3-90F7-B2FFE35D5F7E}"/>
    <cellStyle name="Normal 5 3 3 3 2 3 6" xfId="27635" xr:uid="{6EE8A66B-78DA-464C-A5D3-92E3B239843E}"/>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7926AF33-762C-4961-9C18-8F6ED27FD900}"/>
    <cellStyle name="Normal 5 3 3 3 2 4 2 2 3" xfId="25970" xr:uid="{CC535ECA-ED00-46FF-9FFC-B3D012EB6074}"/>
    <cellStyle name="Normal 5 3 3 3 2 4 2 2 4" xfId="34410" xr:uid="{4E3595FF-7B0A-4EFF-8A9E-76934646BC5B}"/>
    <cellStyle name="Normal 5 3 3 3 2 4 2 3" xfId="13312" xr:uid="{03766C69-D7CE-4429-A32E-40C71CC57C9E}"/>
    <cellStyle name="Normal 5 3 3 3 2 4 2 4" xfId="21753" xr:uid="{04ED137E-7CCD-47AC-B9C3-4AEAA06D07F0}"/>
    <cellStyle name="Normal 5 3 3 3 2 4 2 5" xfId="30193" xr:uid="{2540660C-986D-419C-83EF-F709271338C0}"/>
    <cellStyle name="Normal 5 3 3 3 2 4 3" xfId="6058" xr:uid="{00000000-0005-0000-0000-0000D3190000}"/>
    <cellStyle name="Normal 5 3 3 3 2 4 3 2" xfId="15384" xr:uid="{4131B1B7-2F3E-4BB2-A25B-42BB57134F99}"/>
    <cellStyle name="Normal 5 3 3 3 2 4 3 3" xfId="23825" xr:uid="{1F4A3334-EF03-4B43-94BF-F1D186B691DE}"/>
    <cellStyle name="Normal 5 3 3 3 2 4 3 4" xfId="32265" xr:uid="{E3EB16F4-B30C-4A72-93A5-282A7CCD9AA1}"/>
    <cellStyle name="Normal 5 3 3 3 2 4 4" xfId="11167" xr:uid="{3DA9AAB1-3249-44B6-AEAB-62FDE500FDCD}"/>
    <cellStyle name="Normal 5 3 3 3 2 4 5" xfId="19608" xr:uid="{B26AC483-CC9F-4D4E-AE52-EA50CDFB2FBB}"/>
    <cellStyle name="Normal 5 3 3 3 2 4 6" xfId="28048" xr:uid="{D864108B-54C9-46B1-9624-E145561A6CCE}"/>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5E738258-1907-47B2-AB5D-636CE170CA40}"/>
    <cellStyle name="Normal 5 3 3 3 2 5 2 2 3" xfId="26383" xr:uid="{C44A7E85-DE73-4824-B1F6-55BA2CFE1291}"/>
    <cellStyle name="Normal 5 3 3 3 2 5 2 2 4" xfId="34823" xr:uid="{737C4338-7213-4AFE-8DF7-902DA840B684}"/>
    <cellStyle name="Normal 5 3 3 3 2 5 2 3" xfId="13725" xr:uid="{06A76F76-3E05-4B1F-A88C-CCEC38FF175A}"/>
    <cellStyle name="Normal 5 3 3 3 2 5 2 4" xfId="22166" xr:uid="{DEAAB823-C7D3-4326-A78A-A83DD9C702B7}"/>
    <cellStyle name="Normal 5 3 3 3 2 5 2 5" xfId="30606" xr:uid="{1EC51A4F-0B6A-4C41-8C4E-6E2AA2D11934}"/>
    <cellStyle name="Normal 5 3 3 3 2 5 3" xfId="6471" xr:uid="{00000000-0005-0000-0000-0000D7190000}"/>
    <cellStyle name="Normal 5 3 3 3 2 5 3 2" xfId="15797" xr:uid="{E53C6AB7-07AD-4075-AFE8-2EFA9C9BB454}"/>
    <cellStyle name="Normal 5 3 3 3 2 5 3 3" xfId="24238" xr:uid="{721BAC82-A27A-4E93-A3AE-773993000630}"/>
    <cellStyle name="Normal 5 3 3 3 2 5 3 4" xfId="32678" xr:uid="{B4EF5A4B-27AB-4197-87A2-19F7DED50580}"/>
    <cellStyle name="Normal 5 3 3 3 2 5 4" xfId="11580" xr:uid="{15C9687C-0181-43A8-B417-BDE13BED22BF}"/>
    <cellStyle name="Normal 5 3 3 3 2 5 5" xfId="20021" xr:uid="{A0682C28-2B8C-4CA1-9DC9-15A5DB39B92F}"/>
    <cellStyle name="Normal 5 3 3 3 2 5 6" xfId="28461" xr:uid="{7F0DDCAB-4587-4BCE-A037-609178C15615}"/>
    <cellStyle name="Normal 5 3 3 3 2 6" xfId="2601" xr:uid="{00000000-0005-0000-0000-0000D8190000}"/>
    <cellStyle name="Normal 5 3 3 3 2 6 2" xfId="6884" xr:uid="{00000000-0005-0000-0000-0000D9190000}"/>
    <cellStyle name="Normal 5 3 3 3 2 6 2 2" xfId="16210" xr:uid="{A6B25F54-32DD-4430-A048-8FB76AF403BB}"/>
    <cellStyle name="Normal 5 3 3 3 2 6 2 3" xfId="24651" xr:uid="{3C3DD5D5-D3BB-451E-8B6B-22B0011D349C}"/>
    <cellStyle name="Normal 5 3 3 3 2 6 2 4" xfId="33091" xr:uid="{8F66D772-0940-4D91-B2EF-47FCE0BB8120}"/>
    <cellStyle name="Normal 5 3 3 3 2 6 3" xfId="11993" xr:uid="{076854B3-C632-4A79-BCEE-733B8AF78BEB}"/>
    <cellStyle name="Normal 5 3 3 3 2 6 4" xfId="20434" xr:uid="{8EE2DDCA-AE4D-4BDF-923C-5770AB99612C}"/>
    <cellStyle name="Normal 5 3 3 3 2 6 5" xfId="28874" xr:uid="{DDF1437F-2CDF-4C2C-8C8C-2681B4E397A7}"/>
    <cellStyle name="Normal 5 3 3 3 2 7" xfId="4819" xr:uid="{00000000-0005-0000-0000-0000DA190000}"/>
    <cellStyle name="Normal 5 3 3 3 2 7 2" xfId="14145" xr:uid="{13F47E7C-A711-474E-8394-F5CDBCB3D2AC}"/>
    <cellStyle name="Normal 5 3 3 3 2 7 3" xfId="22586" xr:uid="{1A024C49-B429-40E3-AA3F-DFDCFE7946F8}"/>
    <cellStyle name="Normal 5 3 3 3 2 7 4" xfId="31026" xr:uid="{A8E58D3B-A52D-4C82-B490-977BE942F25C}"/>
    <cellStyle name="Normal 5 3 3 3 2 8" xfId="9092" xr:uid="{A018BC5E-3880-4BA4-8CFB-322C89A13B5F}"/>
    <cellStyle name="Normal 5 3 3 3 2 9" xfId="9928" xr:uid="{DE005741-A50E-4D9F-A739-F4F54C203F5A}"/>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16D9B2E1-C67D-4073-B22D-D1A2F854B13E}"/>
    <cellStyle name="Normal 5 3 3 3 3 2 2 3" xfId="25143" xr:uid="{940BAF2D-08E4-418F-96D7-AF9CDA247B58}"/>
    <cellStyle name="Normal 5 3 3 3 3 2 2 4" xfId="33583" xr:uid="{9E8CFCEE-C1E4-495A-8430-A9A92F150F98}"/>
    <cellStyle name="Normal 5 3 3 3 3 2 3" xfId="12485" xr:uid="{93A8FCFE-3719-4344-9F3B-D9ABA9AB6C76}"/>
    <cellStyle name="Normal 5 3 3 3 3 2 4" xfId="20926" xr:uid="{BDC81520-5072-4DD5-B8FC-1CC32B5E4004}"/>
    <cellStyle name="Normal 5 3 3 3 3 2 5" xfId="29366" xr:uid="{CFDE92B2-4384-4BE9-B1F8-DC73A1660336}"/>
    <cellStyle name="Normal 5 3 3 3 3 3" xfId="5231" xr:uid="{00000000-0005-0000-0000-0000DE190000}"/>
    <cellStyle name="Normal 5 3 3 3 3 3 2" xfId="14557" xr:uid="{48B904EE-4F18-4E1B-BDAB-418907841228}"/>
    <cellStyle name="Normal 5 3 3 3 3 3 3" xfId="22998" xr:uid="{FF5E0CAC-2A37-449F-AD3B-C5140FBAEB04}"/>
    <cellStyle name="Normal 5 3 3 3 3 3 4" xfId="31438" xr:uid="{45D9480A-CD95-40D9-9C0B-212F2476B068}"/>
    <cellStyle name="Normal 5 3 3 3 3 4" xfId="9310" xr:uid="{D169C31A-17C5-4934-97DF-D90479FD2654}"/>
    <cellStyle name="Normal 5 3 3 3 3 5" xfId="10340" xr:uid="{191C94AA-D0B2-4E37-A789-71C575A70F98}"/>
    <cellStyle name="Normal 5 3 3 3 3 6" xfId="18781" xr:uid="{BBC194D5-DDD9-4DF5-AD13-150A66252818}"/>
    <cellStyle name="Normal 5 3 3 3 3 7" xfId="27221" xr:uid="{028A06AB-ABDB-4C99-B01D-FB53070D159D}"/>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573FB5C1-F148-4292-884A-69A8E8C75421}"/>
    <cellStyle name="Normal 5 3 3 3 4 2 2 3" xfId="25556" xr:uid="{050E01D5-FD9F-4FF9-B7CE-74E7FFB509BD}"/>
    <cellStyle name="Normal 5 3 3 3 4 2 2 4" xfId="33996" xr:uid="{DC16BE39-79D8-4E8F-B2CB-6958A6D1D698}"/>
    <cellStyle name="Normal 5 3 3 3 4 2 3" xfId="12898" xr:uid="{30F42E27-B080-4AF7-89E0-A7F47E2A93CD}"/>
    <cellStyle name="Normal 5 3 3 3 4 2 4" xfId="21339" xr:uid="{FC3B4726-4396-4AC8-8B34-4204357B5637}"/>
    <cellStyle name="Normal 5 3 3 3 4 2 5" xfId="29779" xr:uid="{CCC8FA97-67DC-45AF-AAAA-771429ACE351}"/>
    <cellStyle name="Normal 5 3 3 3 4 3" xfId="5644" xr:uid="{00000000-0005-0000-0000-0000E2190000}"/>
    <cellStyle name="Normal 5 3 3 3 4 3 2" xfId="14970" xr:uid="{8AD4390E-F923-47CD-A88D-8B13D2A0B59F}"/>
    <cellStyle name="Normal 5 3 3 3 4 3 3" xfId="23411" xr:uid="{307DA952-A197-4A30-9403-65CC7DF9AF4E}"/>
    <cellStyle name="Normal 5 3 3 3 4 3 4" xfId="31851" xr:uid="{0B343CAC-44D4-4EFA-AE75-41B48B9F7DC5}"/>
    <cellStyle name="Normal 5 3 3 3 4 4" xfId="10753" xr:uid="{AAA44B63-1AB2-4464-AF16-EA8D8571BA13}"/>
    <cellStyle name="Normal 5 3 3 3 4 5" xfId="19194" xr:uid="{FFB7BA9C-849A-45F6-804D-64FFCDE6FAF6}"/>
    <cellStyle name="Normal 5 3 3 3 4 6" xfId="27634" xr:uid="{827AC55A-A46D-42CE-82F2-8EBDCD8A6892}"/>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57AD0E49-6DA0-4C1E-B26C-9845704D8B6D}"/>
    <cellStyle name="Normal 5 3 3 3 5 2 2 3" xfId="25969" xr:uid="{C0A40094-918A-41FF-ADA7-79288E83C0F3}"/>
    <cellStyle name="Normal 5 3 3 3 5 2 2 4" xfId="34409" xr:uid="{10C88B70-AC49-4EF4-9EEE-18E8CAB20A4C}"/>
    <cellStyle name="Normal 5 3 3 3 5 2 3" xfId="13311" xr:uid="{1E1830E2-EFA0-4777-B1C5-79CF0AD47EB8}"/>
    <cellStyle name="Normal 5 3 3 3 5 2 4" xfId="21752" xr:uid="{D499B2E7-0929-404C-997D-CAE4D8E69D5A}"/>
    <cellStyle name="Normal 5 3 3 3 5 2 5" xfId="30192" xr:uid="{729D6B5A-8B55-4F6E-8CF7-43BE2E713591}"/>
    <cellStyle name="Normal 5 3 3 3 5 3" xfId="6057" xr:uid="{00000000-0005-0000-0000-0000E6190000}"/>
    <cellStyle name="Normal 5 3 3 3 5 3 2" xfId="15383" xr:uid="{EE39BAF1-E910-492A-9C2E-19E54B549735}"/>
    <cellStyle name="Normal 5 3 3 3 5 3 3" xfId="23824" xr:uid="{0A906DEF-A0F4-4185-8C98-D977FD6592E8}"/>
    <cellStyle name="Normal 5 3 3 3 5 3 4" xfId="32264" xr:uid="{755082BE-7DE0-4DB7-8194-D64EF12CD0A4}"/>
    <cellStyle name="Normal 5 3 3 3 5 4" xfId="11166" xr:uid="{2D354A2E-67B1-4BD8-A2C4-417A8FEBC52B}"/>
    <cellStyle name="Normal 5 3 3 3 5 5" xfId="19607" xr:uid="{28D0E24E-E921-4420-96D5-B5B3C4A4E8CC}"/>
    <cellStyle name="Normal 5 3 3 3 5 6" xfId="28047" xr:uid="{95342AFF-600E-478C-8867-7DB7FA341037}"/>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BCACFFBE-3181-4602-B868-6D9C978EF8BC}"/>
    <cellStyle name="Normal 5 3 3 3 6 2 2 3" xfId="26382" xr:uid="{D7188FB4-18BF-453C-87B3-9B500378EFFD}"/>
    <cellStyle name="Normal 5 3 3 3 6 2 2 4" xfId="34822" xr:uid="{C2810EBE-4D1D-4BD4-A6D5-ACE9BF38C1FF}"/>
    <cellStyle name="Normal 5 3 3 3 6 2 3" xfId="13724" xr:uid="{70EE2B28-6EA0-4F84-AB23-1B346B04070F}"/>
    <cellStyle name="Normal 5 3 3 3 6 2 4" xfId="22165" xr:uid="{FD1BCFF1-6B86-4B5C-8BFC-8255FBB6F367}"/>
    <cellStyle name="Normal 5 3 3 3 6 2 5" xfId="30605" xr:uid="{0192159B-65E4-4633-A87D-E36687ACEA1C}"/>
    <cellStyle name="Normal 5 3 3 3 6 3" xfId="6470" xr:uid="{00000000-0005-0000-0000-0000EA190000}"/>
    <cellStyle name="Normal 5 3 3 3 6 3 2" xfId="15796" xr:uid="{608D1D8A-36E6-440C-97EF-FE39FEB4E4C7}"/>
    <cellStyle name="Normal 5 3 3 3 6 3 3" xfId="24237" xr:uid="{CF680A68-983F-485B-AD28-153EC5737B8F}"/>
    <cellStyle name="Normal 5 3 3 3 6 3 4" xfId="32677" xr:uid="{02CD68B7-FE4C-4045-92CE-F3519D923410}"/>
    <cellStyle name="Normal 5 3 3 3 6 4" xfId="11579" xr:uid="{F83007C8-459F-4AE2-A8B0-768C5158EF4C}"/>
    <cellStyle name="Normal 5 3 3 3 6 5" xfId="20020" xr:uid="{53F8B563-2C3A-469D-BB6D-534368DD9271}"/>
    <cellStyle name="Normal 5 3 3 3 6 6" xfId="28460" xr:uid="{BAE142C0-83CB-46D9-B69F-2B497A2533F6}"/>
    <cellStyle name="Normal 5 3 3 3 7" xfId="2600" xr:uid="{00000000-0005-0000-0000-0000EB190000}"/>
    <cellStyle name="Normal 5 3 3 3 7 2" xfId="6883" xr:uid="{00000000-0005-0000-0000-0000EC190000}"/>
    <cellStyle name="Normal 5 3 3 3 7 2 2" xfId="16209" xr:uid="{64389B42-E033-4369-9B59-B9F8731C4D9C}"/>
    <cellStyle name="Normal 5 3 3 3 7 2 3" xfId="24650" xr:uid="{DA0C5B48-58F1-44C1-B6D7-CE8E99027852}"/>
    <cellStyle name="Normal 5 3 3 3 7 2 4" xfId="33090" xr:uid="{C4E7BCA1-B8DD-4C96-9257-B3C9BFF0092B}"/>
    <cellStyle name="Normal 5 3 3 3 7 3" xfId="11992" xr:uid="{171D1CF3-BAB9-44C2-A523-327F7D5933B5}"/>
    <cellStyle name="Normal 5 3 3 3 7 4" xfId="20433" xr:uid="{7EF864B9-4364-44F0-BD90-507DE7E59F40}"/>
    <cellStyle name="Normal 5 3 3 3 7 5" xfId="28873" xr:uid="{5F9B9713-13EA-4315-B762-FEA517CDC901}"/>
    <cellStyle name="Normal 5 3 3 3 8" xfId="4818" xr:uid="{00000000-0005-0000-0000-0000ED190000}"/>
    <cellStyle name="Normal 5 3 3 3 8 2" xfId="14144" xr:uid="{627662A3-F34C-4729-AC0D-8F992E20A778}"/>
    <cellStyle name="Normal 5 3 3 3 8 3" xfId="22585" xr:uid="{3DFE3FD7-3117-49DF-B71B-A827C6CDA1A9}"/>
    <cellStyle name="Normal 5 3 3 3 8 4" xfId="31025" xr:uid="{BFEC5796-182E-4A1F-B26E-977A5AE1FBDE}"/>
    <cellStyle name="Normal 5 3 3 3 9" xfId="8885" xr:uid="{BFA59703-C126-4DE9-A819-9190501D5C5B}"/>
    <cellStyle name="Normal 5 3 3 4" xfId="448" xr:uid="{00000000-0005-0000-0000-0000EE190000}"/>
    <cellStyle name="Normal 5 3 3 4 10" xfId="18370" xr:uid="{6ACC88AC-515D-4100-89DF-814D4AB18ADD}"/>
    <cellStyle name="Normal 5 3 3 4 11" xfId="26810" xr:uid="{FA5D77CA-4DEA-41CD-B75F-24F4B5EAE984}"/>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498C2605-7216-411E-9B4C-69F803E43FD4}"/>
    <cellStyle name="Normal 5 3 3 4 2 2 2 3" xfId="25145" xr:uid="{2B0EF6E8-F743-4611-BDE1-5951BD7E7CA0}"/>
    <cellStyle name="Normal 5 3 3 4 2 2 2 4" xfId="33585" xr:uid="{9D9F460F-F292-4380-BA23-83599F6C1200}"/>
    <cellStyle name="Normal 5 3 3 4 2 2 3" xfId="12487" xr:uid="{12A07275-6E33-40A6-B781-151A2D61958A}"/>
    <cellStyle name="Normal 5 3 3 4 2 2 4" xfId="20928" xr:uid="{9226F3BD-26D6-4185-A10C-F5A99A7ED4BD}"/>
    <cellStyle name="Normal 5 3 3 4 2 2 5" xfId="29368" xr:uid="{405D6043-BA67-4C74-B45F-C6E6C4D5AE58}"/>
    <cellStyle name="Normal 5 3 3 4 2 3" xfId="5233" xr:uid="{00000000-0005-0000-0000-0000F2190000}"/>
    <cellStyle name="Normal 5 3 3 4 2 3 2" xfId="14559" xr:uid="{17023CFB-5219-4ADF-9AE4-ED7EA65D6EBE}"/>
    <cellStyle name="Normal 5 3 3 4 2 3 3" xfId="23000" xr:uid="{31B6EEC0-3E1C-4A29-87CE-E5CC35867057}"/>
    <cellStyle name="Normal 5 3 3 4 2 3 4" xfId="31440" xr:uid="{7BA55916-8CBD-4ABD-AF97-66A5C55B09B7}"/>
    <cellStyle name="Normal 5 3 3 4 2 4" xfId="9414" xr:uid="{BD781A4C-FDA7-4D11-87F3-3D38EC19B37A}"/>
    <cellStyle name="Normal 5 3 3 4 2 5" xfId="10342" xr:uid="{DDEE9624-12D7-4AA5-BBF4-C6C21AED9088}"/>
    <cellStyle name="Normal 5 3 3 4 2 6" xfId="18783" xr:uid="{C9485923-AE66-4BA0-BEFE-975EFB324D2D}"/>
    <cellStyle name="Normal 5 3 3 4 2 7" xfId="27223" xr:uid="{D60E63E0-1EA2-4DA7-8491-35621C54925C}"/>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4CBF14E3-361E-46C6-999C-D971F18BE7CA}"/>
    <cellStyle name="Normal 5 3 3 4 3 2 2 3" xfId="25558" xr:uid="{0F813D69-3087-4564-8E5D-67040BE85082}"/>
    <cellStyle name="Normal 5 3 3 4 3 2 2 4" xfId="33998" xr:uid="{FE6F04C9-55E8-474B-AB6D-A29EE3A88786}"/>
    <cellStyle name="Normal 5 3 3 4 3 2 3" xfId="12900" xr:uid="{2E7794DC-5AD0-4858-8C9A-5ED4D6229045}"/>
    <cellStyle name="Normal 5 3 3 4 3 2 4" xfId="21341" xr:uid="{C015F5D7-A7BE-4E54-8D29-D3B082521CAE}"/>
    <cellStyle name="Normal 5 3 3 4 3 2 5" xfId="29781" xr:uid="{A6069435-A1F8-48C0-B867-752726E38877}"/>
    <cellStyle name="Normal 5 3 3 4 3 3" xfId="5646" xr:uid="{00000000-0005-0000-0000-0000F6190000}"/>
    <cellStyle name="Normal 5 3 3 4 3 3 2" xfId="14972" xr:uid="{4394A611-CA27-45B9-A6C0-6E86131A4F6B}"/>
    <cellStyle name="Normal 5 3 3 4 3 3 3" xfId="23413" xr:uid="{13A3A413-E50C-4787-AE58-C3F3CA040CF7}"/>
    <cellStyle name="Normal 5 3 3 4 3 3 4" xfId="31853" xr:uid="{94CD347E-98B7-42BF-8BBC-4A82220B2494}"/>
    <cellStyle name="Normal 5 3 3 4 3 4" xfId="10755" xr:uid="{D9B36A36-60CA-4665-9DE8-F25E70D441D4}"/>
    <cellStyle name="Normal 5 3 3 4 3 5" xfId="19196" xr:uid="{5CB555A4-B3DB-424D-942A-FA4CC23FEAE7}"/>
    <cellStyle name="Normal 5 3 3 4 3 6" xfId="27636" xr:uid="{B2D4076B-8B9B-4CC4-89B1-649682D5B6A7}"/>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FAC43E26-B81F-486D-9034-2D528F3E13A7}"/>
    <cellStyle name="Normal 5 3 3 4 4 2 2 3" xfId="25971" xr:uid="{5880AC50-1D06-4A07-BCF4-9793FE00DBE1}"/>
    <cellStyle name="Normal 5 3 3 4 4 2 2 4" xfId="34411" xr:uid="{056E1E52-6C11-4DCA-8D2C-CA24CE5FB07E}"/>
    <cellStyle name="Normal 5 3 3 4 4 2 3" xfId="13313" xr:uid="{07DFFBBA-BD62-4A02-B0BD-1A47F8BA3C40}"/>
    <cellStyle name="Normal 5 3 3 4 4 2 4" xfId="21754" xr:uid="{681E07BD-086A-4E87-A60E-3FAFE6E1C8EA}"/>
    <cellStyle name="Normal 5 3 3 4 4 2 5" xfId="30194" xr:uid="{D68359F6-FD97-42AB-B5B8-DA32BE29B4FD}"/>
    <cellStyle name="Normal 5 3 3 4 4 3" xfId="6059" xr:uid="{00000000-0005-0000-0000-0000FA190000}"/>
    <cellStyle name="Normal 5 3 3 4 4 3 2" xfId="15385" xr:uid="{5B0C4463-82FC-41AA-B074-707CF8D342E9}"/>
    <cellStyle name="Normal 5 3 3 4 4 3 3" xfId="23826" xr:uid="{7E442539-6E74-4928-8A21-3E1032CFCE93}"/>
    <cellStyle name="Normal 5 3 3 4 4 3 4" xfId="32266" xr:uid="{43FF371C-0703-43A9-8A03-331E98F47449}"/>
    <cellStyle name="Normal 5 3 3 4 4 4" xfId="11168" xr:uid="{B8E7F2F3-393E-4C6D-8D5D-43833E544531}"/>
    <cellStyle name="Normal 5 3 3 4 4 5" xfId="19609" xr:uid="{DE72B381-F3F3-420A-A8AC-3329B02C9184}"/>
    <cellStyle name="Normal 5 3 3 4 4 6" xfId="28049" xr:uid="{30ED2386-1E97-4E2F-AC3E-3F49DA522AA6}"/>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768086BF-F911-4EC1-BF91-AFB7E4AA90B2}"/>
    <cellStyle name="Normal 5 3 3 4 5 2 2 3" xfId="26384" xr:uid="{5B463CB8-C5A2-42E7-AF9A-AAA9ACECA1B5}"/>
    <cellStyle name="Normal 5 3 3 4 5 2 2 4" xfId="34824" xr:uid="{AB4E267C-BD5F-44D5-B207-65411E59A355}"/>
    <cellStyle name="Normal 5 3 3 4 5 2 3" xfId="13726" xr:uid="{2C2E1A28-C876-42C6-B81B-5B14D073FA04}"/>
    <cellStyle name="Normal 5 3 3 4 5 2 4" xfId="22167" xr:uid="{5A365DCA-6143-42CD-BEC1-1E572B03891A}"/>
    <cellStyle name="Normal 5 3 3 4 5 2 5" xfId="30607" xr:uid="{CF9D5163-90AB-4B96-8572-52594EE65A28}"/>
    <cellStyle name="Normal 5 3 3 4 5 3" xfId="6472" xr:uid="{00000000-0005-0000-0000-0000FE190000}"/>
    <cellStyle name="Normal 5 3 3 4 5 3 2" xfId="15798" xr:uid="{0E159D41-F88D-4BB7-B42F-07BDBBE81032}"/>
    <cellStyle name="Normal 5 3 3 4 5 3 3" xfId="24239" xr:uid="{4BF4205B-A15A-4E23-85D1-7429F6B065AC}"/>
    <cellStyle name="Normal 5 3 3 4 5 3 4" xfId="32679" xr:uid="{7FF191F0-4190-439D-A524-CA8C16B3CC8C}"/>
    <cellStyle name="Normal 5 3 3 4 5 4" xfId="11581" xr:uid="{621020DF-91BD-4244-A1F3-FF0788C96539}"/>
    <cellStyle name="Normal 5 3 3 4 5 5" xfId="20022" xr:uid="{016D72F1-5942-4859-9C66-A8B30973AF49}"/>
    <cellStyle name="Normal 5 3 3 4 5 6" xfId="28462" xr:uid="{21031D70-F467-4048-9DB8-A8F71935E378}"/>
    <cellStyle name="Normal 5 3 3 4 6" xfId="2602" xr:uid="{00000000-0005-0000-0000-0000FF190000}"/>
    <cellStyle name="Normal 5 3 3 4 6 2" xfId="6885" xr:uid="{00000000-0005-0000-0000-0000001A0000}"/>
    <cellStyle name="Normal 5 3 3 4 6 2 2" xfId="16211" xr:uid="{29FB39BD-2FD1-446E-BA4E-35B73CC9950E}"/>
    <cellStyle name="Normal 5 3 3 4 6 2 3" xfId="24652" xr:uid="{B80FE8EA-0D26-4771-A54A-B57FF6E9F2FB}"/>
    <cellStyle name="Normal 5 3 3 4 6 2 4" xfId="33092" xr:uid="{71073466-B8D0-4EE9-999C-A0F9DC2E623D}"/>
    <cellStyle name="Normal 5 3 3 4 6 3" xfId="11994" xr:uid="{BA692270-C11E-453D-933B-DE73A341209C}"/>
    <cellStyle name="Normal 5 3 3 4 6 4" xfId="20435" xr:uid="{CC6C616C-38E5-4DE2-9AB8-D5AFC698C624}"/>
    <cellStyle name="Normal 5 3 3 4 6 5" xfId="28875" xr:uid="{6F76ABEB-C809-4BE1-ABE5-7A837CA62D38}"/>
    <cellStyle name="Normal 5 3 3 4 7" xfId="4820" xr:uid="{00000000-0005-0000-0000-0000011A0000}"/>
    <cellStyle name="Normal 5 3 3 4 7 2" xfId="14146" xr:uid="{BC1EE825-0D44-4A69-A5D7-3B54321F5D4E}"/>
    <cellStyle name="Normal 5 3 3 4 7 3" xfId="22587" xr:uid="{1C352A80-F561-4431-BAB1-AF00C30FA153}"/>
    <cellStyle name="Normal 5 3 3 4 7 4" xfId="31027" xr:uid="{77F71241-4843-4AD3-B179-150A9C2F008B}"/>
    <cellStyle name="Normal 5 3 3 4 8" xfId="8989" xr:uid="{20FA1483-98E6-46C4-B00B-4EAF7957981D}"/>
    <cellStyle name="Normal 5 3 3 4 9" xfId="9929" xr:uid="{96C145C0-2ADB-4F34-8600-96BB6461BE82}"/>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2FB2C7E8-1B8D-45E4-A09D-CD4FB91BA532}"/>
    <cellStyle name="Normal 5 3 3 5 2 2 3" xfId="25138" xr:uid="{60C02241-39A7-4B43-B1F3-19A09B2C231E}"/>
    <cellStyle name="Normal 5 3 3 5 2 2 4" xfId="33578" xr:uid="{FD1D6BE1-32BB-426C-AE18-378A0F4B3196}"/>
    <cellStyle name="Normal 5 3 3 5 2 3" xfId="12480" xr:uid="{ACD2427D-8960-42CE-B8DE-F55B13A699F6}"/>
    <cellStyle name="Normal 5 3 3 5 2 4" xfId="20921" xr:uid="{44B26895-531C-4BE6-86D2-F4769842E1BE}"/>
    <cellStyle name="Normal 5 3 3 5 2 5" xfId="29361" xr:uid="{6CAF848C-53E9-4AB7-982D-7490836E891E}"/>
    <cellStyle name="Normal 5 3 3 5 3" xfId="5226" xr:uid="{00000000-0005-0000-0000-0000051A0000}"/>
    <cellStyle name="Normal 5 3 3 5 3 2" xfId="14552" xr:uid="{38D2FA3F-164F-4464-B171-47F5E3E309E7}"/>
    <cellStyle name="Normal 5 3 3 5 3 3" xfId="22993" xr:uid="{F3C6A3FA-25EC-4E77-9A1A-896BCCDEA217}"/>
    <cellStyle name="Normal 5 3 3 5 3 4" xfId="31433" xr:uid="{11F59A88-3C9E-4BF4-9027-E16FE74E5D61}"/>
    <cellStyle name="Normal 5 3 3 5 4" xfId="9206" xr:uid="{CA749CBB-EAB5-483B-862D-D7B95A23D45C}"/>
    <cellStyle name="Normal 5 3 3 5 5" xfId="10335" xr:uid="{C734C57A-C907-4917-9ED4-B5BB90F72CF9}"/>
    <cellStyle name="Normal 5 3 3 5 6" xfId="18776" xr:uid="{24C2FCE5-B572-4FB2-ADBA-0DBDA61D5108}"/>
    <cellStyle name="Normal 5 3 3 5 7" xfId="27216" xr:uid="{3E9E33BB-8611-44B3-8DAC-7F60F57E3E16}"/>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0F8577AC-1D38-4771-B032-1A6DC72D50D0}"/>
    <cellStyle name="Normal 5 3 3 6 2 2 3" xfId="25551" xr:uid="{07BEF6D7-4236-4B97-AB13-9336894741D2}"/>
    <cellStyle name="Normal 5 3 3 6 2 2 4" xfId="33991" xr:uid="{393E5225-FAFF-479A-8C8F-D410758795B5}"/>
    <cellStyle name="Normal 5 3 3 6 2 3" xfId="12893" xr:uid="{0633F581-661D-4FFD-B3C6-93F812879FE0}"/>
    <cellStyle name="Normal 5 3 3 6 2 4" xfId="21334" xr:uid="{16912527-D067-467F-9AD3-3B53E6E15557}"/>
    <cellStyle name="Normal 5 3 3 6 2 5" xfId="29774" xr:uid="{D7672BCE-71D0-4267-835B-56E1C642FBB0}"/>
    <cellStyle name="Normal 5 3 3 6 3" xfId="5639" xr:uid="{00000000-0005-0000-0000-0000091A0000}"/>
    <cellStyle name="Normal 5 3 3 6 3 2" xfId="14965" xr:uid="{3E3BB1FC-3ABE-4D96-B33E-D851DEB5B442}"/>
    <cellStyle name="Normal 5 3 3 6 3 3" xfId="23406" xr:uid="{55BEB611-CE59-42D3-88C9-2CC0DD6ED6AA}"/>
    <cellStyle name="Normal 5 3 3 6 3 4" xfId="31846" xr:uid="{9DDE33DB-4A2F-48A8-8CCF-EB95B7D00308}"/>
    <cellStyle name="Normal 5 3 3 6 4" xfId="10748" xr:uid="{AF1026C0-36E6-4A70-9312-B5654620AE22}"/>
    <cellStyle name="Normal 5 3 3 6 5" xfId="19189" xr:uid="{9E54458E-A61C-41DC-BDD5-5302C2A96DD6}"/>
    <cellStyle name="Normal 5 3 3 6 6" xfId="27629" xr:uid="{FE4199E2-FBB6-4C50-9CB9-BDEA058B2806}"/>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A863EF6A-8E44-435B-B65F-C8BEB294CE13}"/>
    <cellStyle name="Normal 5 3 3 7 2 2 3" xfId="25964" xr:uid="{320041FC-E257-41C9-B2D4-729B830B918D}"/>
    <cellStyle name="Normal 5 3 3 7 2 2 4" xfId="34404" xr:uid="{19E02602-3A84-438A-B0AE-8EF11415BC99}"/>
    <cellStyle name="Normal 5 3 3 7 2 3" xfId="13306" xr:uid="{06D0647C-29C0-479C-BECC-B11C8A771F76}"/>
    <cellStyle name="Normal 5 3 3 7 2 4" xfId="21747" xr:uid="{DE39C0CB-C5CA-487D-8352-7D0FB2A4CE21}"/>
    <cellStyle name="Normal 5 3 3 7 2 5" xfId="30187" xr:uid="{6ABDA9AD-CCED-4802-A5B1-BC4BA170D850}"/>
    <cellStyle name="Normal 5 3 3 7 3" xfId="6052" xr:uid="{00000000-0005-0000-0000-00000D1A0000}"/>
    <cellStyle name="Normal 5 3 3 7 3 2" xfId="15378" xr:uid="{AB8EFE44-F5E6-4CF2-BF7E-9A433152BAA9}"/>
    <cellStyle name="Normal 5 3 3 7 3 3" xfId="23819" xr:uid="{150A2217-2F9D-4792-976A-8282943C0CF4}"/>
    <cellStyle name="Normal 5 3 3 7 3 4" xfId="32259" xr:uid="{C89DF169-149D-4206-8FCA-BFF87C284C51}"/>
    <cellStyle name="Normal 5 3 3 7 4" xfId="11161" xr:uid="{DCA511B7-F4A6-478F-9C01-B395C5F925A3}"/>
    <cellStyle name="Normal 5 3 3 7 5" xfId="19602" xr:uid="{32DDB959-119C-47BC-8154-DE4F99DED363}"/>
    <cellStyle name="Normal 5 3 3 7 6" xfId="28042" xr:uid="{701E777F-998A-48DA-91F9-0E7F10B6B34A}"/>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556E511F-ADCC-4194-87C3-575D79785CA2}"/>
    <cellStyle name="Normal 5 3 3 8 2 2 3" xfId="26377" xr:uid="{4A25C984-D2B8-4225-A0E6-747C58F0F6FD}"/>
    <cellStyle name="Normal 5 3 3 8 2 2 4" xfId="34817" xr:uid="{1F9CA908-6F0B-4751-AEE5-1E6E8C361C5A}"/>
    <cellStyle name="Normal 5 3 3 8 2 3" xfId="13719" xr:uid="{786A46AC-C85E-4440-B7CA-0446EF52BD80}"/>
    <cellStyle name="Normal 5 3 3 8 2 4" xfId="22160" xr:uid="{C6505A47-780D-466C-ADDA-3B813D3B147B}"/>
    <cellStyle name="Normal 5 3 3 8 2 5" xfId="30600" xr:uid="{32187508-0423-4EA4-9A77-6E04DCC503E1}"/>
    <cellStyle name="Normal 5 3 3 8 3" xfId="6465" xr:uid="{00000000-0005-0000-0000-0000111A0000}"/>
    <cellStyle name="Normal 5 3 3 8 3 2" xfId="15791" xr:uid="{9D6ADD74-75AC-4695-9B5D-434A2A626618}"/>
    <cellStyle name="Normal 5 3 3 8 3 3" xfId="24232" xr:uid="{014FFAAF-DFEB-4855-9CD7-522E086DA156}"/>
    <cellStyle name="Normal 5 3 3 8 3 4" xfId="32672" xr:uid="{9A67998A-F5FE-45DF-8636-3D3137968C4D}"/>
    <cellStyle name="Normal 5 3 3 8 4" xfId="11574" xr:uid="{1D8E6402-CF98-4576-B588-21C724B346E5}"/>
    <cellStyle name="Normal 5 3 3 8 5" xfId="20015" xr:uid="{34560B3E-BAF9-490E-8582-B3D54A257BB2}"/>
    <cellStyle name="Normal 5 3 3 8 6" xfId="28455" xr:uid="{42DB6DBE-6B6C-49A1-81F5-250BA0E7C71A}"/>
    <cellStyle name="Normal 5 3 3 9" xfId="2595" xr:uid="{00000000-0005-0000-0000-0000121A0000}"/>
    <cellStyle name="Normal 5 3 3 9 2" xfId="6878" xr:uid="{00000000-0005-0000-0000-0000131A0000}"/>
    <cellStyle name="Normal 5 3 3 9 2 2" xfId="16204" xr:uid="{D5E0B98D-E2D3-442F-8747-46D10984B9AB}"/>
    <cellStyle name="Normal 5 3 3 9 2 3" xfId="24645" xr:uid="{60799722-7874-4B7A-B111-0F4AB86E50D4}"/>
    <cellStyle name="Normal 5 3 3 9 2 4" xfId="33085" xr:uid="{3B470F5B-C562-44DB-B2BB-F5949E662CE7}"/>
    <cellStyle name="Normal 5 3 3 9 3" xfId="11987" xr:uid="{4E2E9C6C-7636-4E8A-AA5C-6EA0AE731A3B}"/>
    <cellStyle name="Normal 5 3 3 9 4" xfId="20428" xr:uid="{A704F92E-5967-4DCC-9551-C5E2C00BFF63}"/>
    <cellStyle name="Normal 5 3 3 9 5" xfId="28868" xr:uid="{D2876D3A-78A4-4B59-9DA9-18CFF2883CFA}"/>
    <cellStyle name="Normal 5 3 4" xfId="449" xr:uid="{00000000-0005-0000-0000-0000141A0000}"/>
    <cellStyle name="Normal 5 3 4 10" xfId="8831" xr:uid="{39AD872D-FBC2-4C4A-B537-79F8014E4247}"/>
    <cellStyle name="Normal 5 3 4 11" xfId="9930" xr:uid="{EFE819C6-075A-4A0A-ADCA-A519B5E06D0F}"/>
    <cellStyle name="Normal 5 3 4 12" xfId="18371" xr:uid="{C035488D-6E89-4DBD-9F5B-0348862A0E46}"/>
    <cellStyle name="Normal 5 3 4 13" xfId="26811" xr:uid="{B7D3A7DB-F9F0-4C27-857F-733272EEAA05}"/>
    <cellStyle name="Normal 5 3 4 2" xfId="450" xr:uid="{00000000-0005-0000-0000-0000151A0000}"/>
    <cellStyle name="Normal 5 3 4 2 10" xfId="9931" xr:uid="{D25119ED-3930-47BD-8462-6063939E72CC}"/>
    <cellStyle name="Normal 5 3 4 2 11" xfId="18372" xr:uid="{74D69336-7309-4A6A-93C5-DF768C6D2039}"/>
    <cellStyle name="Normal 5 3 4 2 12" xfId="26812" xr:uid="{85C74A3D-DC71-49A4-9FD6-1CD7010B3F4B}"/>
    <cellStyle name="Normal 5 3 4 2 2" xfId="451" xr:uid="{00000000-0005-0000-0000-0000161A0000}"/>
    <cellStyle name="Normal 5 3 4 2 2 10" xfId="18373" xr:uid="{BB415899-100B-4BE1-AFBB-FEA84F8593B6}"/>
    <cellStyle name="Normal 5 3 4 2 2 11" xfId="26813" xr:uid="{2BD7DA66-ECFD-4B3D-80B8-81CC86B2EE12}"/>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BDF3F219-7DA4-4B5F-8CEF-570C0D0E3B6F}"/>
    <cellStyle name="Normal 5 3 4 2 2 2 2 2 3" xfId="25148" xr:uid="{53DA0450-8535-4E48-8AE0-F3A79A62EA90}"/>
    <cellStyle name="Normal 5 3 4 2 2 2 2 2 4" xfId="33588" xr:uid="{F6DDC791-7808-4F0D-91CD-E46F7D5EBB73}"/>
    <cellStyle name="Normal 5 3 4 2 2 2 2 3" xfId="12490" xr:uid="{03807040-10EA-4051-8DBB-7ECFDB37316E}"/>
    <cellStyle name="Normal 5 3 4 2 2 2 2 4" xfId="20931" xr:uid="{A15A080A-7E7B-4C9A-B8CF-C9F18A5475FD}"/>
    <cellStyle name="Normal 5 3 4 2 2 2 2 5" xfId="29371" xr:uid="{D3D09056-7A11-48CA-A516-68E493D8CE13}"/>
    <cellStyle name="Normal 5 3 4 2 2 2 3" xfId="5236" xr:uid="{00000000-0005-0000-0000-00001A1A0000}"/>
    <cellStyle name="Normal 5 3 4 2 2 2 3 2" xfId="14562" xr:uid="{3266DCEC-CE51-4CF3-9175-DDAF190BC8F0}"/>
    <cellStyle name="Normal 5 3 4 2 2 2 3 3" xfId="23003" xr:uid="{D98FD174-8C34-484A-99B8-C281A7BB8913}"/>
    <cellStyle name="Normal 5 3 4 2 2 2 3 4" xfId="31443" xr:uid="{3FFC4A99-0748-4C28-A1AF-6A8901703F7D}"/>
    <cellStyle name="Normal 5 3 4 2 2 2 4" xfId="9566" xr:uid="{D483C248-9680-462F-989C-42C712CD6EB7}"/>
    <cellStyle name="Normal 5 3 4 2 2 2 5" xfId="10345" xr:uid="{464460AA-CF31-455D-8B8D-C87085E4ADE8}"/>
    <cellStyle name="Normal 5 3 4 2 2 2 6" xfId="18786" xr:uid="{6DE930E3-CBED-47BD-933B-83F6CDC795B7}"/>
    <cellStyle name="Normal 5 3 4 2 2 2 7" xfId="27226" xr:uid="{35BB0809-DF2F-437C-8DB9-0CA0F221BC75}"/>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4F0A064D-3736-41A8-9A57-117BF4F6932C}"/>
    <cellStyle name="Normal 5 3 4 2 2 3 2 2 3" xfId="25561" xr:uid="{5119C5BE-3737-4EB4-B1B9-06DC7C0D9DF0}"/>
    <cellStyle name="Normal 5 3 4 2 2 3 2 2 4" xfId="34001" xr:uid="{BDCA4EC6-BD6D-44C3-9FE9-53F6177F3287}"/>
    <cellStyle name="Normal 5 3 4 2 2 3 2 3" xfId="12903" xr:uid="{1537CAEA-3388-43FB-B837-8C5C44D0A994}"/>
    <cellStyle name="Normal 5 3 4 2 2 3 2 4" xfId="21344" xr:uid="{4A0549DF-4E41-447E-9917-026F8E6380F4}"/>
    <cellStyle name="Normal 5 3 4 2 2 3 2 5" xfId="29784" xr:uid="{3F581ACA-B483-4E42-8120-16FAA9D29C9F}"/>
    <cellStyle name="Normal 5 3 4 2 2 3 3" xfId="5649" xr:uid="{00000000-0005-0000-0000-00001E1A0000}"/>
    <cellStyle name="Normal 5 3 4 2 2 3 3 2" xfId="14975" xr:uid="{2093AFD5-09D0-48D7-A3B1-09D72683DED8}"/>
    <cellStyle name="Normal 5 3 4 2 2 3 3 3" xfId="23416" xr:uid="{6027B00B-054A-45F7-8ABE-EFAEA84F289F}"/>
    <cellStyle name="Normal 5 3 4 2 2 3 3 4" xfId="31856" xr:uid="{36AA898A-BAC8-4431-8160-F877CFFEEB8C}"/>
    <cellStyle name="Normal 5 3 4 2 2 3 4" xfId="10758" xr:uid="{0C6A03AB-43ED-4B7B-8726-39F9C8A641BB}"/>
    <cellStyle name="Normal 5 3 4 2 2 3 5" xfId="19199" xr:uid="{CE658256-4E60-4A72-AA19-D13E122929E2}"/>
    <cellStyle name="Normal 5 3 4 2 2 3 6" xfId="27639" xr:uid="{B7A375B1-497A-4F3A-B426-7BB33BC31303}"/>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0D79EC35-5867-48F9-BF6E-59F1843E2BC8}"/>
    <cellStyle name="Normal 5 3 4 2 2 4 2 2 3" xfId="25974" xr:uid="{FA15FFD7-4CDE-46D1-98A9-1263AB7B39CB}"/>
    <cellStyle name="Normal 5 3 4 2 2 4 2 2 4" xfId="34414" xr:uid="{F44D193E-3771-4866-9602-C36A543EEB5B}"/>
    <cellStyle name="Normal 5 3 4 2 2 4 2 3" xfId="13316" xr:uid="{0AB63992-AC42-4EA9-9FA6-759992FC8D8D}"/>
    <cellStyle name="Normal 5 3 4 2 2 4 2 4" xfId="21757" xr:uid="{954C64D8-3A0C-449C-AEE7-E9E652080004}"/>
    <cellStyle name="Normal 5 3 4 2 2 4 2 5" xfId="30197" xr:uid="{E315175B-3425-40D5-9A82-A059DD55CEF2}"/>
    <cellStyle name="Normal 5 3 4 2 2 4 3" xfId="6062" xr:uid="{00000000-0005-0000-0000-0000221A0000}"/>
    <cellStyle name="Normal 5 3 4 2 2 4 3 2" xfId="15388" xr:uid="{220D079E-92F9-417A-8598-D53ED89C0C8D}"/>
    <cellStyle name="Normal 5 3 4 2 2 4 3 3" xfId="23829" xr:uid="{BD7BCFA5-0865-4ED2-9939-6D355E7B3EC0}"/>
    <cellStyle name="Normal 5 3 4 2 2 4 3 4" xfId="32269" xr:uid="{851531D4-8B68-4944-AF67-58CC8C7C6A95}"/>
    <cellStyle name="Normal 5 3 4 2 2 4 4" xfId="11171" xr:uid="{AD513960-54FD-4241-A5B6-293AE14898A2}"/>
    <cellStyle name="Normal 5 3 4 2 2 4 5" xfId="19612" xr:uid="{1BBF76C1-712D-495A-A58B-8304DCBB769B}"/>
    <cellStyle name="Normal 5 3 4 2 2 4 6" xfId="28052" xr:uid="{0BAD7FAE-446E-4732-BE40-8F920F5CB696}"/>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B6D08B35-1BCE-47EA-9846-468839F5DF04}"/>
    <cellStyle name="Normal 5 3 4 2 2 5 2 2 3" xfId="26387" xr:uid="{3D883121-3C84-42C7-821E-8C21355638C3}"/>
    <cellStyle name="Normal 5 3 4 2 2 5 2 2 4" xfId="34827" xr:uid="{4DD8FE6D-6044-495A-95E0-CC8D59446FF5}"/>
    <cellStyle name="Normal 5 3 4 2 2 5 2 3" xfId="13729" xr:uid="{5D29CE7B-6E55-4779-9188-77A1A98E139B}"/>
    <cellStyle name="Normal 5 3 4 2 2 5 2 4" xfId="22170" xr:uid="{F15A86F4-190B-4384-814B-351E7288856B}"/>
    <cellStyle name="Normal 5 3 4 2 2 5 2 5" xfId="30610" xr:uid="{67E79ED6-74A4-42C0-847D-0773B7E4CDE8}"/>
    <cellStyle name="Normal 5 3 4 2 2 5 3" xfId="6475" xr:uid="{00000000-0005-0000-0000-0000261A0000}"/>
    <cellStyle name="Normal 5 3 4 2 2 5 3 2" xfId="15801" xr:uid="{466149F3-38D7-4285-94BB-EAF9E79BA82C}"/>
    <cellStyle name="Normal 5 3 4 2 2 5 3 3" xfId="24242" xr:uid="{2AF59CAB-C3E5-4AE4-9784-9C2CE35E0A7A}"/>
    <cellStyle name="Normal 5 3 4 2 2 5 3 4" xfId="32682" xr:uid="{83BC5D7E-A284-48D2-B08A-FD6DAEB11133}"/>
    <cellStyle name="Normal 5 3 4 2 2 5 4" xfId="11584" xr:uid="{D204F552-B458-4D1F-8973-C2863E68A230}"/>
    <cellStyle name="Normal 5 3 4 2 2 5 5" xfId="20025" xr:uid="{DC44F7F7-4271-4739-ACF7-45948653228F}"/>
    <cellStyle name="Normal 5 3 4 2 2 5 6" xfId="28465" xr:uid="{C4037365-B4CC-4D20-85AD-35FA08336608}"/>
    <cellStyle name="Normal 5 3 4 2 2 6" xfId="2605" xr:uid="{00000000-0005-0000-0000-0000271A0000}"/>
    <cellStyle name="Normal 5 3 4 2 2 6 2" xfId="6888" xr:uid="{00000000-0005-0000-0000-0000281A0000}"/>
    <cellStyle name="Normal 5 3 4 2 2 6 2 2" xfId="16214" xr:uid="{62081F40-12BD-4B10-8C94-163CD1675303}"/>
    <cellStyle name="Normal 5 3 4 2 2 6 2 3" xfId="24655" xr:uid="{A3D51729-33AB-435C-84E2-EC7E0CB4A0C0}"/>
    <cellStyle name="Normal 5 3 4 2 2 6 2 4" xfId="33095" xr:uid="{1F6B32DC-EC5C-45C5-8DAE-4FF3BEACED06}"/>
    <cellStyle name="Normal 5 3 4 2 2 6 3" xfId="11997" xr:uid="{AE826722-29B2-482D-A5F4-4F74682AA553}"/>
    <cellStyle name="Normal 5 3 4 2 2 6 4" xfId="20438" xr:uid="{18429276-F71D-49E4-8A22-16F9CFC4449C}"/>
    <cellStyle name="Normal 5 3 4 2 2 6 5" xfId="28878" xr:uid="{A0261B22-8E65-480D-92F7-F5C81495349F}"/>
    <cellStyle name="Normal 5 3 4 2 2 7" xfId="4823" xr:uid="{00000000-0005-0000-0000-0000291A0000}"/>
    <cellStyle name="Normal 5 3 4 2 2 7 2" xfId="14149" xr:uid="{653818E2-6855-46AB-9047-A3B4DC3A3D5B}"/>
    <cellStyle name="Normal 5 3 4 2 2 7 3" xfId="22590" xr:uid="{267CA040-D9B4-4F68-B595-019101222B65}"/>
    <cellStyle name="Normal 5 3 4 2 2 7 4" xfId="31030" xr:uid="{2FF0F6BD-6FCF-4B72-93F5-17A5B292CE0C}"/>
    <cellStyle name="Normal 5 3 4 2 2 8" xfId="9141" xr:uid="{6B63A6D0-0E60-498B-8E53-451D5144533A}"/>
    <cellStyle name="Normal 5 3 4 2 2 9" xfId="9932" xr:uid="{711D8CFF-AEC6-4307-9F04-4EFC316DE7BE}"/>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2C23CF15-2832-46D1-8313-0A49E393A277}"/>
    <cellStyle name="Normal 5 3 4 2 3 2 2 3" xfId="25147" xr:uid="{F22635D2-840C-4FE2-ABB9-6C8C3360DA9D}"/>
    <cellStyle name="Normal 5 3 4 2 3 2 2 4" xfId="33587" xr:uid="{ABD42DBF-86EB-4B3D-B150-7300F94C90A3}"/>
    <cellStyle name="Normal 5 3 4 2 3 2 3" xfId="12489" xr:uid="{F4768F17-4F54-4ED6-B78F-BE1A8491FBA7}"/>
    <cellStyle name="Normal 5 3 4 2 3 2 4" xfId="20930" xr:uid="{CC0E1F01-C109-4D25-A98C-51B70CEF3712}"/>
    <cellStyle name="Normal 5 3 4 2 3 2 5" xfId="29370" xr:uid="{44D72406-1782-4FDD-A893-8F62A031700C}"/>
    <cellStyle name="Normal 5 3 4 2 3 3" xfId="5235" xr:uid="{00000000-0005-0000-0000-00002D1A0000}"/>
    <cellStyle name="Normal 5 3 4 2 3 3 2" xfId="14561" xr:uid="{F42609F8-26A2-43C7-AB37-4E254D5D65C5}"/>
    <cellStyle name="Normal 5 3 4 2 3 3 3" xfId="23002" xr:uid="{C7A33FA7-9E4D-483A-94B4-D0226D2DFE67}"/>
    <cellStyle name="Normal 5 3 4 2 3 3 4" xfId="31442" xr:uid="{7F88F27B-66C0-4BCC-9C07-C2F186157BDB}"/>
    <cellStyle name="Normal 5 3 4 2 3 4" xfId="9359" xr:uid="{FAC41203-2BC4-411F-9296-10781BA4F1AB}"/>
    <cellStyle name="Normal 5 3 4 2 3 5" xfId="10344" xr:uid="{5DE1CD0C-B4CA-42F7-B990-6B516ABFC761}"/>
    <cellStyle name="Normal 5 3 4 2 3 6" xfId="18785" xr:uid="{68E8DECE-7C57-43A5-9FA9-9D634311ECDA}"/>
    <cellStyle name="Normal 5 3 4 2 3 7" xfId="27225" xr:uid="{F3DC935C-CC91-4B60-82E3-0B5B7C62C05B}"/>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97FF40CE-112E-46F3-A8CC-D9FA929F5C33}"/>
    <cellStyle name="Normal 5 3 4 2 4 2 2 3" xfId="25560" xr:uid="{8D441A08-9D77-4725-B0C9-8CA95BBDC78E}"/>
    <cellStyle name="Normal 5 3 4 2 4 2 2 4" xfId="34000" xr:uid="{FABA5BDE-741F-4A92-826C-0CEC07F5DCC0}"/>
    <cellStyle name="Normal 5 3 4 2 4 2 3" xfId="12902" xr:uid="{4D946205-419E-4621-A302-8146394576E0}"/>
    <cellStyle name="Normal 5 3 4 2 4 2 4" xfId="21343" xr:uid="{251ECD57-D006-44E8-8584-BD2F7A85F55F}"/>
    <cellStyle name="Normal 5 3 4 2 4 2 5" xfId="29783" xr:uid="{F590CFAE-7083-421E-9A82-E1AF30E0C84B}"/>
    <cellStyle name="Normal 5 3 4 2 4 3" xfId="5648" xr:uid="{00000000-0005-0000-0000-0000311A0000}"/>
    <cellStyle name="Normal 5 3 4 2 4 3 2" xfId="14974" xr:uid="{E2BB1626-D1F4-4B81-9783-D06AF15A4761}"/>
    <cellStyle name="Normal 5 3 4 2 4 3 3" xfId="23415" xr:uid="{AAC71058-DB8F-433F-AE71-70B4E1AD9788}"/>
    <cellStyle name="Normal 5 3 4 2 4 3 4" xfId="31855" xr:uid="{B4A43C96-6505-49DC-9CA2-B927EBAAC114}"/>
    <cellStyle name="Normal 5 3 4 2 4 4" xfId="10757" xr:uid="{A142171E-C699-4966-8F3A-7453DD323003}"/>
    <cellStyle name="Normal 5 3 4 2 4 5" xfId="19198" xr:uid="{DDF98D97-C35F-4479-87E7-F5CE3700A1F5}"/>
    <cellStyle name="Normal 5 3 4 2 4 6" xfId="27638" xr:uid="{9616BB7A-299D-4F0B-A234-50E8CC0AB815}"/>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905716ED-4A6E-4EDA-8969-CF37D63FBB95}"/>
    <cellStyle name="Normal 5 3 4 2 5 2 2 3" xfId="25973" xr:uid="{341A5DDD-A1E9-49CC-8347-F08FE40EA957}"/>
    <cellStyle name="Normal 5 3 4 2 5 2 2 4" xfId="34413" xr:uid="{CE49E3F7-8AF5-46F5-B4FF-92DA6EBB25F8}"/>
    <cellStyle name="Normal 5 3 4 2 5 2 3" xfId="13315" xr:uid="{CC6A9D34-22D6-41E1-B484-37C051138762}"/>
    <cellStyle name="Normal 5 3 4 2 5 2 4" xfId="21756" xr:uid="{C8A22323-F1CC-44AF-AFDB-6E22A3241695}"/>
    <cellStyle name="Normal 5 3 4 2 5 2 5" xfId="30196" xr:uid="{56944D77-183C-49DB-A461-EFD404CFCE61}"/>
    <cellStyle name="Normal 5 3 4 2 5 3" xfId="6061" xr:uid="{00000000-0005-0000-0000-0000351A0000}"/>
    <cellStyle name="Normal 5 3 4 2 5 3 2" xfId="15387" xr:uid="{CF0B7FF3-3822-4770-A33F-F89FC48555D9}"/>
    <cellStyle name="Normal 5 3 4 2 5 3 3" xfId="23828" xr:uid="{9835062F-E131-43EE-B79B-DA499EFC8E3F}"/>
    <cellStyle name="Normal 5 3 4 2 5 3 4" xfId="32268" xr:uid="{C8429D5C-CD81-46F7-8200-62A87378F462}"/>
    <cellStyle name="Normal 5 3 4 2 5 4" xfId="11170" xr:uid="{C0E1BF0D-72A3-45C0-8D2E-3AE5C48F29E8}"/>
    <cellStyle name="Normal 5 3 4 2 5 5" xfId="19611" xr:uid="{E0563B23-04D2-4848-8BA2-505E61E01847}"/>
    <cellStyle name="Normal 5 3 4 2 5 6" xfId="28051" xr:uid="{D01A6927-15AD-401D-9159-795F31FA94B2}"/>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6B91A374-6698-496F-92CB-5FEFB7C59033}"/>
    <cellStyle name="Normal 5 3 4 2 6 2 2 3" xfId="26386" xr:uid="{6FE8029F-D978-4DDF-9E50-B8525E49AD89}"/>
    <cellStyle name="Normal 5 3 4 2 6 2 2 4" xfId="34826" xr:uid="{84E269D8-EE55-4BD4-9F1F-BC077F0F271D}"/>
    <cellStyle name="Normal 5 3 4 2 6 2 3" xfId="13728" xr:uid="{6FC61467-4407-446F-898F-2E21C9B00DF2}"/>
    <cellStyle name="Normal 5 3 4 2 6 2 4" xfId="22169" xr:uid="{76F301C7-2AD2-4651-8362-6DF69AA31C20}"/>
    <cellStyle name="Normal 5 3 4 2 6 2 5" xfId="30609" xr:uid="{F7625C2A-AF75-40C7-A557-ABF4394B613A}"/>
    <cellStyle name="Normal 5 3 4 2 6 3" xfId="6474" xr:uid="{00000000-0005-0000-0000-0000391A0000}"/>
    <cellStyle name="Normal 5 3 4 2 6 3 2" xfId="15800" xr:uid="{90F4A75D-DE84-4A95-83F3-444453076DD4}"/>
    <cellStyle name="Normal 5 3 4 2 6 3 3" xfId="24241" xr:uid="{ECC6B18E-A675-48A3-8B76-9D96EA656C15}"/>
    <cellStyle name="Normal 5 3 4 2 6 3 4" xfId="32681" xr:uid="{E35CD393-9581-44BF-A973-6730A1A852AC}"/>
    <cellStyle name="Normal 5 3 4 2 6 4" xfId="11583" xr:uid="{B92F5D84-D33E-4B5C-9AB0-8035E5CDDB81}"/>
    <cellStyle name="Normal 5 3 4 2 6 5" xfId="20024" xr:uid="{8A41620B-7025-4B71-8677-6E7C82655138}"/>
    <cellStyle name="Normal 5 3 4 2 6 6" xfId="28464" xr:uid="{1202DB5B-92B0-47C5-BF7D-995C140B341F}"/>
    <cellStyle name="Normal 5 3 4 2 7" xfId="2604" xr:uid="{00000000-0005-0000-0000-00003A1A0000}"/>
    <cellStyle name="Normal 5 3 4 2 7 2" xfId="6887" xr:uid="{00000000-0005-0000-0000-00003B1A0000}"/>
    <cellStyle name="Normal 5 3 4 2 7 2 2" xfId="16213" xr:uid="{0BC7D143-0F93-4A3E-A1A2-21EE37A9FA07}"/>
    <cellStyle name="Normal 5 3 4 2 7 2 3" xfId="24654" xr:uid="{3409AE1E-6ADB-46F6-B4E0-BB982A7ED0B2}"/>
    <cellStyle name="Normal 5 3 4 2 7 2 4" xfId="33094" xr:uid="{D21F783B-DBDC-4F59-81DD-A5F44145EEBD}"/>
    <cellStyle name="Normal 5 3 4 2 7 3" xfId="11996" xr:uid="{D8DC4676-8A6A-438E-A787-BD5B7FF08330}"/>
    <cellStyle name="Normal 5 3 4 2 7 4" xfId="20437" xr:uid="{FACEE335-67C1-4F2B-AF5D-BFE9697A6BD9}"/>
    <cellStyle name="Normal 5 3 4 2 7 5" xfId="28877" xr:uid="{F4EB0C8A-6B7D-4847-8FC0-F6157881EC67}"/>
    <cellStyle name="Normal 5 3 4 2 8" xfId="4822" xr:uid="{00000000-0005-0000-0000-00003C1A0000}"/>
    <cellStyle name="Normal 5 3 4 2 8 2" xfId="14148" xr:uid="{432ED18A-00F4-44C6-A4E9-D811318C7DF7}"/>
    <cellStyle name="Normal 5 3 4 2 8 3" xfId="22589" xr:uid="{F7D815C3-A7A5-4CA6-B441-738171182BE7}"/>
    <cellStyle name="Normal 5 3 4 2 8 4" xfId="31029" xr:uid="{8D64FE9E-7D4D-4D1B-B4E2-31DE6A3F1390}"/>
    <cellStyle name="Normal 5 3 4 2 9" xfId="8934" xr:uid="{D16D0DF9-4576-4200-8972-8AAD50545E0D}"/>
    <cellStyle name="Normal 5 3 4 3" xfId="452" xr:uid="{00000000-0005-0000-0000-00003D1A0000}"/>
    <cellStyle name="Normal 5 3 4 3 10" xfId="18374" xr:uid="{723D4F70-8DFA-4364-ACB2-F9DDA43D5075}"/>
    <cellStyle name="Normal 5 3 4 3 11" xfId="26814" xr:uid="{CE643E11-C5B1-4264-8B33-73662D6B9B8F}"/>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1166B90B-768E-46F4-B7DA-394C24BB7FE9}"/>
    <cellStyle name="Normal 5 3 4 3 2 2 2 3" xfId="25149" xr:uid="{4DFA7D8E-A721-4A89-9406-698660E22B71}"/>
    <cellStyle name="Normal 5 3 4 3 2 2 2 4" xfId="33589" xr:uid="{C860F83B-BD9C-465C-A92E-51192F6A0D46}"/>
    <cellStyle name="Normal 5 3 4 3 2 2 3" xfId="12491" xr:uid="{5A808151-8B1C-4AE8-BA3E-21726938223F}"/>
    <cellStyle name="Normal 5 3 4 3 2 2 4" xfId="20932" xr:uid="{CBD4F293-0670-478A-A009-6244482823A5}"/>
    <cellStyle name="Normal 5 3 4 3 2 2 5" xfId="29372" xr:uid="{1D92DBAA-849E-4B54-A669-35B93D607617}"/>
    <cellStyle name="Normal 5 3 4 3 2 3" xfId="5237" xr:uid="{00000000-0005-0000-0000-0000411A0000}"/>
    <cellStyle name="Normal 5 3 4 3 2 3 2" xfId="14563" xr:uid="{D0332C6B-F43D-4081-B125-4A08706E1501}"/>
    <cellStyle name="Normal 5 3 4 3 2 3 3" xfId="23004" xr:uid="{F21935AE-DCE6-4DB6-9B4F-4D5A5D444DA1}"/>
    <cellStyle name="Normal 5 3 4 3 2 3 4" xfId="31444" xr:uid="{0979D3EE-AC07-4C12-98AD-499A12642B43}"/>
    <cellStyle name="Normal 5 3 4 3 2 4" xfId="9463" xr:uid="{1CC38E89-013B-404F-9F3E-11BABC37F656}"/>
    <cellStyle name="Normal 5 3 4 3 2 5" xfId="10346" xr:uid="{85A22AFD-C326-4DD1-A4BB-307BD7941D27}"/>
    <cellStyle name="Normal 5 3 4 3 2 6" xfId="18787" xr:uid="{D060FB43-8F5B-4967-9F25-8027074E3809}"/>
    <cellStyle name="Normal 5 3 4 3 2 7" xfId="27227" xr:uid="{CB26B6A3-8124-4948-9479-F063B1A95DF3}"/>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0D6C90C6-3B83-4AEA-9B82-5E4BD00DE257}"/>
    <cellStyle name="Normal 5 3 4 3 3 2 2 3" xfId="25562" xr:uid="{34C19996-7C6A-44F5-906B-E3C8A1943FA8}"/>
    <cellStyle name="Normal 5 3 4 3 3 2 2 4" xfId="34002" xr:uid="{9D082C3D-5E7F-4AA8-8FE8-6E8E0ECC28E9}"/>
    <cellStyle name="Normal 5 3 4 3 3 2 3" xfId="12904" xr:uid="{057546A3-1159-4B70-BD8E-359311A1357E}"/>
    <cellStyle name="Normal 5 3 4 3 3 2 4" xfId="21345" xr:uid="{8863B91E-3CEF-4858-9329-872B002E6AA4}"/>
    <cellStyle name="Normal 5 3 4 3 3 2 5" xfId="29785" xr:uid="{01E924C4-8A20-4432-BFE2-DABE90A9BEDF}"/>
    <cellStyle name="Normal 5 3 4 3 3 3" xfId="5650" xr:uid="{00000000-0005-0000-0000-0000451A0000}"/>
    <cellStyle name="Normal 5 3 4 3 3 3 2" xfId="14976" xr:uid="{2176AE29-5A1F-402B-BCD9-84C85CD8DB28}"/>
    <cellStyle name="Normal 5 3 4 3 3 3 3" xfId="23417" xr:uid="{2B9EBF9D-DE2F-42A1-B5E1-252DCCAE9998}"/>
    <cellStyle name="Normal 5 3 4 3 3 3 4" xfId="31857" xr:uid="{98F22581-1F7C-4632-8DBA-5CB315FE30B3}"/>
    <cellStyle name="Normal 5 3 4 3 3 4" xfId="10759" xr:uid="{83D8B65C-7300-4054-B7EC-9687402E5AD4}"/>
    <cellStyle name="Normal 5 3 4 3 3 5" xfId="19200" xr:uid="{4ADF937E-AE9E-419B-835D-ABD54B37845C}"/>
    <cellStyle name="Normal 5 3 4 3 3 6" xfId="27640" xr:uid="{6A47C1A3-60D0-424E-BEA6-C1773464A6FA}"/>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5C3643E7-1157-4683-9650-C92CD79B4CBE}"/>
    <cellStyle name="Normal 5 3 4 3 4 2 2 3" xfId="25975" xr:uid="{0AFF2CD9-E989-45CB-A9CD-91F9A6900D55}"/>
    <cellStyle name="Normal 5 3 4 3 4 2 2 4" xfId="34415" xr:uid="{3F9EA083-9784-49E9-A8AC-907668F5A0C2}"/>
    <cellStyle name="Normal 5 3 4 3 4 2 3" xfId="13317" xr:uid="{69ADEC4D-A499-4BF6-A796-E3EF47EEE2E6}"/>
    <cellStyle name="Normal 5 3 4 3 4 2 4" xfId="21758" xr:uid="{F1814969-77D3-4CC2-B424-E8056C6ECBD0}"/>
    <cellStyle name="Normal 5 3 4 3 4 2 5" xfId="30198" xr:uid="{D58A0FFE-C214-4494-9244-724442826932}"/>
    <cellStyle name="Normal 5 3 4 3 4 3" xfId="6063" xr:uid="{00000000-0005-0000-0000-0000491A0000}"/>
    <cellStyle name="Normal 5 3 4 3 4 3 2" xfId="15389" xr:uid="{1CF5F338-1D6E-4129-8952-F9013914B2C8}"/>
    <cellStyle name="Normal 5 3 4 3 4 3 3" xfId="23830" xr:uid="{DFDBC859-8AEE-4604-B653-2077DE8DE935}"/>
    <cellStyle name="Normal 5 3 4 3 4 3 4" xfId="32270" xr:uid="{D74D61AB-E056-41E6-B64C-A74D50ACE6E3}"/>
    <cellStyle name="Normal 5 3 4 3 4 4" xfId="11172" xr:uid="{1E99F8C4-DDDD-4B73-AC4F-B7A5C80098CF}"/>
    <cellStyle name="Normal 5 3 4 3 4 5" xfId="19613" xr:uid="{A760DD74-F533-4268-AE3E-64CD3D09F582}"/>
    <cellStyle name="Normal 5 3 4 3 4 6" xfId="28053" xr:uid="{2553829F-3AFD-4925-B114-514653624500}"/>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875D8795-E36C-43C8-90DE-006286B13B8D}"/>
    <cellStyle name="Normal 5 3 4 3 5 2 2 3" xfId="26388" xr:uid="{63D2D9B5-50D1-4CC5-A1AA-DF8C1EBBE6F7}"/>
    <cellStyle name="Normal 5 3 4 3 5 2 2 4" xfId="34828" xr:uid="{8C498479-24BF-4E0A-8DDF-CF46EF59010B}"/>
    <cellStyle name="Normal 5 3 4 3 5 2 3" xfId="13730" xr:uid="{7F7610F8-99DB-4D4A-9D6E-2CF8688D4227}"/>
    <cellStyle name="Normal 5 3 4 3 5 2 4" xfId="22171" xr:uid="{FAAC5DAB-9160-45CC-A61E-716651E7E7E9}"/>
    <cellStyle name="Normal 5 3 4 3 5 2 5" xfId="30611" xr:uid="{AB8C1AA2-97B4-4516-A185-C5ED12BDE1CE}"/>
    <cellStyle name="Normal 5 3 4 3 5 3" xfId="6476" xr:uid="{00000000-0005-0000-0000-00004D1A0000}"/>
    <cellStyle name="Normal 5 3 4 3 5 3 2" xfId="15802" xr:uid="{B0E82344-04FD-48A0-BD6E-B1C692ACAF0B}"/>
    <cellStyle name="Normal 5 3 4 3 5 3 3" xfId="24243" xr:uid="{AAA06413-B6DE-4DD8-A1E2-266087F5592E}"/>
    <cellStyle name="Normal 5 3 4 3 5 3 4" xfId="32683" xr:uid="{D48DC14A-F104-4AE3-B2FE-9F8FFDB3184D}"/>
    <cellStyle name="Normal 5 3 4 3 5 4" xfId="11585" xr:uid="{48F3D770-AF8D-4417-9E0F-5C0DD6FAA756}"/>
    <cellStyle name="Normal 5 3 4 3 5 5" xfId="20026" xr:uid="{ADBB34DC-7BA6-4D42-BA81-F213A273FACA}"/>
    <cellStyle name="Normal 5 3 4 3 5 6" xfId="28466" xr:uid="{328A5ED7-4ABC-49F7-82AA-0A590A5B0122}"/>
    <cellStyle name="Normal 5 3 4 3 6" xfId="2606" xr:uid="{00000000-0005-0000-0000-00004E1A0000}"/>
    <cellStyle name="Normal 5 3 4 3 6 2" xfId="6889" xr:uid="{00000000-0005-0000-0000-00004F1A0000}"/>
    <cellStyle name="Normal 5 3 4 3 6 2 2" xfId="16215" xr:uid="{55D4ED24-51AE-4962-92D6-5078CD65DE55}"/>
    <cellStyle name="Normal 5 3 4 3 6 2 3" xfId="24656" xr:uid="{CDB4B8A0-BF27-45D8-B820-0450703E1C57}"/>
    <cellStyle name="Normal 5 3 4 3 6 2 4" xfId="33096" xr:uid="{1F24185D-D773-4ED3-8193-CEBE50B1E993}"/>
    <cellStyle name="Normal 5 3 4 3 6 3" xfId="11998" xr:uid="{41D1549A-B0F3-4C3F-BDD4-7C5105FE444A}"/>
    <cellStyle name="Normal 5 3 4 3 6 4" xfId="20439" xr:uid="{ECCB8011-5345-4A7E-AABD-AC6663CDCA1B}"/>
    <cellStyle name="Normal 5 3 4 3 6 5" xfId="28879" xr:uid="{F97691B6-F93D-4DEA-8E24-7D91B1EDCACC}"/>
    <cellStyle name="Normal 5 3 4 3 7" xfId="4824" xr:uid="{00000000-0005-0000-0000-0000501A0000}"/>
    <cellStyle name="Normal 5 3 4 3 7 2" xfId="14150" xr:uid="{D7A9D09B-3FDE-4A37-A8F2-05863C00A253}"/>
    <cellStyle name="Normal 5 3 4 3 7 3" xfId="22591" xr:uid="{3E330649-3056-4B46-81C0-FAE47FCD1B80}"/>
    <cellStyle name="Normal 5 3 4 3 7 4" xfId="31031" xr:uid="{54D8761E-4F70-4580-ABB0-41E4BB897EE2}"/>
    <cellStyle name="Normal 5 3 4 3 8" xfId="9038" xr:uid="{15024032-E3C2-4FDD-B674-481D39A836C5}"/>
    <cellStyle name="Normal 5 3 4 3 9" xfId="9933" xr:uid="{E3E456AA-5592-40D2-9142-A76A540A8C49}"/>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AE53509D-B9B5-4146-91EF-5E0AE2B1502B}"/>
    <cellStyle name="Normal 5 3 4 4 2 2 3" xfId="25146" xr:uid="{8CB504CD-E55A-412E-BED9-67EE24F26629}"/>
    <cellStyle name="Normal 5 3 4 4 2 2 4" xfId="33586" xr:uid="{4DDCC4A0-9708-42BE-ADA5-9D8E0ADC6B20}"/>
    <cellStyle name="Normal 5 3 4 4 2 3" xfId="12488" xr:uid="{F6F77768-A1CB-48CB-B510-542DC4852418}"/>
    <cellStyle name="Normal 5 3 4 4 2 4" xfId="20929" xr:uid="{E879CDC5-5194-4BAF-8577-AADAA738EF3E}"/>
    <cellStyle name="Normal 5 3 4 4 2 5" xfId="29369" xr:uid="{711175B7-5513-4F49-B61F-8F33D6D2A2E9}"/>
    <cellStyle name="Normal 5 3 4 4 3" xfId="5234" xr:uid="{00000000-0005-0000-0000-0000541A0000}"/>
    <cellStyle name="Normal 5 3 4 4 3 2" xfId="14560" xr:uid="{FE7BAB38-85B7-45E9-BDE6-B9DEE984C51E}"/>
    <cellStyle name="Normal 5 3 4 4 3 3" xfId="23001" xr:uid="{58AD1C60-58D7-4D84-BCB9-AB10196B6DB9}"/>
    <cellStyle name="Normal 5 3 4 4 3 4" xfId="31441" xr:uid="{53D42942-0D25-4163-BC33-7D3B9ADE4210}"/>
    <cellStyle name="Normal 5 3 4 4 4" xfId="9256" xr:uid="{69A14F57-2B46-4294-8CA5-E21858516C25}"/>
    <cellStyle name="Normal 5 3 4 4 5" xfId="10343" xr:uid="{AA9D4595-2EF9-411C-9881-993700B962A9}"/>
    <cellStyle name="Normal 5 3 4 4 6" xfId="18784" xr:uid="{F11777A5-C82B-45F5-BD0E-3203856AC9E3}"/>
    <cellStyle name="Normal 5 3 4 4 7" xfId="27224" xr:uid="{8A26A8F3-3A93-4BEF-82CF-DC60B29BC1D3}"/>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1A184087-5904-442A-9E22-13B5E259CA23}"/>
    <cellStyle name="Normal 5 3 4 5 2 2 3" xfId="25559" xr:uid="{A12CDE80-75D6-4AC2-83F2-72D0F98BE387}"/>
    <cellStyle name="Normal 5 3 4 5 2 2 4" xfId="33999" xr:uid="{8D6C3711-B10C-4797-85B9-25A04B085FB4}"/>
    <cellStyle name="Normal 5 3 4 5 2 3" xfId="12901" xr:uid="{91BFA465-9C2D-4D71-94FB-CC03B3F1D72B}"/>
    <cellStyle name="Normal 5 3 4 5 2 4" xfId="21342" xr:uid="{228E8DF8-947D-471D-8D67-0CA32F9D383C}"/>
    <cellStyle name="Normal 5 3 4 5 2 5" xfId="29782" xr:uid="{F6C45108-2AD1-46BB-B033-6DD9B2E55EB1}"/>
    <cellStyle name="Normal 5 3 4 5 3" xfId="5647" xr:uid="{00000000-0005-0000-0000-0000581A0000}"/>
    <cellStyle name="Normal 5 3 4 5 3 2" xfId="14973" xr:uid="{0460A795-CC2C-42E7-BDA9-501908F20FE3}"/>
    <cellStyle name="Normal 5 3 4 5 3 3" xfId="23414" xr:uid="{B73749BA-3014-4733-BCA0-6B9B9C6C347D}"/>
    <cellStyle name="Normal 5 3 4 5 3 4" xfId="31854" xr:uid="{C86D00F5-9F60-4CF9-AC9C-6927FAD9223B}"/>
    <cellStyle name="Normal 5 3 4 5 4" xfId="10756" xr:uid="{A2779E2A-B9EF-48F6-A578-E99C37C4AD2A}"/>
    <cellStyle name="Normal 5 3 4 5 5" xfId="19197" xr:uid="{90A408CB-F687-420A-BF89-D63B71869AF4}"/>
    <cellStyle name="Normal 5 3 4 5 6" xfId="27637" xr:uid="{DAFEA47F-0942-4FC7-8B2D-C3AABE0EB623}"/>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E8A912F2-2CDD-46AC-AEBC-439F04ADE4B2}"/>
    <cellStyle name="Normal 5 3 4 6 2 2 3" xfId="25972" xr:uid="{06CCE665-119C-4886-BB1C-EB647EC477AB}"/>
    <cellStyle name="Normal 5 3 4 6 2 2 4" xfId="34412" xr:uid="{031B14BA-3A7F-4F9A-864D-4D3041335F25}"/>
    <cellStyle name="Normal 5 3 4 6 2 3" xfId="13314" xr:uid="{7EA02175-59B3-4242-93DF-2A3325D33319}"/>
    <cellStyle name="Normal 5 3 4 6 2 4" xfId="21755" xr:uid="{390C0D3A-0865-4918-81F7-6DAD42CA15D6}"/>
    <cellStyle name="Normal 5 3 4 6 2 5" xfId="30195" xr:uid="{A25C4E62-D20B-4FA0-86BC-64537BC51874}"/>
    <cellStyle name="Normal 5 3 4 6 3" xfId="6060" xr:uid="{00000000-0005-0000-0000-00005C1A0000}"/>
    <cellStyle name="Normal 5 3 4 6 3 2" xfId="15386" xr:uid="{23E977F9-A6D7-4820-9CB7-AD9ADD8A9272}"/>
    <cellStyle name="Normal 5 3 4 6 3 3" xfId="23827" xr:uid="{9800A024-1994-40BD-9BDA-0F430E79985A}"/>
    <cellStyle name="Normal 5 3 4 6 3 4" xfId="32267" xr:uid="{EDF1F391-E21F-4D7F-80CD-9202DB7DBA08}"/>
    <cellStyle name="Normal 5 3 4 6 4" xfId="11169" xr:uid="{DDDC938C-43E4-4318-BB0E-75094752160E}"/>
    <cellStyle name="Normal 5 3 4 6 5" xfId="19610" xr:uid="{4FA294C0-E167-4DBB-84B1-3238369679EB}"/>
    <cellStyle name="Normal 5 3 4 6 6" xfId="28050" xr:uid="{EDE81E50-D719-4A8D-BD1C-68181424DFAD}"/>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22E7AEBD-BCCD-4481-AF8D-BD837BEB2836}"/>
    <cellStyle name="Normal 5 3 4 7 2 2 3" xfId="26385" xr:uid="{2651B0A4-0E98-4A9E-BE75-F0A56FC31994}"/>
    <cellStyle name="Normal 5 3 4 7 2 2 4" xfId="34825" xr:uid="{56C9FE08-5C77-49C1-A011-949FF2664562}"/>
    <cellStyle name="Normal 5 3 4 7 2 3" xfId="13727" xr:uid="{FA8B076D-28E6-4FB9-BE05-1B83BCBECE66}"/>
    <cellStyle name="Normal 5 3 4 7 2 4" xfId="22168" xr:uid="{BC18DCFA-0B7A-441B-BF64-0999E4CF9C33}"/>
    <cellStyle name="Normal 5 3 4 7 2 5" xfId="30608" xr:uid="{AB6BB1B3-94CC-4A13-9B5E-F11913523850}"/>
    <cellStyle name="Normal 5 3 4 7 3" xfId="6473" xr:uid="{00000000-0005-0000-0000-0000601A0000}"/>
    <cellStyle name="Normal 5 3 4 7 3 2" xfId="15799" xr:uid="{2413277C-1683-4BAF-8494-99130E68C34D}"/>
    <cellStyle name="Normal 5 3 4 7 3 3" xfId="24240" xr:uid="{BD93D3E5-1050-4A5F-8E2D-AEAD040CEB0B}"/>
    <cellStyle name="Normal 5 3 4 7 3 4" xfId="32680" xr:uid="{B8914F32-6D17-4825-8DAB-AA8B290D1A87}"/>
    <cellStyle name="Normal 5 3 4 7 4" xfId="11582" xr:uid="{C00ECAFD-7202-4C87-A41E-6159DD9FD0B6}"/>
    <cellStyle name="Normal 5 3 4 7 5" xfId="20023" xr:uid="{D894CF4F-EF03-44ED-8151-8AC7865F4398}"/>
    <cellStyle name="Normal 5 3 4 7 6" xfId="28463" xr:uid="{44E5ED12-220F-4F87-BEED-75008E4D3575}"/>
    <cellStyle name="Normal 5 3 4 8" xfId="2603" xr:uid="{00000000-0005-0000-0000-0000611A0000}"/>
    <cellStyle name="Normal 5 3 4 8 2" xfId="6886" xr:uid="{00000000-0005-0000-0000-0000621A0000}"/>
    <cellStyle name="Normal 5 3 4 8 2 2" xfId="16212" xr:uid="{F94DD6BB-9940-4F32-BC60-08D0533E0DAD}"/>
    <cellStyle name="Normal 5 3 4 8 2 3" xfId="24653" xr:uid="{BFA233EC-D8CF-4C42-A36B-4D2E83C38EF9}"/>
    <cellStyle name="Normal 5 3 4 8 2 4" xfId="33093" xr:uid="{7BCC4478-AB74-4980-84DE-6BA53CAFD55A}"/>
    <cellStyle name="Normal 5 3 4 8 3" xfId="11995" xr:uid="{A53E4EA7-1814-4C6D-948B-B4B7C20E6C42}"/>
    <cellStyle name="Normal 5 3 4 8 4" xfId="20436" xr:uid="{D04E2DF8-5866-4718-B62B-A02A31EDB858}"/>
    <cellStyle name="Normal 5 3 4 8 5" xfId="28876" xr:uid="{004E0A87-D6F7-4ABC-88D0-ADA54497D094}"/>
    <cellStyle name="Normal 5 3 4 9" xfId="4821" xr:uid="{00000000-0005-0000-0000-0000631A0000}"/>
    <cellStyle name="Normal 5 3 4 9 2" xfId="14147" xr:uid="{275C454B-646C-4536-92E9-BDA0B144E3FD}"/>
    <cellStyle name="Normal 5 3 4 9 3" xfId="22588" xr:uid="{1B3E19B3-F856-4442-B85C-11A251EBBE98}"/>
    <cellStyle name="Normal 5 3 4 9 4" xfId="31028" xr:uid="{D8E1198B-6EF3-4364-AE69-03B57298AB0E}"/>
    <cellStyle name="Normal 5 3 5" xfId="453" xr:uid="{00000000-0005-0000-0000-0000641A0000}"/>
    <cellStyle name="Normal 5 3 5 10" xfId="9934" xr:uid="{98C988E9-5D24-46AB-8800-CEBF2B3BB0F1}"/>
    <cellStyle name="Normal 5 3 5 11" xfId="18375" xr:uid="{AFB50B08-EE0C-4A0D-860E-0228DF1EFF21}"/>
    <cellStyle name="Normal 5 3 5 12" xfId="26815" xr:uid="{95CC9B18-92BD-40A6-801B-71642CB02B7F}"/>
    <cellStyle name="Normal 5 3 5 2" xfId="454" xr:uid="{00000000-0005-0000-0000-0000651A0000}"/>
    <cellStyle name="Normal 5 3 5 2 10" xfId="18376" xr:uid="{7C536389-A774-4D41-AD96-321191293E11}"/>
    <cellStyle name="Normal 5 3 5 2 11" xfId="26816" xr:uid="{9FD9623F-248C-477E-A7D2-7D0AB2F96A55}"/>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DD1A78A6-4860-40F2-A474-5960134BAAA5}"/>
    <cellStyle name="Normal 5 3 5 2 2 2 2 3" xfId="25151" xr:uid="{C4414BDA-169B-4E11-ABF7-D590DDE70400}"/>
    <cellStyle name="Normal 5 3 5 2 2 2 2 4" xfId="33591" xr:uid="{8B7336B3-23DA-4E6B-B4C4-E3CF1B63340E}"/>
    <cellStyle name="Normal 5 3 5 2 2 2 3" xfId="12493" xr:uid="{F3844C8D-0789-4A83-81B8-6C9772ED6B50}"/>
    <cellStyle name="Normal 5 3 5 2 2 2 4" xfId="20934" xr:uid="{E9D1AC67-FD0E-42FD-8750-3F6B07311C6F}"/>
    <cellStyle name="Normal 5 3 5 2 2 2 5" xfId="29374" xr:uid="{1ED23F74-1AFC-4C7A-927A-8CF6726FB9AD}"/>
    <cellStyle name="Normal 5 3 5 2 2 3" xfId="5239" xr:uid="{00000000-0005-0000-0000-0000691A0000}"/>
    <cellStyle name="Normal 5 3 5 2 2 3 2" xfId="14565" xr:uid="{16049938-E360-4263-89B2-5BFA364881CD}"/>
    <cellStyle name="Normal 5 3 5 2 2 3 3" xfId="23006" xr:uid="{8F7FF001-57B3-4663-978A-4D5ECF020039}"/>
    <cellStyle name="Normal 5 3 5 2 2 3 4" xfId="31446" xr:uid="{950B9DB9-EB28-44FF-B947-444AD8082E6C}"/>
    <cellStyle name="Normal 5 3 5 2 2 4" xfId="9485" xr:uid="{E88A0512-4544-44F7-B02F-696DEB177F8E}"/>
    <cellStyle name="Normal 5 3 5 2 2 5" xfId="10348" xr:uid="{F16E7AC3-0AFC-4AD9-B055-F601954692F4}"/>
    <cellStyle name="Normal 5 3 5 2 2 6" xfId="18789" xr:uid="{B421A9E2-FB25-4671-99A2-F9E7A9555E36}"/>
    <cellStyle name="Normal 5 3 5 2 2 7" xfId="27229" xr:uid="{B4FA33B2-EFD9-423B-B6EA-EA2045A7AA4D}"/>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40E68A75-E3B5-49B8-84F5-C4A22DC76551}"/>
    <cellStyle name="Normal 5 3 5 2 3 2 2 3" xfId="25564" xr:uid="{295DB321-E858-4D22-A5C5-F95E7FCB2C74}"/>
    <cellStyle name="Normal 5 3 5 2 3 2 2 4" xfId="34004" xr:uid="{69A3B3C4-A875-45A5-83FF-A8A822BC71A4}"/>
    <cellStyle name="Normal 5 3 5 2 3 2 3" xfId="12906" xr:uid="{ABF4D7A8-960C-40E9-BA37-3B1A0D8A5FED}"/>
    <cellStyle name="Normal 5 3 5 2 3 2 4" xfId="21347" xr:uid="{C4A4D625-8B0E-43B6-995E-7AEB9292F60B}"/>
    <cellStyle name="Normal 5 3 5 2 3 2 5" xfId="29787" xr:uid="{EDA5DBE5-94C0-440D-BA07-135D171201A8}"/>
    <cellStyle name="Normal 5 3 5 2 3 3" xfId="5652" xr:uid="{00000000-0005-0000-0000-00006D1A0000}"/>
    <cellStyle name="Normal 5 3 5 2 3 3 2" xfId="14978" xr:uid="{77B85FC0-DE1E-440B-9C3E-DD60388B7954}"/>
    <cellStyle name="Normal 5 3 5 2 3 3 3" xfId="23419" xr:uid="{28AA1232-2A33-47F6-BB59-86B9EE0F09E3}"/>
    <cellStyle name="Normal 5 3 5 2 3 3 4" xfId="31859" xr:uid="{864C6ACA-8E55-4084-ABA6-9E28EA0947B7}"/>
    <cellStyle name="Normal 5 3 5 2 3 4" xfId="10761" xr:uid="{CF4BC5B8-E36F-41F8-8482-A4244B533604}"/>
    <cellStyle name="Normal 5 3 5 2 3 5" xfId="19202" xr:uid="{29EC6F35-B38D-400A-A740-E41029E19952}"/>
    <cellStyle name="Normal 5 3 5 2 3 6" xfId="27642" xr:uid="{C659EED7-2EB1-45C8-9E8B-38A43ADDF970}"/>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EFA0F015-F6FA-44A9-89A7-2B9A33C165B8}"/>
    <cellStyle name="Normal 5 3 5 2 4 2 2 3" xfId="25977" xr:uid="{1FF36465-2761-41C2-8A23-DA2F02CAAFC0}"/>
    <cellStyle name="Normal 5 3 5 2 4 2 2 4" xfId="34417" xr:uid="{A2FF06CE-C6F2-430A-BEA6-52A4DBCF7AAA}"/>
    <cellStyle name="Normal 5 3 5 2 4 2 3" xfId="13319" xr:uid="{70CDDB04-A882-4D57-8BAC-BAB8595C2921}"/>
    <cellStyle name="Normal 5 3 5 2 4 2 4" xfId="21760" xr:uid="{41BDA0F9-B41B-4244-BA30-D4E4B319F7B8}"/>
    <cellStyle name="Normal 5 3 5 2 4 2 5" xfId="30200" xr:uid="{B62FA771-8C2E-415D-83E0-A8EBDF8EAE64}"/>
    <cellStyle name="Normal 5 3 5 2 4 3" xfId="6065" xr:uid="{00000000-0005-0000-0000-0000711A0000}"/>
    <cellStyle name="Normal 5 3 5 2 4 3 2" xfId="15391" xr:uid="{DF32CF26-EC9D-4965-B76D-49D660340493}"/>
    <cellStyle name="Normal 5 3 5 2 4 3 3" xfId="23832" xr:uid="{8B0821A3-6627-460E-AF0C-068F843B410A}"/>
    <cellStyle name="Normal 5 3 5 2 4 3 4" xfId="32272" xr:uid="{C346223D-912D-476F-B2D3-601E71D2743B}"/>
    <cellStyle name="Normal 5 3 5 2 4 4" xfId="11174" xr:uid="{B6FA0414-BACB-4A49-96AB-3505455E81A5}"/>
    <cellStyle name="Normal 5 3 5 2 4 5" xfId="19615" xr:uid="{BC4D78E8-DF33-4BA6-A817-D08F241A10D6}"/>
    <cellStyle name="Normal 5 3 5 2 4 6" xfId="28055" xr:uid="{AD6850C7-9548-405F-BB3E-AE3A2CA954C5}"/>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FA2A0809-643C-4199-BC7C-61E43156497F}"/>
    <cellStyle name="Normal 5 3 5 2 5 2 2 3" xfId="26390" xr:uid="{3439695C-571E-4C3C-8DDF-FF9982DA0653}"/>
    <cellStyle name="Normal 5 3 5 2 5 2 2 4" xfId="34830" xr:uid="{B155DBA9-84DD-4E51-9E7A-59E6032D4276}"/>
    <cellStyle name="Normal 5 3 5 2 5 2 3" xfId="13732" xr:uid="{1BA4234C-7BB1-445C-9969-7EAD02F9C383}"/>
    <cellStyle name="Normal 5 3 5 2 5 2 4" xfId="22173" xr:uid="{84024D2A-A2C4-409C-8C4C-16E75FC0B894}"/>
    <cellStyle name="Normal 5 3 5 2 5 2 5" xfId="30613" xr:uid="{B5BB2602-AAD3-46C0-AA00-E55734E1BA6E}"/>
    <cellStyle name="Normal 5 3 5 2 5 3" xfId="6478" xr:uid="{00000000-0005-0000-0000-0000751A0000}"/>
    <cellStyle name="Normal 5 3 5 2 5 3 2" xfId="15804" xr:uid="{FDB75BA2-9147-4D55-A987-4D66F1512C1E}"/>
    <cellStyle name="Normal 5 3 5 2 5 3 3" xfId="24245" xr:uid="{12C78727-FC03-4445-8181-E1B3887FF194}"/>
    <cellStyle name="Normal 5 3 5 2 5 3 4" xfId="32685" xr:uid="{85365295-1EB7-4901-A359-EAC36734C834}"/>
    <cellStyle name="Normal 5 3 5 2 5 4" xfId="11587" xr:uid="{15D2B343-7F41-4F2E-8323-6C213D17AFD2}"/>
    <cellStyle name="Normal 5 3 5 2 5 5" xfId="20028" xr:uid="{0C99792B-B5F2-4270-BF40-802DC4471186}"/>
    <cellStyle name="Normal 5 3 5 2 5 6" xfId="28468" xr:uid="{300C9882-E2C2-482F-A25F-0A599DE34224}"/>
    <cellStyle name="Normal 5 3 5 2 6" xfId="2608" xr:uid="{00000000-0005-0000-0000-0000761A0000}"/>
    <cellStyle name="Normal 5 3 5 2 6 2" xfId="6891" xr:uid="{00000000-0005-0000-0000-0000771A0000}"/>
    <cellStyle name="Normal 5 3 5 2 6 2 2" xfId="16217" xr:uid="{8D3EF6F6-9FC8-424A-82D1-9480625CC320}"/>
    <cellStyle name="Normal 5 3 5 2 6 2 3" xfId="24658" xr:uid="{2699BB1C-4512-45F2-9581-3EC161E18F5C}"/>
    <cellStyle name="Normal 5 3 5 2 6 2 4" xfId="33098" xr:uid="{0D4E708E-A202-4F25-A268-41CB36A9BEA4}"/>
    <cellStyle name="Normal 5 3 5 2 6 3" xfId="12000" xr:uid="{0864200E-9C64-479F-ACB7-56BAC99951B9}"/>
    <cellStyle name="Normal 5 3 5 2 6 4" xfId="20441" xr:uid="{9A653A62-CB50-459D-B3B8-DC4007147E14}"/>
    <cellStyle name="Normal 5 3 5 2 6 5" xfId="28881" xr:uid="{18371DDB-1B38-4FF8-AF96-09E13F67E481}"/>
    <cellStyle name="Normal 5 3 5 2 7" xfId="4826" xr:uid="{00000000-0005-0000-0000-0000781A0000}"/>
    <cellStyle name="Normal 5 3 5 2 7 2" xfId="14152" xr:uid="{0B0B605B-3AD8-4881-B6B9-43B27A2A898E}"/>
    <cellStyle name="Normal 5 3 5 2 7 3" xfId="22593" xr:uid="{DD8AED5B-0781-4987-89D6-B407E7DA25CA}"/>
    <cellStyle name="Normal 5 3 5 2 7 4" xfId="31033" xr:uid="{7BFDEA8D-1B81-4C3B-A11A-42894BD20E2F}"/>
    <cellStyle name="Normal 5 3 5 2 8" xfId="9060" xr:uid="{D76124DC-5753-46E4-97E7-1D76E6E20EEE}"/>
    <cellStyle name="Normal 5 3 5 2 9" xfId="9935" xr:uid="{F32F9EF1-5CA3-4A67-A572-62717BB08F14}"/>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381EC7DD-0F93-4E3F-887E-61329D3961CF}"/>
    <cellStyle name="Normal 5 3 5 3 2 2 3" xfId="25150" xr:uid="{890EAD54-22CA-41C6-B5EB-FA758A358821}"/>
    <cellStyle name="Normal 5 3 5 3 2 2 4" xfId="33590" xr:uid="{BD078321-812F-4407-9317-5D4E46BC2A45}"/>
    <cellStyle name="Normal 5 3 5 3 2 3" xfId="12492" xr:uid="{226746DC-1DCC-48D3-A80A-7BA8F239E46D}"/>
    <cellStyle name="Normal 5 3 5 3 2 4" xfId="20933" xr:uid="{B8E78419-164B-4883-8221-D8A549F92BFB}"/>
    <cellStyle name="Normal 5 3 5 3 2 5" xfId="29373" xr:uid="{1742EAFF-E3E7-4244-B038-F0FE98DA0265}"/>
    <cellStyle name="Normal 5 3 5 3 3" xfId="5238" xr:uid="{00000000-0005-0000-0000-00007C1A0000}"/>
    <cellStyle name="Normal 5 3 5 3 3 2" xfId="14564" xr:uid="{209D4184-60F4-4C9B-92FD-FEA532E0E22E}"/>
    <cellStyle name="Normal 5 3 5 3 3 3" xfId="23005" xr:uid="{FBD425EA-DF39-440F-AEEB-BF7F691E6A11}"/>
    <cellStyle name="Normal 5 3 5 3 3 4" xfId="31445" xr:uid="{66D62BBE-9C87-413D-AE9E-BFFEA8C35FC7}"/>
    <cellStyle name="Normal 5 3 5 3 4" xfId="9278" xr:uid="{6197750A-97CA-41EF-A67C-63E25EE58E9E}"/>
    <cellStyle name="Normal 5 3 5 3 5" xfId="10347" xr:uid="{A4A53367-9A30-474D-B999-82D5AA89A99F}"/>
    <cellStyle name="Normal 5 3 5 3 6" xfId="18788" xr:uid="{4A2C300A-FB15-413A-92C6-F00AA5F19E44}"/>
    <cellStyle name="Normal 5 3 5 3 7" xfId="27228" xr:uid="{28882B18-9871-482D-8711-73DD77B300CA}"/>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163DBC3A-B015-40DC-8D20-86926987175D}"/>
    <cellStyle name="Normal 5 3 5 4 2 2 3" xfId="25563" xr:uid="{C228FEC0-308C-41D4-94C0-C9D97875ED30}"/>
    <cellStyle name="Normal 5 3 5 4 2 2 4" xfId="34003" xr:uid="{79F3897E-93F4-4550-9EC8-0940F85AF688}"/>
    <cellStyle name="Normal 5 3 5 4 2 3" xfId="12905" xr:uid="{57EFB814-587A-430B-9742-2139E27ED54D}"/>
    <cellStyle name="Normal 5 3 5 4 2 4" xfId="21346" xr:uid="{1CD0173E-1D5B-4840-AD87-D891B2224BC1}"/>
    <cellStyle name="Normal 5 3 5 4 2 5" xfId="29786" xr:uid="{5F527E8B-9AA3-4D75-B076-7058B65AB98E}"/>
    <cellStyle name="Normal 5 3 5 4 3" xfId="5651" xr:uid="{00000000-0005-0000-0000-0000801A0000}"/>
    <cellStyle name="Normal 5 3 5 4 3 2" xfId="14977" xr:uid="{56835F48-D65F-4D03-882B-CB2A17D20E97}"/>
    <cellStyle name="Normal 5 3 5 4 3 3" xfId="23418" xr:uid="{515731C4-A552-4E93-B757-151AE9589857}"/>
    <cellStyle name="Normal 5 3 5 4 3 4" xfId="31858" xr:uid="{244EB98A-6DBE-42B8-A303-C79D548010AA}"/>
    <cellStyle name="Normal 5 3 5 4 4" xfId="10760" xr:uid="{A27429DD-5C81-4F42-BD78-9CBDB486AB21}"/>
    <cellStyle name="Normal 5 3 5 4 5" xfId="19201" xr:uid="{1F731312-70C8-420C-B1B0-C870D866E504}"/>
    <cellStyle name="Normal 5 3 5 4 6" xfId="27641" xr:uid="{AD83CC5C-97DB-4B77-BDB3-FC2C41516C92}"/>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26A17E79-69CD-4817-90E2-FFF56FB0F257}"/>
    <cellStyle name="Normal 5 3 5 5 2 2 3" xfId="25976" xr:uid="{F8B15342-762B-4DF3-8EE0-64F2D5A9137F}"/>
    <cellStyle name="Normal 5 3 5 5 2 2 4" xfId="34416" xr:uid="{67C67F79-F073-4861-B1F6-D04544E0D917}"/>
    <cellStyle name="Normal 5 3 5 5 2 3" xfId="13318" xr:uid="{3AB156B2-05F5-4897-8021-24ACFD11FE0D}"/>
    <cellStyle name="Normal 5 3 5 5 2 4" xfId="21759" xr:uid="{24C2D25A-6010-442E-A5FC-55F2A798B0A6}"/>
    <cellStyle name="Normal 5 3 5 5 2 5" xfId="30199" xr:uid="{A0C30DD7-1AE6-4A99-99AD-53BA3E4C1D83}"/>
    <cellStyle name="Normal 5 3 5 5 3" xfId="6064" xr:uid="{00000000-0005-0000-0000-0000841A0000}"/>
    <cellStyle name="Normal 5 3 5 5 3 2" xfId="15390" xr:uid="{B055C34F-A8E9-4B81-A838-ED1C22E8988A}"/>
    <cellStyle name="Normal 5 3 5 5 3 3" xfId="23831" xr:uid="{4B287654-A960-42F5-A45A-981D057D0B3B}"/>
    <cellStyle name="Normal 5 3 5 5 3 4" xfId="32271" xr:uid="{976CBF0D-4750-4A1D-A7ED-CA614AF9EB3D}"/>
    <cellStyle name="Normal 5 3 5 5 4" xfId="11173" xr:uid="{1E284646-2450-42FE-B3FA-6233CE43E589}"/>
    <cellStyle name="Normal 5 3 5 5 5" xfId="19614" xr:uid="{ED2EE74B-03FF-4FD4-874C-DBB67B28AD87}"/>
    <cellStyle name="Normal 5 3 5 5 6" xfId="28054" xr:uid="{95822FE7-7729-40F8-86DC-FC0C0F7EFA31}"/>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1B89AC3D-DCFE-46BB-8CCE-E41DB568FCE8}"/>
    <cellStyle name="Normal 5 3 5 6 2 2 3" xfId="26389" xr:uid="{77FB5453-F149-4343-8DC3-EA83B53D985D}"/>
    <cellStyle name="Normal 5 3 5 6 2 2 4" xfId="34829" xr:uid="{3DB4FE38-12C0-4463-8A29-11388328F4D8}"/>
    <cellStyle name="Normal 5 3 5 6 2 3" xfId="13731" xr:uid="{1F91D7E6-B543-4174-B811-754E3BB69FD7}"/>
    <cellStyle name="Normal 5 3 5 6 2 4" xfId="22172" xr:uid="{5C89AE6A-DEB4-44A2-A04E-39C9546ED0A0}"/>
    <cellStyle name="Normal 5 3 5 6 2 5" xfId="30612" xr:uid="{02A6FF1A-5FF8-4377-AD3D-78C1BE4559FE}"/>
    <cellStyle name="Normal 5 3 5 6 3" xfId="6477" xr:uid="{00000000-0005-0000-0000-0000881A0000}"/>
    <cellStyle name="Normal 5 3 5 6 3 2" xfId="15803" xr:uid="{E028ACE6-ADD8-4654-9ACD-F81AD07E733F}"/>
    <cellStyle name="Normal 5 3 5 6 3 3" xfId="24244" xr:uid="{7F5000CA-59F7-47DD-B6C4-41F60EAA6075}"/>
    <cellStyle name="Normal 5 3 5 6 3 4" xfId="32684" xr:uid="{19A517FD-DE8E-4D06-AF29-67D602A54D78}"/>
    <cellStyle name="Normal 5 3 5 6 4" xfId="11586" xr:uid="{1D3E88B5-60EC-4904-8BD3-2A29976C7D52}"/>
    <cellStyle name="Normal 5 3 5 6 5" xfId="20027" xr:uid="{EB6B6559-05C1-4B6D-8586-32121849A623}"/>
    <cellStyle name="Normal 5 3 5 6 6" xfId="28467" xr:uid="{9053426B-4BC6-4443-9DB2-1258EA82F4F3}"/>
    <cellStyle name="Normal 5 3 5 7" xfId="2607" xr:uid="{00000000-0005-0000-0000-0000891A0000}"/>
    <cellStyle name="Normal 5 3 5 7 2" xfId="6890" xr:uid="{00000000-0005-0000-0000-00008A1A0000}"/>
    <cellStyle name="Normal 5 3 5 7 2 2" xfId="16216" xr:uid="{8ACBEB20-CE24-4B02-9D25-3184167D53D5}"/>
    <cellStyle name="Normal 5 3 5 7 2 3" xfId="24657" xr:uid="{C6DAFCEA-A7D9-4E9B-A3E7-FC4C026F9DB7}"/>
    <cellStyle name="Normal 5 3 5 7 2 4" xfId="33097" xr:uid="{EC93D99E-8148-46DC-B805-DB84B8A93FA8}"/>
    <cellStyle name="Normal 5 3 5 7 3" xfId="11999" xr:uid="{D5CA13F2-1DFA-438F-AF4A-A4B13CE4892F}"/>
    <cellStyle name="Normal 5 3 5 7 4" xfId="20440" xr:uid="{BFE0D4E1-E45B-4EC4-86BE-E77AA6A25AFE}"/>
    <cellStyle name="Normal 5 3 5 7 5" xfId="28880" xr:uid="{1889A4DB-E195-4114-93AB-4E3DE0800051}"/>
    <cellStyle name="Normal 5 3 5 8" xfId="4825" xr:uid="{00000000-0005-0000-0000-00008B1A0000}"/>
    <cellStyle name="Normal 5 3 5 8 2" xfId="14151" xr:uid="{67FE7ADF-8149-4ECB-8D18-2F097AF9DA18}"/>
    <cellStyle name="Normal 5 3 5 8 3" xfId="22592" xr:uid="{CA112344-2E2A-46D2-8832-CB91B0DD8CDD}"/>
    <cellStyle name="Normal 5 3 5 8 4" xfId="31032" xr:uid="{C0F4FC2A-C9BE-44B9-B961-BFF92BEE7608}"/>
    <cellStyle name="Normal 5 3 5 9" xfId="8853" xr:uid="{049FA2CE-003F-47C1-A264-645323886F35}"/>
    <cellStyle name="Normal 5 3 6" xfId="455" xr:uid="{00000000-0005-0000-0000-00008C1A0000}"/>
    <cellStyle name="Normal 5 3 6 10" xfId="18377" xr:uid="{B330B4C0-A760-4998-9CF9-2A189658B0F5}"/>
    <cellStyle name="Normal 5 3 6 11" xfId="26817" xr:uid="{4132E12B-4749-4357-8539-076EB6528653}"/>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47BF1A03-0AAB-4F2A-B82A-602973A77CD8}"/>
    <cellStyle name="Normal 5 3 6 2 2 2 3" xfId="25152" xr:uid="{DD2D6182-CA03-48E0-BB40-5D9801C7E5A9}"/>
    <cellStyle name="Normal 5 3 6 2 2 2 4" xfId="33592" xr:uid="{83401E42-F5A4-422E-A6E2-8FBFC0ADE96B}"/>
    <cellStyle name="Normal 5 3 6 2 2 3" xfId="12494" xr:uid="{C8784114-609B-466C-A49C-60EA39750E5A}"/>
    <cellStyle name="Normal 5 3 6 2 2 4" xfId="20935" xr:uid="{88973D5B-137F-4C33-AB06-C4B2F67A4476}"/>
    <cellStyle name="Normal 5 3 6 2 2 5" xfId="29375" xr:uid="{A879A88E-AEDD-471E-95A1-D4D4CC718E3F}"/>
    <cellStyle name="Normal 5 3 6 2 3" xfId="5240" xr:uid="{00000000-0005-0000-0000-0000901A0000}"/>
    <cellStyle name="Normal 5 3 6 2 3 2" xfId="14566" xr:uid="{BCBF0011-CFC1-4BF5-81CB-091A62B6A0A1}"/>
    <cellStyle name="Normal 5 3 6 2 3 3" xfId="23007" xr:uid="{D5B760CC-EA71-47D1-8348-C5E3D3C7D3BD}"/>
    <cellStyle name="Normal 5 3 6 2 3 4" xfId="31447" xr:uid="{DCD4B428-B759-4A72-8279-8F2F161A2FDA}"/>
    <cellStyle name="Normal 5 3 6 2 4" xfId="9394" xr:uid="{040FDD8C-10C9-4583-9A6E-8F76047ECA0C}"/>
    <cellStyle name="Normal 5 3 6 2 5" xfId="10349" xr:uid="{7FA3832F-E8FB-4B95-A47C-233C60D77C9F}"/>
    <cellStyle name="Normal 5 3 6 2 6" xfId="18790" xr:uid="{BB73FD5F-576C-44AF-AC3E-32EA9C87B8E1}"/>
    <cellStyle name="Normal 5 3 6 2 7" xfId="27230" xr:uid="{78701C9B-85D0-4105-863D-0823A2265EB8}"/>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9CB912A8-DE8E-4F22-B371-DE31513290CF}"/>
    <cellStyle name="Normal 5 3 6 3 2 2 3" xfId="25565" xr:uid="{F73436A9-0772-46A9-A39C-F1018EF6A3CF}"/>
    <cellStyle name="Normal 5 3 6 3 2 2 4" xfId="34005" xr:uid="{7096AEC2-D29E-44C3-895D-75E7449FFF69}"/>
    <cellStyle name="Normal 5 3 6 3 2 3" xfId="12907" xr:uid="{D96638DA-858B-40A3-8384-54113C3A81AA}"/>
    <cellStyle name="Normal 5 3 6 3 2 4" xfId="21348" xr:uid="{0B0D0A4D-3677-43FD-984E-E3785C708004}"/>
    <cellStyle name="Normal 5 3 6 3 2 5" xfId="29788" xr:uid="{6627C83C-70B9-4FC6-95A8-52E71D65502B}"/>
    <cellStyle name="Normal 5 3 6 3 3" xfId="5653" xr:uid="{00000000-0005-0000-0000-0000941A0000}"/>
    <cellStyle name="Normal 5 3 6 3 3 2" xfId="14979" xr:uid="{C928D1B8-2045-479D-9BA3-4465BF410044}"/>
    <cellStyle name="Normal 5 3 6 3 3 3" xfId="23420" xr:uid="{0A8AB155-60E0-46EE-B861-807E05A2AE99}"/>
    <cellStyle name="Normal 5 3 6 3 3 4" xfId="31860" xr:uid="{02A6D402-0DDA-4D5B-9723-9F6DD0076B82}"/>
    <cellStyle name="Normal 5 3 6 3 4" xfId="10762" xr:uid="{9BAE88E0-32E1-476C-9081-7E5AC5BC6E12}"/>
    <cellStyle name="Normal 5 3 6 3 5" xfId="19203" xr:uid="{2E0A56D1-3559-4118-A6E5-C94E2872DB3C}"/>
    <cellStyle name="Normal 5 3 6 3 6" xfId="27643" xr:uid="{D7C24267-021C-4D28-80B9-4DF98F90B413}"/>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5F16ADFB-1232-42F0-83B2-D9573C2E0B39}"/>
    <cellStyle name="Normal 5 3 6 4 2 2 3" xfId="25978" xr:uid="{1743DF71-891F-46E7-8C81-C029189AB196}"/>
    <cellStyle name="Normal 5 3 6 4 2 2 4" xfId="34418" xr:uid="{01EBCD79-938B-40AC-AF4F-35C65BBB09FE}"/>
    <cellStyle name="Normal 5 3 6 4 2 3" xfId="13320" xr:uid="{E8B6CFE5-4706-4BEB-B04D-640BEB3D463F}"/>
    <cellStyle name="Normal 5 3 6 4 2 4" xfId="21761" xr:uid="{4EC34913-EDD5-4CF6-B6EC-38F8DB384DCA}"/>
    <cellStyle name="Normal 5 3 6 4 2 5" xfId="30201" xr:uid="{A8F4C759-31C0-4680-9DFC-D8AABFDB2CB5}"/>
    <cellStyle name="Normal 5 3 6 4 3" xfId="6066" xr:uid="{00000000-0005-0000-0000-0000981A0000}"/>
    <cellStyle name="Normal 5 3 6 4 3 2" xfId="15392" xr:uid="{E7FEF2BA-0DB7-4F92-B51D-30CAB86C6818}"/>
    <cellStyle name="Normal 5 3 6 4 3 3" xfId="23833" xr:uid="{62F38821-F90E-4E33-9375-05BB98949FC9}"/>
    <cellStyle name="Normal 5 3 6 4 3 4" xfId="32273" xr:uid="{3CBC86C2-F508-4FB5-8EF3-786525053E3B}"/>
    <cellStyle name="Normal 5 3 6 4 4" xfId="11175" xr:uid="{E06FF578-DE2D-4CF5-ACE7-DB6DDB638B0A}"/>
    <cellStyle name="Normal 5 3 6 4 5" xfId="19616" xr:uid="{012D2B97-8481-4E8A-B050-1D238F4009F9}"/>
    <cellStyle name="Normal 5 3 6 4 6" xfId="28056" xr:uid="{192DE426-9EB9-44D7-AC7F-1DC8B9B1D811}"/>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9BFB1CB6-5D3F-4D3B-88E0-EE053155FED7}"/>
    <cellStyle name="Normal 5 3 6 5 2 2 3" xfId="26391" xr:uid="{889A7057-060A-469E-9152-6B72993CCD4F}"/>
    <cellStyle name="Normal 5 3 6 5 2 2 4" xfId="34831" xr:uid="{513A0FE2-FAD9-4A23-963D-B90888A7FE7D}"/>
    <cellStyle name="Normal 5 3 6 5 2 3" xfId="13733" xr:uid="{39D90D7C-BE5D-4886-9EA4-6C6396F3FCF0}"/>
    <cellStyle name="Normal 5 3 6 5 2 4" xfId="22174" xr:uid="{A2E344E3-8BD9-472C-8172-28FFE0F71E7D}"/>
    <cellStyle name="Normal 5 3 6 5 2 5" xfId="30614" xr:uid="{6BD5DB65-70E1-476C-8829-15803EF98379}"/>
    <cellStyle name="Normal 5 3 6 5 3" xfId="6479" xr:uid="{00000000-0005-0000-0000-00009C1A0000}"/>
    <cellStyle name="Normal 5 3 6 5 3 2" xfId="15805" xr:uid="{7C5D0A75-7FAE-44C5-B8E2-452E43797F6A}"/>
    <cellStyle name="Normal 5 3 6 5 3 3" xfId="24246" xr:uid="{6AC70EB9-D973-4171-9475-46F68DFDF90F}"/>
    <cellStyle name="Normal 5 3 6 5 3 4" xfId="32686" xr:uid="{11E97A75-5608-48E0-804A-AF36A8DEA669}"/>
    <cellStyle name="Normal 5 3 6 5 4" xfId="11588" xr:uid="{25305619-9ADA-43BB-81C8-6A1B0265BABE}"/>
    <cellStyle name="Normal 5 3 6 5 5" xfId="20029" xr:uid="{E233E16D-81D0-4DEC-885F-C377F2D25F16}"/>
    <cellStyle name="Normal 5 3 6 5 6" xfId="28469" xr:uid="{79030725-24C4-44D5-B784-3E8C1B5C4213}"/>
    <cellStyle name="Normal 5 3 6 6" xfId="2609" xr:uid="{00000000-0005-0000-0000-00009D1A0000}"/>
    <cellStyle name="Normal 5 3 6 6 2" xfId="6892" xr:uid="{00000000-0005-0000-0000-00009E1A0000}"/>
    <cellStyle name="Normal 5 3 6 6 2 2" xfId="16218" xr:uid="{04F750E0-1143-4742-B3B9-C8AF931CA25B}"/>
    <cellStyle name="Normal 5 3 6 6 2 3" xfId="24659" xr:uid="{F7003598-D136-49A2-B422-C4F5CD1449AA}"/>
    <cellStyle name="Normal 5 3 6 6 2 4" xfId="33099" xr:uid="{F4FEB2A0-B4B5-4932-B1AF-F67885B13141}"/>
    <cellStyle name="Normal 5 3 6 6 3" xfId="12001" xr:uid="{D3023131-9250-40CD-9CF8-8FF268B472E2}"/>
    <cellStyle name="Normal 5 3 6 6 4" xfId="20442" xr:uid="{A76A7F33-3A25-40D8-892D-F6264A503E62}"/>
    <cellStyle name="Normal 5 3 6 6 5" xfId="28882" xr:uid="{99975DB3-74BD-4EE0-A032-B2D9E7DB181A}"/>
    <cellStyle name="Normal 5 3 6 7" xfId="4827" xr:uid="{00000000-0005-0000-0000-00009F1A0000}"/>
    <cellStyle name="Normal 5 3 6 7 2" xfId="14153" xr:uid="{71CCF012-2B03-4542-98E4-547B396799C7}"/>
    <cellStyle name="Normal 5 3 6 7 3" xfId="22594" xr:uid="{61A1E16B-7831-45C1-AE56-D5B88E6D669F}"/>
    <cellStyle name="Normal 5 3 6 7 4" xfId="31034" xr:uid="{0D103D16-6085-437A-8ED1-1711E421D7F5}"/>
    <cellStyle name="Normal 5 3 6 8" xfId="8969" xr:uid="{FA7ABEAF-BFEA-4D3E-A53B-E23F3117BFD8}"/>
    <cellStyle name="Normal 5 3 6 9" xfId="9936" xr:uid="{2D607B19-1B7B-47B0-9DE1-4795024B52D3}"/>
    <cellStyle name="Normal 5 3 7" xfId="913" xr:uid="{00000000-0005-0000-0000-0000A01A0000}"/>
    <cellStyle name="Normal 5 3 7 2" xfId="3148" xr:uid="{00000000-0005-0000-0000-0000A11A0000}"/>
    <cellStyle name="Normal 5 3 7 2 2" xfId="7370" xr:uid="{00000000-0005-0000-0000-0000A21A0000}"/>
    <cellStyle name="Normal 5 3 7 2 2 2" xfId="16696" xr:uid="{CDFEB6C0-0DE2-4330-9181-1C75D84C8B05}"/>
    <cellStyle name="Normal 5 3 7 2 2 3" xfId="25137" xr:uid="{F797CED3-FC16-4F6C-9A16-1CC0B072C797}"/>
    <cellStyle name="Normal 5 3 7 2 2 4" xfId="33577" xr:uid="{3517C2CA-59BD-4EC9-8A27-97F67661B508}"/>
    <cellStyle name="Normal 5 3 7 2 3" xfId="12479" xr:uid="{AB7E6C01-7062-4204-8D6C-8E77DA8F1EA6}"/>
    <cellStyle name="Normal 5 3 7 2 4" xfId="20920" xr:uid="{BCF54174-336F-4C4B-9FB4-A017452CA130}"/>
    <cellStyle name="Normal 5 3 7 2 5" xfId="29360" xr:uid="{68B51413-1792-4644-9D0C-A99B6D5657C9}"/>
    <cellStyle name="Normal 5 3 7 3" xfId="5225" xr:uid="{00000000-0005-0000-0000-0000A31A0000}"/>
    <cellStyle name="Normal 5 3 7 3 2" xfId="14551" xr:uid="{DBB32AD2-8515-49F2-9E42-7DC22949C0A0}"/>
    <cellStyle name="Normal 5 3 7 3 3" xfId="22992" xr:uid="{FF85BE53-9287-4DFA-BDD9-7471ACFE0A93}"/>
    <cellStyle name="Normal 5 3 7 3 4" xfId="31432" xr:uid="{E1E5A21B-8152-44A7-96D1-651E3ADEB039}"/>
    <cellStyle name="Normal 5 3 7 4" xfId="9172" xr:uid="{5609ABAF-B913-41DD-9CCE-B28C6A880815}"/>
    <cellStyle name="Normal 5 3 7 5" xfId="10334" xr:uid="{256F46CB-3765-4929-84A9-62C7D6251CAE}"/>
    <cellStyle name="Normal 5 3 7 6" xfId="18775" xr:uid="{3B243C19-1948-4A6F-A43A-7480E55B1289}"/>
    <cellStyle name="Normal 5 3 7 7" xfId="27215" xr:uid="{9EA4BF95-F41E-49FE-BE1B-507E7D980E9A}"/>
    <cellStyle name="Normal 5 3 8" xfId="1331" xr:uid="{00000000-0005-0000-0000-0000A41A0000}"/>
    <cellStyle name="Normal 5 3 8 2" xfId="3561" xr:uid="{00000000-0005-0000-0000-0000A51A0000}"/>
    <cellStyle name="Normal 5 3 8 2 2" xfId="7783" xr:uid="{00000000-0005-0000-0000-0000A61A0000}"/>
    <cellStyle name="Normal 5 3 8 2 2 2" xfId="17109" xr:uid="{D5BA90A1-CCD8-4257-9D42-9AE3B303E290}"/>
    <cellStyle name="Normal 5 3 8 2 2 3" xfId="25550" xr:uid="{3BBC348F-28B1-4751-A4B0-B0207E7F422D}"/>
    <cellStyle name="Normal 5 3 8 2 2 4" xfId="33990" xr:uid="{508C8136-23A9-4AE6-A391-63669D0D517E}"/>
    <cellStyle name="Normal 5 3 8 2 3" xfId="12892" xr:uid="{7A443130-5605-488C-9807-7A5B5FE18FF3}"/>
    <cellStyle name="Normal 5 3 8 2 4" xfId="21333" xr:uid="{A3BAC969-3D7E-4B05-9D7D-699737279818}"/>
    <cellStyle name="Normal 5 3 8 2 5" xfId="29773" xr:uid="{E75A0FFB-8158-4710-976E-255838482C0B}"/>
    <cellStyle name="Normal 5 3 8 3" xfId="5638" xr:uid="{00000000-0005-0000-0000-0000A71A0000}"/>
    <cellStyle name="Normal 5 3 8 3 2" xfId="14964" xr:uid="{BDDD45BC-A79F-468A-B09B-BA329BD8CCD8}"/>
    <cellStyle name="Normal 5 3 8 3 3" xfId="23405" xr:uid="{4C6DBA08-7A33-44FE-8015-89C8E810484A}"/>
    <cellStyle name="Normal 5 3 8 3 4" xfId="31845" xr:uid="{A1EBF25C-5649-4793-8C2C-D9AC7E8A0246}"/>
    <cellStyle name="Normal 5 3 8 4" xfId="10747" xr:uid="{2D7123F2-A9EE-4085-91BD-96B8167B3435}"/>
    <cellStyle name="Normal 5 3 8 5" xfId="19188" xr:uid="{EA8C076C-EA07-41E4-8E54-6632379AD4D6}"/>
    <cellStyle name="Normal 5 3 8 6" xfId="27628" xr:uid="{D96E19DA-93FE-46FC-AB03-976C67FFE9C5}"/>
    <cellStyle name="Normal 5 3 9" xfId="1744" xr:uid="{00000000-0005-0000-0000-0000A81A0000}"/>
    <cellStyle name="Normal 5 3 9 2" xfId="3974" xr:uid="{00000000-0005-0000-0000-0000A91A0000}"/>
    <cellStyle name="Normal 5 3 9 2 2" xfId="8196" xr:uid="{00000000-0005-0000-0000-0000AA1A0000}"/>
    <cellStyle name="Normal 5 3 9 2 2 2" xfId="17522" xr:uid="{0D147C18-8844-4198-87BF-A60995BD4097}"/>
    <cellStyle name="Normal 5 3 9 2 2 3" xfId="25963" xr:uid="{8B157074-6F6B-4D8D-A474-B96C3CD88D35}"/>
    <cellStyle name="Normal 5 3 9 2 2 4" xfId="34403" xr:uid="{690E0DE3-3191-4BDB-A81E-072CA8EDE071}"/>
    <cellStyle name="Normal 5 3 9 2 3" xfId="13305" xr:uid="{E7972BA6-652F-4FAE-BAB2-E84AD1DEEA8F}"/>
    <cellStyle name="Normal 5 3 9 2 4" xfId="21746" xr:uid="{A3EEC173-DDBC-4CBE-944D-37D61BB11362}"/>
    <cellStyle name="Normal 5 3 9 2 5" xfId="30186" xr:uid="{F92555F5-27E5-4193-8561-405B85194017}"/>
    <cellStyle name="Normal 5 3 9 3" xfId="6051" xr:uid="{00000000-0005-0000-0000-0000AB1A0000}"/>
    <cellStyle name="Normal 5 3 9 3 2" xfId="15377" xr:uid="{ED5C3D2E-EC2F-4EE1-BB8C-DCC90424DDDE}"/>
    <cellStyle name="Normal 5 3 9 3 3" xfId="23818" xr:uid="{9CDE1181-071D-4FF8-A2E9-34B2D2480F9E}"/>
    <cellStyle name="Normal 5 3 9 3 4" xfId="32258" xr:uid="{E79DCF1B-EE0C-4A93-ADDD-615CC2CB9410}"/>
    <cellStyle name="Normal 5 3 9 4" xfId="11160" xr:uid="{2821A217-ECA9-4670-ADC0-E9CD4304002B}"/>
    <cellStyle name="Normal 5 3 9 5" xfId="19601" xr:uid="{E1A3D6B3-5C55-4B27-BCC9-B1DA5358C5A3}"/>
    <cellStyle name="Normal 5 3 9 6" xfId="28041" xr:uid="{D6AE1FAA-AEFB-46C1-AFDE-5E36737EC8A8}"/>
    <cellStyle name="Normal 5 4" xfId="456" xr:uid="{00000000-0005-0000-0000-0000AC1A0000}"/>
    <cellStyle name="Normal 5 4 10" xfId="4828" xr:uid="{00000000-0005-0000-0000-0000AD1A0000}"/>
    <cellStyle name="Normal 5 4 10 2" xfId="14154" xr:uid="{26DB826A-22C9-47A1-80B4-1FF5E9D33176}"/>
    <cellStyle name="Normal 5 4 10 3" xfId="22595" xr:uid="{95754C65-C632-469A-807F-90A7740FD415}"/>
    <cellStyle name="Normal 5 4 10 4" xfId="31035" xr:uid="{92BCA879-18AB-4636-9E60-030EBE0A3238}"/>
    <cellStyle name="Normal 5 4 11" xfId="8773" xr:uid="{50472F80-32FD-428C-B078-8DE338D6CA16}"/>
    <cellStyle name="Normal 5 4 12" xfId="9937" xr:uid="{8C4515A9-F1A1-4879-8550-91E6A71DD070}"/>
    <cellStyle name="Normal 5 4 13" xfId="18378" xr:uid="{9382FA03-03DD-4835-8629-672E87C50EF7}"/>
    <cellStyle name="Normal 5 4 14" xfId="26818" xr:uid="{3F4C54A5-70C3-4643-B050-2F6F44AFE9B2}"/>
    <cellStyle name="Normal 5 4 2" xfId="457" xr:uid="{00000000-0005-0000-0000-0000AE1A0000}"/>
    <cellStyle name="Normal 5 4 2 10" xfId="8833" xr:uid="{6EA55230-8E5B-4EF6-B83C-8DF4202F8C31}"/>
    <cellStyle name="Normal 5 4 2 11" xfId="9938" xr:uid="{57BAB587-C309-400E-984B-80AC52E7F325}"/>
    <cellStyle name="Normal 5 4 2 12" xfId="18379" xr:uid="{900C104D-4A40-4576-B666-F90F79D91E80}"/>
    <cellStyle name="Normal 5 4 2 13" xfId="26819" xr:uid="{FB545834-7877-4B8F-9B04-E469B4172BF4}"/>
    <cellStyle name="Normal 5 4 2 2" xfId="458" xr:uid="{00000000-0005-0000-0000-0000AF1A0000}"/>
    <cellStyle name="Normal 5 4 2 2 10" xfId="9939" xr:uid="{6095680C-3FB5-4C4C-A068-C63A9624645A}"/>
    <cellStyle name="Normal 5 4 2 2 11" xfId="18380" xr:uid="{639CA6A0-9D92-48B6-85DA-93CA3A149A25}"/>
    <cellStyle name="Normal 5 4 2 2 12" xfId="26820" xr:uid="{FBB69E69-2A24-419A-B38D-E37989AD883C}"/>
    <cellStyle name="Normal 5 4 2 2 2" xfId="459" xr:uid="{00000000-0005-0000-0000-0000B01A0000}"/>
    <cellStyle name="Normal 5 4 2 2 2 10" xfId="18381" xr:uid="{90798F6C-56C2-4C3E-B889-6EA683BAB1A9}"/>
    <cellStyle name="Normal 5 4 2 2 2 11" xfId="26821" xr:uid="{D9B23353-9F50-4E92-9B7A-4DC97873C625}"/>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B3EA1C45-C38D-4D03-9F18-EF6F22F34BDF}"/>
    <cellStyle name="Normal 5 4 2 2 2 2 2 2 3" xfId="25156" xr:uid="{DB9E6B03-3ABC-42B7-823D-D03431300556}"/>
    <cellStyle name="Normal 5 4 2 2 2 2 2 2 4" xfId="33596" xr:uid="{54C0AAA8-D38B-4501-98C6-5E7A677D2B9D}"/>
    <cellStyle name="Normal 5 4 2 2 2 2 2 3" xfId="12498" xr:uid="{8CB606E1-0EC0-4DE5-BF19-CDD350B92D31}"/>
    <cellStyle name="Normal 5 4 2 2 2 2 2 4" xfId="20939" xr:uid="{4C24647F-225E-4BBF-8B80-DDDD3A5B7612}"/>
    <cellStyle name="Normal 5 4 2 2 2 2 2 5" xfId="29379" xr:uid="{1F2DFD88-B34A-4629-A083-FC344EEECBD6}"/>
    <cellStyle name="Normal 5 4 2 2 2 2 3" xfId="5244" xr:uid="{00000000-0005-0000-0000-0000B41A0000}"/>
    <cellStyle name="Normal 5 4 2 2 2 2 3 2" xfId="14570" xr:uid="{399EF542-D6E2-4510-AC5B-4A2A6357FFCD}"/>
    <cellStyle name="Normal 5 4 2 2 2 2 3 3" xfId="23011" xr:uid="{02CF3A12-BDA9-45DC-9628-0E8C128C4633}"/>
    <cellStyle name="Normal 5 4 2 2 2 2 3 4" xfId="31451" xr:uid="{757EFC70-AD7B-428C-A3F6-428BFEFC0DFF}"/>
    <cellStyle name="Normal 5 4 2 2 2 2 4" xfId="9568" xr:uid="{C9922021-D284-4633-BD4E-F2DB1197482A}"/>
    <cellStyle name="Normal 5 4 2 2 2 2 5" xfId="10353" xr:uid="{526DAE79-83BA-433F-B2C3-7808A51BDD27}"/>
    <cellStyle name="Normal 5 4 2 2 2 2 6" xfId="18794" xr:uid="{6E354B4B-1292-4F5E-A0BD-FCB2248B1B93}"/>
    <cellStyle name="Normal 5 4 2 2 2 2 7" xfId="27234" xr:uid="{CC4A2EE5-DAE2-403C-A3B7-70F3D12AA582}"/>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05FDAEEC-03E4-4917-9CA3-3B0014FD41A3}"/>
    <cellStyle name="Normal 5 4 2 2 2 3 2 2 3" xfId="25569" xr:uid="{DEB96225-81BF-426E-AD8C-D4482B7AA84D}"/>
    <cellStyle name="Normal 5 4 2 2 2 3 2 2 4" xfId="34009" xr:uid="{DF7D68EE-AFB6-479E-8767-0EE028AA3AC3}"/>
    <cellStyle name="Normal 5 4 2 2 2 3 2 3" xfId="12911" xr:uid="{A6BCD91A-0232-4DBF-A337-DBC8C192DA54}"/>
    <cellStyle name="Normal 5 4 2 2 2 3 2 4" xfId="21352" xr:uid="{E356EC3E-C2AD-48E2-8FD8-3E3624685B75}"/>
    <cellStyle name="Normal 5 4 2 2 2 3 2 5" xfId="29792" xr:uid="{5A40454C-9B69-471B-AD86-8752F959F7B6}"/>
    <cellStyle name="Normal 5 4 2 2 2 3 3" xfId="5657" xr:uid="{00000000-0005-0000-0000-0000B81A0000}"/>
    <cellStyle name="Normal 5 4 2 2 2 3 3 2" xfId="14983" xr:uid="{4128EAFF-B705-46AD-B02F-CC8F7AFBB845}"/>
    <cellStyle name="Normal 5 4 2 2 2 3 3 3" xfId="23424" xr:uid="{3076B4F5-4EB7-4F63-8CA1-B379B8607E5F}"/>
    <cellStyle name="Normal 5 4 2 2 2 3 3 4" xfId="31864" xr:uid="{3BB8812B-7BC8-4D19-B2E0-A0216ACF00C8}"/>
    <cellStyle name="Normal 5 4 2 2 2 3 4" xfId="10766" xr:uid="{D40E87D5-2B74-454A-AE23-7038A4F9A041}"/>
    <cellStyle name="Normal 5 4 2 2 2 3 5" xfId="19207" xr:uid="{582211D7-54A9-4419-A993-8433B0900B99}"/>
    <cellStyle name="Normal 5 4 2 2 2 3 6" xfId="27647" xr:uid="{B681AA4A-DDF5-4101-A666-1D4A08A5EFF5}"/>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7CD95AE0-CE3C-4870-8F2E-3D5CF14726A8}"/>
    <cellStyle name="Normal 5 4 2 2 2 4 2 2 3" xfId="25982" xr:uid="{A359DC07-3463-4A30-A51F-0DB0338DCE41}"/>
    <cellStyle name="Normal 5 4 2 2 2 4 2 2 4" xfId="34422" xr:uid="{A164AD39-71A4-4B0F-8C0F-7D6F56A496DA}"/>
    <cellStyle name="Normal 5 4 2 2 2 4 2 3" xfId="13324" xr:uid="{6765AC69-1B96-4891-901C-410FD8678C45}"/>
    <cellStyle name="Normal 5 4 2 2 2 4 2 4" xfId="21765" xr:uid="{637E4D39-5271-4AE3-8C75-6CA50A496B8B}"/>
    <cellStyle name="Normal 5 4 2 2 2 4 2 5" xfId="30205" xr:uid="{36E4089D-8639-4CDC-B758-EBAFE86F1087}"/>
    <cellStyle name="Normal 5 4 2 2 2 4 3" xfId="6070" xr:uid="{00000000-0005-0000-0000-0000BC1A0000}"/>
    <cellStyle name="Normal 5 4 2 2 2 4 3 2" xfId="15396" xr:uid="{0AF69B3C-8B09-4980-99E1-50613CE5D0A6}"/>
    <cellStyle name="Normal 5 4 2 2 2 4 3 3" xfId="23837" xr:uid="{2D4329DF-59D9-40E7-8CA0-7F4CF3A01216}"/>
    <cellStyle name="Normal 5 4 2 2 2 4 3 4" xfId="32277" xr:uid="{51E6FA92-CB62-400E-841D-C96603FE3E0A}"/>
    <cellStyle name="Normal 5 4 2 2 2 4 4" xfId="11179" xr:uid="{7F6D948F-CE3A-42DD-BB6C-9FF0E4CDA379}"/>
    <cellStyle name="Normal 5 4 2 2 2 4 5" xfId="19620" xr:uid="{4C6730B7-230C-4CF4-9A84-09D0D62F97FB}"/>
    <cellStyle name="Normal 5 4 2 2 2 4 6" xfId="28060" xr:uid="{F0B215E0-52D3-4909-B933-48CC013D0E42}"/>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20792F6B-233C-49A3-8C9E-BFF4D9FEC0F3}"/>
    <cellStyle name="Normal 5 4 2 2 2 5 2 2 3" xfId="26395" xr:uid="{F5F6D7A1-E792-47DB-835A-2D81BC8497B6}"/>
    <cellStyle name="Normal 5 4 2 2 2 5 2 2 4" xfId="34835" xr:uid="{4D983B98-B378-4FFE-92DE-90FB5D28CC7B}"/>
    <cellStyle name="Normal 5 4 2 2 2 5 2 3" xfId="13737" xr:uid="{5CF43546-BB82-4BD1-92B4-EA42CB09812D}"/>
    <cellStyle name="Normal 5 4 2 2 2 5 2 4" xfId="22178" xr:uid="{D5876219-2970-4393-BF83-659908503BC8}"/>
    <cellStyle name="Normal 5 4 2 2 2 5 2 5" xfId="30618" xr:uid="{54E285F4-845F-4DA1-867C-CE296AF6EEA0}"/>
    <cellStyle name="Normal 5 4 2 2 2 5 3" xfId="6483" xr:uid="{00000000-0005-0000-0000-0000C01A0000}"/>
    <cellStyle name="Normal 5 4 2 2 2 5 3 2" xfId="15809" xr:uid="{B369B650-670C-466F-8DA2-D2B3BA81C567}"/>
    <cellStyle name="Normal 5 4 2 2 2 5 3 3" xfId="24250" xr:uid="{BE8C125E-420E-41CD-B6ED-E984709D1489}"/>
    <cellStyle name="Normal 5 4 2 2 2 5 3 4" xfId="32690" xr:uid="{8B25EEA5-749E-4296-A862-332A1196FB96}"/>
    <cellStyle name="Normal 5 4 2 2 2 5 4" xfId="11592" xr:uid="{0A2D34D9-4CAA-46F3-99AE-0AC517E49071}"/>
    <cellStyle name="Normal 5 4 2 2 2 5 5" xfId="20033" xr:uid="{93F84118-C9C2-4065-823F-E702EFC28EBD}"/>
    <cellStyle name="Normal 5 4 2 2 2 5 6" xfId="28473" xr:uid="{B516E7AF-A97B-48C6-BDAF-BA96B870A052}"/>
    <cellStyle name="Normal 5 4 2 2 2 6" xfId="2613" xr:uid="{00000000-0005-0000-0000-0000C11A0000}"/>
    <cellStyle name="Normal 5 4 2 2 2 6 2" xfId="6896" xr:uid="{00000000-0005-0000-0000-0000C21A0000}"/>
    <cellStyle name="Normal 5 4 2 2 2 6 2 2" xfId="16222" xr:uid="{9A02631F-9236-430D-BA7A-0C7B149EA0C7}"/>
    <cellStyle name="Normal 5 4 2 2 2 6 2 3" xfId="24663" xr:uid="{445C2271-3CF1-4242-9C2C-52CB24DCFD1E}"/>
    <cellStyle name="Normal 5 4 2 2 2 6 2 4" xfId="33103" xr:uid="{159F3FD0-AF3C-4376-ABB0-78E6F328A6FE}"/>
    <cellStyle name="Normal 5 4 2 2 2 6 3" xfId="12005" xr:uid="{311FEC38-4D65-4DCE-BB6B-03FF7E1686A9}"/>
    <cellStyle name="Normal 5 4 2 2 2 6 4" xfId="20446" xr:uid="{19812441-BFD2-447A-AE3B-B3910BD8F55F}"/>
    <cellStyle name="Normal 5 4 2 2 2 6 5" xfId="28886" xr:uid="{4E903EA8-F09F-4713-BF8C-140F1EE0721B}"/>
    <cellStyle name="Normal 5 4 2 2 2 7" xfId="4831" xr:uid="{00000000-0005-0000-0000-0000C31A0000}"/>
    <cellStyle name="Normal 5 4 2 2 2 7 2" xfId="14157" xr:uid="{AD366AF1-3993-47F8-B19A-AD0232ABBD36}"/>
    <cellStyle name="Normal 5 4 2 2 2 7 3" xfId="22598" xr:uid="{B32F4C1F-6E24-48CD-BA93-4B5B2FFC4401}"/>
    <cellStyle name="Normal 5 4 2 2 2 7 4" xfId="31038" xr:uid="{C5A2D3ED-79F4-4547-903A-5E797218813D}"/>
    <cellStyle name="Normal 5 4 2 2 2 8" xfId="9143" xr:uid="{C8F15FA9-FDFE-4358-95A8-17B14299B14C}"/>
    <cellStyle name="Normal 5 4 2 2 2 9" xfId="9940" xr:uid="{5B04714F-E076-4348-BC16-645CCFB6E495}"/>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634E9659-FE0A-4FA5-B60B-08BF19732CBC}"/>
    <cellStyle name="Normal 5 4 2 2 3 2 2 3" xfId="25155" xr:uid="{3FFEC896-FE0F-45A5-9444-ED0C73F1C2F2}"/>
    <cellStyle name="Normal 5 4 2 2 3 2 2 4" xfId="33595" xr:uid="{4FC4781B-79C8-4BF1-8829-1D13466E3E58}"/>
    <cellStyle name="Normal 5 4 2 2 3 2 3" xfId="12497" xr:uid="{44890224-761A-46CB-B3FC-ACA92305B6C0}"/>
    <cellStyle name="Normal 5 4 2 2 3 2 4" xfId="20938" xr:uid="{209D0F73-7707-4E40-8035-898B5CE945E6}"/>
    <cellStyle name="Normal 5 4 2 2 3 2 5" xfId="29378" xr:uid="{11045A69-18E4-4AA0-BA40-9052A10EF6D1}"/>
    <cellStyle name="Normal 5 4 2 2 3 3" xfId="5243" xr:uid="{00000000-0005-0000-0000-0000C71A0000}"/>
    <cellStyle name="Normal 5 4 2 2 3 3 2" xfId="14569" xr:uid="{43908850-907F-4307-9911-70A52A4DA12A}"/>
    <cellStyle name="Normal 5 4 2 2 3 3 3" xfId="23010" xr:uid="{B6BAC055-87BA-41D8-AA67-F51C073100A4}"/>
    <cellStyle name="Normal 5 4 2 2 3 3 4" xfId="31450" xr:uid="{22F7115F-4735-4093-B5F4-CC7628CEA5C1}"/>
    <cellStyle name="Normal 5 4 2 2 3 4" xfId="9361" xr:uid="{421F0FC8-8E8F-498F-BD31-B00CB58D5B43}"/>
    <cellStyle name="Normal 5 4 2 2 3 5" xfId="10352" xr:uid="{C13E86D0-A36A-421A-895B-83325C63C3CA}"/>
    <cellStyle name="Normal 5 4 2 2 3 6" xfId="18793" xr:uid="{F9598BA4-29E0-48DD-9314-6A88B6981A75}"/>
    <cellStyle name="Normal 5 4 2 2 3 7" xfId="27233" xr:uid="{8B128B7D-D949-44F1-A84F-55CEA11468FA}"/>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98BE334A-4A8E-4279-9C76-73D1EBE6A3CA}"/>
    <cellStyle name="Normal 5 4 2 2 4 2 2 3" xfId="25568" xr:uid="{9DE1A2D8-52C8-4459-8FEB-62D63E77582B}"/>
    <cellStyle name="Normal 5 4 2 2 4 2 2 4" xfId="34008" xr:uid="{5B85DFE8-E5F0-4E17-ACB7-9964F12ECDF5}"/>
    <cellStyle name="Normal 5 4 2 2 4 2 3" xfId="12910" xr:uid="{B9FB246B-E804-4891-B689-D578014F070D}"/>
    <cellStyle name="Normal 5 4 2 2 4 2 4" xfId="21351" xr:uid="{1B24E813-8B38-45C4-931E-A36A5C68425A}"/>
    <cellStyle name="Normal 5 4 2 2 4 2 5" xfId="29791" xr:uid="{48489208-7EE6-448C-B672-1292150AC9F7}"/>
    <cellStyle name="Normal 5 4 2 2 4 3" xfId="5656" xr:uid="{00000000-0005-0000-0000-0000CB1A0000}"/>
    <cellStyle name="Normal 5 4 2 2 4 3 2" xfId="14982" xr:uid="{86890F31-BF84-4B40-9DAD-1DAAB31205D9}"/>
    <cellStyle name="Normal 5 4 2 2 4 3 3" xfId="23423" xr:uid="{D56085CD-194C-4698-BEBC-9E17A88A1347}"/>
    <cellStyle name="Normal 5 4 2 2 4 3 4" xfId="31863" xr:uid="{9B3ACF77-9CE8-4784-A704-98ED634F7832}"/>
    <cellStyle name="Normal 5 4 2 2 4 4" xfId="10765" xr:uid="{20789F7C-B2DB-485F-BB20-A7DEFF51E48E}"/>
    <cellStyle name="Normal 5 4 2 2 4 5" xfId="19206" xr:uid="{CEE6BA39-C57E-4D4B-9F40-31877BEFC56D}"/>
    <cellStyle name="Normal 5 4 2 2 4 6" xfId="27646" xr:uid="{68B8B1CD-DF31-46E3-AE7C-5254AE2C274E}"/>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197CDB0E-66A6-482D-9471-8C72588FB2DE}"/>
    <cellStyle name="Normal 5 4 2 2 5 2 2 3" xfId="25981" xr:uid="{68B416A7-ECCE-4EB9-AE35-F370515BA96E}"/>
    <cellStyle name="Normal 5 4 2 2 5 2 2 4" xfId="34421" xr:uid="{A5210844-6BB9-44A1-9CB6-A2BB279A6AFC}"/>
    <cellStyle name="Normal 5 4 2 2 5 2 3" xfId="13323" xr:uid="{E66422F8-E534-47FA-8530-3BB0335A8203}"/>
    <cellStyle name="Normal 5 4 2 2 5 2 4" xfId="21764" xr:uid="{0A49446E-4B58-427D-AF4C-456C69714CC2}"/>
    <cellStyle name="Normal 5 4 2 2 5 2 5" xfId="30204" xr:uid="{E8E348C1-0372-4030-8B49-5FEC1BE9F38D}"/>
    <cellStyle name="Normal 5 4 2 2 5 3" xfId="6069" xr:uid="{00000000-0005-0000-0000-0000CF1A0000}"/>
    <cellStyle name="Normal 5 4 2 2 5 3 2" xfId="15395" xr:uid="{446470AA-6009-42D8-997E-6D993C331331}"/>
    <cellStyle name="Normal 5 4 2 2 5 3 3" xfId="23836" xr:uid="{33C80933-2494-49F6-9B90-517EBE24ED7B}"/>
    <cellStyle name="Normal 5 4 2 2 5 3 4" xfId="32276" xr:uid="{2B449BE3-4FDD-47FB-A76B-B343AD201BAB}"/>
    <cellStyle name="Normal 5 4 2 2 5 4" xfId="11178" xr:uid="{9AE59C6B-A83C-481E-83D2-E0DE1491DE85}"/>
    <cellStyle name="Normal 5 4 2 2 5 5" xfId="19619" xr:uid="{A8091BD0-0074-4077-93D5-2D5B052CF968}"/>
    <cellStyle name="Normal 5 4 2 2 5 6" xfId="28059" xr:uid="{278684E3-4A21-4D59-9202-4D6FA3E4D8F0}"/>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AC7A7943-4738-4D69-B333-39203F58DD9F}"/>
    <cellStyle name="Normal 5 4 2 2 6 2 2 3" xfId="26394" xr:uid="{682207C3-5E7F-468C-A7FE-640313207D1D}"/>
    <cellStyle name="Normal 5 4 2 2 6 2 2 4" xfId="34834" xr:uid="{AF574F26-C82D-47B1-8280-2362BEC893B2}"/>
    <cellStyle name="Normal 5 4 2 2 6 2 3" xfId="13736" xr:uid="{18941501-BBBC-44BA-8EEE-6054BE260023}"/>
    <cellStyle name="Normal 5 4 2 2 6 2 4" xfId="22177" xr:uid="{63FC2AA0-D63A-4B40-B908-23C7AE1C909A}"/>
    <cellStyle name="Normal 5 4 2 2 6 2 5" xfId="30617" xr:uid="{387DFA8B-B679-4130-853B-A43BEB2ED324}"/>
    <cellStyle name="Normal 5 4 2 2 6 3" xfId="6482" xr:uid="{00000000-0005-0000-0000-0000D31A0000}"/>
    <cellStyle name="Normal 5 4 2 2 6 3 2" xfId="15808" xr:uid="{D5DD96A0-2F06-4247-9E3B-BCE9E481666A}"/>
    <cellStyle name="Normal 5 4 2 2 6 3 3" xfId="24249" xr:uid="{0FAC9845-5E9D-41BE-9ACB-63A02CA18F1D}"/>
    <cellStyle name="Normal 5 4 2 2 6 3 4" xfId="32689" xr:uid="{586CA53D-433D-4C2E-9571-E5063769F27F}"/>
    <cellStyle name="Normal 5 4 2 2 6 4" xfId="11591" xr:uid="{BD841A9B-0FDE-4D90-9190-3304083ED487}"/>
    <cellStyle name="Normal 5 4 2 2 6 5" xfId="20032" xr:uid="{2BC1E383-DBA2-433B-8526-3A612375527C}"/>
    <cellStyle name="Normal 5 4 2 2 6 6" xfId="28472" xr:uid="{A0A6CB17-BA47-4D43-BAD7-147D10896D30}"/>
    <cellStyle name="Normal 5 4 2 2 7" xfId="2612" xr:uid="{00000000-0005-0000-0000-0000D41A0000}"/>
    <cellStyle name="Normal 5 4 2 2 7 2" xfId="6895" xr:uid="{00000000-0005-0000-0000-0000D51A0000}"/>
    <cellStyle name="Normal 5 4 2 2 7 2 2" xfId="16221" xr:uid="{24816220-83A3-49CD-9719-C4F1AED84BDE}"/>
    <cellStyle name="Normal 5 4 2 2 7 2 3" xfId="24662" xr:uid="{F761C21B-8E5B-4252-AA63-4CAF8116F302}"/>
    <cellStyle name="Normal 5 4 2 2 7 2 4" xfId="33102" xr:uid="{87E12ED0-8555-4DFC-917E-61E7F0A9B1C7}"/>
    <cellStyle name="Normal 5 4 2 2 7 3" xfId="12004" xr:uid="{C41FF7AD-8145-432A-9088-D5C27784C2BC}"/>
    <cellStyle name="Normal 5 4 2 2 7 4" xfId="20445" xr:uid="{E2B08F2F-AA77-4251-B25D-F30D7EEF724B}"/>
    <cellStyle name="Normal 5 4 2 2 7 5" xfId="28885" xr:uid="{E3AB9AAF-E4FF-459B-9142-BCD8CB3DEDC9}"/>
    <cellStyle name="Normal 5 4 2 2 8" xfId="4830" xr:uid="{00000000-0005-0000-0000-0000D61A0000}"/>
    <cellStyle name="Normal 5 4 2 2 8 2" xfId="14156" xr:uid="{E19D4422-BF46-4FD5-96DB-85EFB1BDEB9D}"/>
    <cellStyle name="Normal 5 4 2 2 8 3" xfId="22597" xr:uid="{A1A7B757-D6D4-4B19-A1C0-58B3E0833E28}"/>
    <cellStyle name="Normal 5 4 2 2 8 4" xfId="31037" xr:uid="{D9903320-A98C-4AEE-B865-43C3EF2F6C93}"/>
    <cellStyle name="Normal 5 4 2 2 9" xfId="8936" xr:uid="{31CF7A09-919D-40D2-B5FD-098CEA44D314}"/>
    <cellStyle name="Normal 5 4 2 3" xfId="460" xr:uid="{00000000-0005-0000-0000-0000D71A0000}"/>
    <cellStyle name="Normal 5 4 2 3 10" xfId="18382" xr:uid="{4840E9D6-4C3E-4AD6-8358-232C34031D31}"/>
    <cellStyle name="Normal 5 4 2 3 11" xfId="26822" xr:uid="{091D9E63-6443-4EB4-805C-CCA2EB77A629}"/>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25BD158B-93CB-4C81-AECF-7F105F480F7E}"/>
    <cellStyle name="Normal 5 4 2 3 2 2 2 3" xfId="25157" xr:uid="{B2663FCE-57B6-4AB3-A664-A7813E6BB904}"/>
    <cellStyle name="Normal 5 4 2 3 2 2 2 4" xfId="33597" xr:uid="{626FC5BB-5AB3-4E0E-B21E-D99B2D95AC9D}"/>
    <cellStyle name="Normal 5 4 2 3 2 2 3" xfId="12499" xr:uid="{63D1DB33-BD20-4092-9134-06884B4BEDDF}"/>
    <cellStyle name="Normal 5 4 2 3 2 2 4" xfId="20940" xr:uid="{AC2FC500-2467-4336-A92C-3915300FABC3}"/>
    <cellStyle name="Normal 5 4 2 3 2 2 5" xfId="29380" xr:uid="{75D24979-A0F2-4876-A14C-74B1B5B93C76}"/>
    <cellStyle name="Normal 5 4 2 3 2 3" xfId="5245" xr:uid="{00000000-0005-0000-0000-0000DB1A0000}"/>
    <cellStyle name="Normal 5 4 2 3 2 3 2" xfId="14571" xr:uid="{7DDF22B1-F60E-4DCF-AD6E-940E8DA9CD4F}"/>
    <cellStyle name="Normal 5 4 2 3 2 3 3" xfId="23012" xr:uid="{7401BD32-6755-4E19-8110-05EF53DB01D3}"/>
    <cellStyle name="Normal 5 4 2 3 2 3 4" xfId="31452" xr:uid="{C9FD924C-6499-49D3-82F2-F4E2E6A9323F}"/>
    <cellStyle name="Normal 5 4 2 3 2 4" xfId="9465" xr:uid="{B8459C73-266B-467B-A163-FFDFF015A460}"/>
    <cellStyle name="Normal 5 4 2 3 2 5" xfId="10354" xr:uid="{46D422E1-B699-4D21-96AB-51A004DE7B1A}"/>
    <cellStyle name="Normal 5 4 2 3 2 6" xfId="18795" xr:uid="{1DF121D2-6BBF-435E-9292-9E4454C281DD}"/>
    <cellStyle name="Normal 5 4 2 3 2 7" xfId="27235" xr:uid="{F6BDE1E0-03E6-49B9-9024-1C928C987F69}"/>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F58E3F50-72C5-481E-A678-967231FB0C9D}"/>
    <cellStyle name="Normal 5 4 2 3 3 2 2 3" xfId="25570" xr:uid="{7E68ED12-CB5F-4026-9B86-4AF98C8957C1}"/>
    <cellStyle name="Normal 5 4 2 3 3 2 2 4" xfId="34010" xr:uid="{8C411F96-5FB6-439D-BAC5-6060C90A2B72}"/>
    <cellStyle name="Normal 5 4 2 3 3 2 3" xfId="12912" xr:uid="{12C323ED-97A6-40ED-A58F-A5F9895B7C60}"/>
    <cellStyle name="Normal 5 4 2 3 3 2 4" xfId="21353" xr:uid="{86BBFD68-BF72-4080-88B9-0F5A80F88333}"/>
    <cellStyle name="Normal 5 4 2 3 3 2 5" xfId="29793" xr:uid="{C913C92F-75C6-4635-93F8-A7E15D0CBEBC}"/>
    <cellStyle name="Normal 5 4 2 3 3 3" xfId="5658" xr:uid="{00000000-0005-0000-0000-0000DF1A0000}"/>
    <cellStyle name="Normal 5 4 2 3 3 3 2" xfId="14984" xr:uid="{1584D66E-71E3-478C-B843-F80967628D32}"/>
    <cellStyle name="Normal 5 4 2 3 3 3 3" xfId="23425" xr:uid="{BB4278C8-F28A-4F68-B876-731C8C8FBF15}"/>
    <cellStyle name="Normal 5 4 2 3 3 3 4" xfId="31865" xr:uid="{417A4652-1848-456E-93BA-1ACEEA784EC2}"/>
    <cellStyle name="Normal 5 4 2 3 3 4" xfId="10767" xr:uid="{5176FFB2-1B1E-4031-AACA-6F560EDCA2F9}"/>
    <cellStyle name="Normal 5 4 2 3 3 5" xfId="19208" xr:uid="{57A8C188-247F-4CEB-9B09-FF265018E826}"/>
    <cellStyle name="Normal 5 4 2 3 3 6" xfId="27648" xr:uid="{C506B1FA-BF6F-4842-807A-444F79636159}"/>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4AAAA285-D792-45D9-9778-C5E205D63D5F}"/>
    <cellStyle name="Normal 5 4 2 3 4 2 2 3" xfId="25983" xr:uid="{C1B46074-8748-4783-8780-89590D8C5443}"/>
    <cellStyle name="Normal 5 4 2 3 4 2 2 4" xfId="34423" xr:uid="{DA3E9AF1-4961-4679-B20C-751C1C4B5928}"/>
    <cellStyle name="Normal 5 4 2 3 4 2 3" xfId="13325" xr:uid="{4399852A-31AF-448A-9295-4D09A534BF0D}"/>
    <cellStyle name="Normal 5 4 2 3 4 2 4" xfId="21766" xr:uid="{2D19E96F-F311-427D-8C81-C78BA1D02739}"/>
    <cellStyle name="Normal 5 4 2 3 4 2 5" xfId="30206" xr:uid="{9BC4F7C6-A7F5-4303-9EB5-659C6FE5689D}"/>
    <cellStyle name="Normal 5 4 2 3 4 3" xfId="6071" xr:uid="{00000000-0005-0000-0000-0000E31A0000}"/>
    <cellStyle name="Normal 5 4 2 3 4 3 2" xfId="15397" xr:uid="{F695D890-6FCC-4A80-B86A-FE695C22D4BC}"/>
    <cellStyle name="Normal 5 4 2 3 4 3 3" xfId="23838" xr:uid="{528ECB9D-2B76-4415-A617-6E243BDD2410}"/>
    <cellStyle name="Normal 5 4 2 3 4 3 4" xfId="32278" xr:uid="{7222FDC0-E2BC-4F2C-B90E-96A23A71637C}"/>
    <cellStyle name="Normal 5 4 2 3 4 4" xfId="11180" xr:uid="{9AA2EED1-78C8-4037-A071-9B8D92A38A32}"/>
    <cellStyle name="Normal 5 4 2 3 4 5" xfId="19621" xr:uid="{618B1001-C0F0-4FED-B22C-DBAEA065AAF6}"/>
    <cellStyle name="Normal 5 4 2 3 4 6" xfId="28061" xr:uid="{C3EB9824-85DF-4D15-BB75-0DC27C07FB03}"/>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3E3F4C25-9141-4533-BBCC-53A55374D7D1}"/>
    <cellStyle name="Normal 5 4 2 3 5 2 2 3" xfId="26396" xr:uid="{74C0C034-78A3-4E9A-B673-8F2B08A6BB8E}"/>
    <cellStyle name="Normal 5 4 2 3 5 2 2 4" xfId="34836" xr:uid="{A25ED8F1-72F6-49EA-ACAE-0FCEABEAB852}"/>
    <cellStyle name="Normal 5 4 2 3 5 2 3" xfId="13738" xr:uid="{1DF6C8FF-DC95-4477-9FC4-C917678B3F0C}"/>
    <cellStyle name="Normal 5 4 2 3 5 2 4" xfId="22179" xr:uid="{8EBDD1D1-AE44-4B03-84F8-12E8C0CF49B6}"/>
    <cellStyle name="Normal 5 4 2 3 5 2 5" xfId="30619" xr:uid="{5C633C54-4E39-460B-A10A-3296F9A6B96F}"/>
    <cellStyle name="Normal 5 4 2 3 5 3" xfId="6484" xr:uid="{00000000-0005-0000-0000-0000E71A0000}"/>
    <cellStyle name="Normal 5 4 2 3 5 3 2" xfId="15810" xr:uid="{EADB0ED3-BA48-43C9-870E-286DAE383F1E}"/>
    <cellStyle name="Normal 5 4 2 3 5 3 3" xfId="24251" xr:uid="{88E632D3-D84A-44B8-9571-33C88133E358}"/>
    <cellStyle name="Normal 5 4 2 3 5 3 4" xfId="32691" xr:uid="{425727EA-B4EE-4479-91EF-56D1DF119BE4}"/>
    <cellStyle name="Normal 5 4 2 3 5 4" xfId="11593" xr:uid="{F0DBAD6A-BAF4-40EA-90FC-52C4B9C3DADB}"/>
    <cellStyle name="Normal 5 4 2 3 5 5" xfId="20034" xr:uid="{CBB7E642-8F27-40AF-82EB-73FC6183321F}"/>
    <cellStyle name="Normal 5 4 2 3 5 6" xfId="28474" xr:uid="{98F1D91D-F95C-47C9-9A75-BB96E793F6B3}"/>
    <cellStyle name="Normal 5 4 2 3 6" xfId="2614" xr:uid="{00000000-0005-0000-0000-0000E81A0000}"/>
    <cellStyle name="Normal 5 4 2 3 6 2" xfId="6897" xr:uid="{00000000-0005-0000-0000-0000E91A0000}"/>
    <cellStyle name="Normal 5 4 2 3 6 2 2" xfId="16223" xr:uid="{2F00C9B2-87BC-436C-8445-F5DBF109616D}"/>
    <cellStyle name="Normal 5 4 2 3 6 2 3" xfId="24664" xr:uid="{84F3F2AD-342E-45EB-AF62-47EDC38C25BF}"/>
    <cellStyle name="Normal 5 4 2 3 6 2 4" xfId="33104" xr:uid="{F21A5E1A-9145-402B-BAFB-34C5531209AA}"/>
    <cellStyle name="Normal 5 4 2 3 6 3" xfId="12006" xr:uid="{DFA32956-62E5-4560-AE68-69FA0DA6669F}"/>
    <cellStyle name="Normal 5 4 2 3 6 4" xfId="20447" xr:uid="{D4BC8EA5-D712-4525-B3CC-7F1E64D7CC73}"/>
    <cellStyle name="Normal 5 4 2 3 6 5" xfId="28887" xr:uid="{8A93732B-F84C-4496-88F5-F25B389EB705}"/>
    <cellStyle name="Normal 5 4 2 3 7" xfId="4832" xr:uid="{00000000-0005-0000-0000-0000EA1A0000}"/>
    <cellStyle name="Normal 5 4 2 3 7 2" xfId="14158" xr:uid="{9CFEC913-2923-4929-BC39-8E0B540C268A}"/>
    <cellStyle name="Normal 5 4 2 3 7 3" xfId="22599" xr:uid="{E4F861FF-CFF2-4C07-B8D6-281B75CB0D08}"/>
    <cellStyle name="Normal 5 4 2 3 7 4" xfId="31039" xr:uid="{2D3392A1-8B95-428C-85FB-C905B1301B41}"/>
    <cellStyle name="Normal 5 4 2 3 8" xfId="9040" xr:uid="{D68CAB17-BB41-4D9B-AA76-76FE511392DC}"/>
    <cellStyle name="Normal 5 4 2 3 9" xfId="9941" xr:uid="{755F4A3D-4F7D-4A69-B667-EDC83A7025B5}"/>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9E5AC976-F6E4-4C75-9225-64FC5D25BC90}"/>
    <cellStyle name="Normal 5 4 2 4 2 2 3" xfId="25154" xr:uid="{DEF8955A-A0AA-4506-95A0-3E04F646600A}"/>
    <cellStyle name="Normal 5 4 2 4 2 2 4" xfId="33594" xr:uid="{F0C92231-3BF9-4807-A558-F5DCFD67FCE9}"/>
    <cellStyle name="Normal 5 4 2 4 2 3" xfId="12496" xr:uid="{716D8297-4950-49F0-9296-3E5964BCBBC0}"/>
    <cellStyle name="Normal 5 4 2 4 2 4" xfId="20937" xr:uid="{809DF738-80A4-4254-B7DB-82C23A194671}"/>
    <cellStyle name="Normal 5 4 2 4 2 5" xfId="29377" xr:uid="{3D1AD1C6-E557-412B-9E00-6BAE7E7B6376}"/>
    <cellStyle name="Normal 5 4 2 4 3" xfId="5242" xr:uid="{00000000-0005-0000-0000-0000EE1A0000}"/>
    <cellStyle name="Normal 5 4 2 4 3 2" xfId="14568" xr:uid="{CF0C81D4-8906-44B6-80A3-C89D57541931}"/>
    <cellStyle name="Normal 5 4 2 4 3 3" xfId="23009" xr:uid="{3C3D5BFD-6BAD-4335-94A0-18EEA102525B}"/>
    <cellStyle name="Normal 5 4 2 4 3 4" xfId="31449" xr:uid="{8CC2EA07-8014-49F3-AB4C-7D37C1944A40}"/>
    <cellStyle name="Normal 5 4 2 4 4" xfId="9258" xr:uid="{971C48A9-8200-405B-A9BE-B3AFD2CDDA76}"/>
    <cellStyle name="Normal 5 4 2 4 5" xfId="10351" xr:uid="{61456492-812A-46B6-815C-9FFBD86704CB}"/>
    <cellStyle name="Normal 5 4 2 4 6" xfId="18792" xr:uid="{EDEE8D36-AFE5-427D-8397-F7A2F6AB40D4}"/>
    <cellStyle name="Normal 5 4 2 4 7" xfId="27232" xr:uid="{003DA702-7788-4B3E-AA35-6597942D56C4}"/>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7A693329-8A95-41E4-9AFB-226B71AD7B88}"/>
    <cellStyle name="Normal 5 4 2 5 2 2 3" xfId="25567" xr:uid="{C3C7ED3A-C73C-46D7-93F5-7DB4101BAE2B}"/>
    <cellStyle name="Normal 5 4 2 5 2 2 4" xfId="34007" xr:uid="{A3F257ED-29EC-4FFE-8511-92D5EF214036}"/>
    <cellStyle name="Normal 5 4 2 5 2 3" xfId="12909" xr:uid="{70EF491B-0246-48EB-B62B-8273836D07D8}"/>
    <cellStyle name="Normal 5 4 2 5 2 4" xfId="21350" xr:uid="{E665FB23-3FE1-485A-AA3D-1FC93F322CCF}"/>
    <cellStyle name="Normal 5 4 2 5 2 5" xfId="29790" xr:uid="{7483FD1D-9A12-4996-B835-8E6F7FDF1345}"/>
    <cellStyle name="Normal 5 4 2 5 3" xfId="5655" xr:uid="{00000000-0005-0000-0000-0000F21A0000}"/>
    <cellStyle name="Normal 5 4 2 5 3 2" xfId="14981" xr:uid="{8B08CE51-89F2-4303-B868-836683A71A85}"/>
    <cellStyle name="Normal 5 4 2 5 3 3" xfId="23422" xr:uid="{82F8E131-D102-42AB-B160-E642CACB828D}"/>
    <cellStyle name="Normal 5 4 2 5 3 4" xfId="31862" xr:uid="{7EBC2735-414C-4A68-8DDB-89DEA98A9CC6}"/>
    <cellStyle name="Normal 5 4 2 5 4" xfId="10764" xr:uid="{446D271B-3B5D-40E3-BEB6-3B1235A8FC7B}"/>
    <cellStyle name="Normal 5 4 2 5 5" xfId="19205" xr:uid="{F5AD5E9E-D464-4013-BBCC-B4F304CA3BB7}"/>
    <cellStyle name="Normal 5 4 2 5 6" xfId="27645" xr:uid="{43CCE7A7-E965-4E80-829C-AEF9E315E4F3}"/>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03BC5A9A-0394-408E-8516-A4397A2D5F44}"/>
    <cellStyle name="Normal 5 4 2 6 2 2 3" xfId="25980" xr:uid="{4AC9D39B-582D-479F-BD8F-A11ACDA3605E}"/>
    <cellStyle name="Normal 5 4 2 6 2 2 4" xfId="34420" xr:uid="{8FCBA7FB-71B0-4C09-A00D-BB4EEABD8880}"/>
    <cellStyle name="Normal 5 4 2 6 2 3" xfId="13322" xr:uid="{CA4A31D1-E62C-45DE-93DE-9C6BC76CE60B}"/>
    <cellStyle name="Normal 5 4 2 6 2 4" xfId="21763" xr:uid="{14B4BDE5-EAFD-42DF-B4F2-F4CFF6CFF83B}"/>
    <cellStyle name="Normal 5 4 2 6 2 5" xfId="30203" xr:uid="{7DA42786-F43B-4940-8CB7-B933AC7E6F0C}"/>
    <cellStyle name="Normal 5 4 2 6 3" xfId="6068" xr:uid="{00000000-0005-0000-0000-0000F61A0000}"/>
    <cellStyle name="Normal 5 4 2 6 3 2" xfId="15394" xr:uid="{88A3789A-06D7-404F-B83B-381376CB886F}"/>
    <cellStyle name="Normal 5 4 2 6 3 3" xfId="23835" xr:uid="{BB06A91D-9578-47C2-A289-D3A9CDCD4FEB}"/>
    <cellStyle name="Normal 5 4 2 6 3 4" xfId="32275" xr:uid="{C9B8A7F9-D768-4B56-AA09-6AA8D60C86D3}"/>
    <cellStyle name="Normal 5 4 2 6 4" xfId="11177" xr:uid="{69AABB43-B5B8-47CF-927D-C1380C201107}"/>
    <cellStyle name="Normal 5 4 2 6 5" xfId="19618" xr:uid="{CE23B6FE-3393-4BD8-AB77-7F16FFEA8FC2}"/>
    <cellStyle name="Normal 5 4 2 6 6" xfId="28058" xr:uid="{506BFFE5-BEF5-4ACB-ACDE-DA1324B6710C}"/>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C3324D7E-C4B0-4FBA-9BE0-6428BC07A679}"/>
    <cellStyle name="Normal 5 4 2 7 2 2 3" xfId="26393" xr:uid="{06F9B9B5-0946-43DD-A2B6-30FA90A3C835}"/>
    <cellStyle name="Normal 5 4 2 7 2 2 4" xfId="34833" xr:uid="{588017EA-51FA-4E48-A993-A0C7097196BD}"/>
    <cellStyle name="Normal 5 4 2 7 2 3" xfId="13735" xr:uid="{55A4B453-EBE7-46D3-9011-A35242BD477A}"/>
    <cellStyle name="Normal 5 4 2 7 2 4" xfId="22176" xr:uid="{50198FA5-6288-4F8C-AF73-0B2F4CC26CAA}"/>
    <cellStyle name="Normal 5 4 2 7 2 5" xfId="30616" xr:uid="{FB667E31-AFE2-4697-8E14-310861C616D3}"/>
    <cellStyle name="Normal 5 4 2 7 3" xfId="6481" xr:uid="{00000000-0005-0000-0000-0000FA1A0000}"/>
    <cellStyle name="Normal 5 4 2 7 3 2" xfId="15807" xr:uid="{F735E9F7-CBA4-4AA8-82E5-EE8C1E684DBD}"/>
    <cellStyle name="Normal 5 4 2 7 3 3" xfId="24248" xr:uid="{763CE92F-D0F0-4DC2-8AE0-4087D0F0B761}"/>
    <cellStyle name="Normal 5 4 2 7 3 4" xfId="32688" xr:uid="{0DA46929-3FD1-491D-B670-B84F8051DB1B}"/>
    <cellStyle name="Normal 5 4 2 7 4" xfId="11590" xr:uid="{189F4597-AE28-4B47-976A-58563AFCA408}"/>
    <cellStyle name="Normal 5 4 2 7 5" xfId="20031" xr:uid="{CB81CE78-8B89-4DEC-8426-33085AE5E5D1}"/>
    <cellStyle name="Normal 5 4 2 7 6" xfId="28471" xr:uid="{C8A9A5D9-AA26-45B3-9CFE-E83FF62A4D04}"/>
    <cellStyle name="Normal 5 4 2 8" xfId="2611" xr:uid="{00000000-0005-0000-0000-0000FB1A0000}"/>
    <cellStyle name="Normal 5 4 2 8 2" xfId="6894" xr:uid="{00000000-0005-0000-0000-0000FC1A0000}"/>
    <cellStyle name="Normal 5 4 2 8 2 2" xfId="16220" xr:uid="{6BF5E2C3-077F-4BD9-B034-731586F0CA2F}"/>
    <cellStyle name="Normal 5 4 2 8 2 3" xfId="24661" xr:uid="{B64242E9-836B-41D3-A2DB-FE25E3C5DCF3}"/>
    <cellStyle name="Normal 5 4 2 8 2 4" xfId="33101" xr:uid="{E0418FD4-C5D4-4046-A4FB-2E344D353D66}"/>
    <cellStyle name="Normal 5 4 2 8 3" xfId="12003" xr:uid="{C41FCDE2-DEA6-400E-8A0D-4B9FB059BBB9}"/>
    <cellStyle name="Normal 5 4 2 8 4" xfId="20444" xr:uid="{13EF3C2B-2EED-413B-8974-7D971B5FE6DF}"/>
    <cellStyle name="Normal 5 4 2 8 5" xfId="28884" xr:uid="{547F2C05-FF72-4A01-AB98-94A354B9ECFC}"/>
    <cellStyle name="Normal 5 4 2 9" xfId="4829" xr:uid="{00000000-0005-0000-0000-0000FD1A0000}"/>
    <cellStyle name="Normal 5 4 2 9 2" xfId="14155" xr:uid="{1E1EECA4-9C10-492A-93F4-A0CF6851AAE4}"/>
    <cellStyle name="Normal 5 4 2 9 3" xfId="22596" xr:uid="{DCFB59AD-623F-4879-8F2F-6917D60CF45F}"/>
    <cellStyle name="Normal 5 4 2 9 4" xfId="31036" xr:uid="{3634555A-40D9-43BC-8D03-B7177446D75F}"/>
    <cellStyle name="Normal 5 4 3" xfId="461" xr:uid="{00000000-0005-0000-0000-0000FE1A0000}"/>
    <cellStyle name="Normal 5 4 3 10" xfId="9942" xr:uid="{3AEB7426-BD37-4BAB-9948-87CCC664EEA2}"/>
    <cellStyle name="Normal 5 4 3 11" xfId="18383" xr:uid="{FF288002-990B-466D-962D-A18584FFABB3}"/>
    <cellStyle name="Normal 5 4 3 12" xfId="26823" xr:uid="{BAA6A06F-9892-445E-9684-4C249B4E5FF1}"/>
    <cellStyle name="Normal 5 4 3 2" xfId="462" xr:uid="{00000000-0005-0000-0000-0000FF1A0000}"/>
    <cellStyle name="Normal 5 4 3 2 10" xfId="18384" xr:uid="{3A1C5430-CEBB-48FD-B7D4-014C756B4710}"/>
    <cellStyle name="Normal 5 4 3 2 11" xfId="26824" xr:uid="{43AAE4C4-CA00-4AD7-A6B2-7B8E02917476}"/>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0597535E-5C47-4067-8E16-5477AC50EF28}"/>
    <cellStyle name="Normal 5 4 3 2 2 2 2 3" xfId="25159" xr:uid="{5A1F1010-6A57-43C5-9A1A-514D27A0E68E}"/>
    <cellStyle name="Normal 5 4 3 2 2 2 2 4" xfId="33599" xr:uid="{1C8F318A-8972-44F8-920A-32534750578D}"/>
    <cellStyle name="Normal 5 4 3 2 2 2 3" xfId="12501" xr:uid="{41D0D3DB-93EF-4F18-BBF5-56D4185191B0}"/>
    <cellStyle name="Normal 5 4 3 2 2 2 4" xfId="20942" xr:uid="{D6FEF734-021C-4A56-A763-8EB75C605A91}"/>
    <cellStyle name="Normal 5 4 3 2 2 2 5" xfId="29382" xr:uid="{7F7C06E2-94AC-49FE-9D15-4B837348E73E}"/>
    <cellStyle name="Normal 5 4 3 2 2 3" xfId="5247" xr:uid="{00000000-0005-0000-0000-0000031B0000}"/>
    <cellStyle name="Normal 5 4 3 2 2 3 2" xfId="14573" xr:uid="{D4C13AC9-9108-49E6-A60E-C631C05C586A}"/>
    <cellStyle name="Normal 5 4 3 2 2 3 3" xfId="23014" xr:uid="{F7D679B6-6D95-474F-8AF4-40A3DC1A9D9C}"/>
    <cellStyle name="Normal 5 4 3 2 2 3 4" xfId="31454" xr:uid="{89532BA8-DBED-4682-82A7-54B7A931EA5C}"/>
    <cellStyle name="Normal 5 4 3 2 2 4" xfId="9508" xr:uid="{1F9B5A8F-2A45-43C5-9422-E8BC84424A55}"/>
    <cellStyle name="Normal 5 4 3 2 2 5" xfId="10356" xr:uid="{710025BA-E51C-42DE-AD82-C809EB54CC46}"/>
    <cellStyle name="Normal 5 4 3 2 2 6" xfId="18797" xr:uid="{D449FB16-3599-494D-8E33-14D1A6E42C19}"/>
    <cellStyle name="Normal 5 4 3 2 2 7" xfId="27237" xr:uid="{5D680029-535A-4795-93EC-46912DF48033}"/>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D5855F1A-D5B4-440B-9487-7E0F32140461}"/>
    <cellStyle name="Normal 5 4 3 2 3 2 2 3" xfId="25572" xr:uid="{EBA8ACFC-1EC0-42DF-9C51-84969F23DCD8}"/>
    <cellStyle name="Normal 5 4 3 2 3 2 2 4" xfId="34012" xr:uid="{65D3B273-8A1A-4B8C-A3F9-47D5D1D47CA9}"/>
    <cellStyle name="Normal 5 4 3 2 3 2 3" xfId="12914" xr:uid="{9E8A3C57-9773-4709-BABC-E1893AC8B653}"/>
    <cellStyle name="Normal 5 4 3 2 3 2 4" xfId="21355" xr:uid="{6C485DA4-389D-4D40-9DD7-61D83AA3C9FD}"/>
    <cellStyle name="Normal 5 4 3 2 3 2 5" xfId="29795" xr:uid="{34908C0E-D11A-4656-97BE-C25D62CB231D}"/>
    <cellStyle name="Normal 5 4 3 2 3 3" xfId="5660" xr:uid="{00000000-0005-0000-0000-0000071B0000}"/>
    <cellStyle name="Normal 5 4 3 2 3 3 2" xfId="14986" xr:uid="{381CE051-5479-4330-8A70-CA44A54978A2}"/>
    <cellStyle name="Normal 5 4 3 2 3 3 3" xfId="23427" xr:uid="{DDF28A04-29AF-477D-861B-698E19F75772}"/>
    <cellStyle name="Normal 5 4 3 2 3 3 4" xfId="31867" xr:uid="{4BA334E5-995F-4EBB-B997-3A5F990F0F1D}"/>
    <cellStyle name="Normal 5 4 3 2 3 4" xfId="10769" xr:uid="{E4C076B2-49F6-478F-ADCE-3ADCDCC036BF}"/>
    <cellStyle name="Normal 5 4 3 2 3 5" xfId="19210" xr:uid="{94D711C1-3AA1-4925-B4B2-AF3BD8C545F3}"/>
    <cellStyle name="Normal 5 4 3 2 3 6" xfId="27650" xr:uid="{43C61A0A-398C-4D4D-BDF3-DD7962B7E6BD}"/>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889567E6-2115-4FC2-8E5D-1C707BEDD94C}"/>
    <cellStyle name="Normal 5 4 3 2 4 2 2 3" xfId="25985" xr:uid="{D4C8035C-A384-402C-8662-7AF79E179CAA}"/>
    <cellStyle name="Normal 5 4 3 2 4 2 2 4" xfId="34425" xr:uid="{47FDEF85-A3AE-4CC6-9ABF-0FB68A24A464}"/>
    <cellStyle name="Normal 5 4 3 2 4 2 3" xfId="13327" xr:uid="{1D38CDD4-B283-459F-BF96-0BD4AF1773E8}"/>
    <cellStyle name="Normal 5 4 3 2 4 2 4" xfId="21768" xr:uid="{DE5583EF-49A4-4471-9435-513784B12CE6}"/>
    <cellStyle name="Normal 5 4 3 2 4 2 5" xfId="30208" xr:uid="{3919C302-224E-4C12-9737-9BFA85DF6943}"/>
    <cellStyle name="Normal 5 4 3 2 4 3" xfId="6073" xr:uid="{00000000-0005-0000-0000-00000B1B0000}"/>
    <cellStyle name="Normal 5 4 3 2 4 3 2" xfId="15399" xr:uid="{9B333D66-6B83-478D-A96D-D6447A86636F}"/>
    <cellStyle name="Normal 5 4 3 2 4 3 3" xfId="23840" xr:uid="{CF60F21F-EBCE-4840-A874-CEBC63D21528}"/>
    <cellStyle name="Normal 5 4 3 2 4 3 4" xfId="32280" xr:uid="{568E3FBC-5CD3-4541-B217-43B08C8F0037}"/>
    <cellStyle name="Normal 5 4 3 2 4 4" xfId="11182" xr:uid="{A59D8482-222E-4509-9FAB-62AA5A038AA9}"/>
    <cellStyle name="Normal 5 4 3 2 4 5" xfId="19623" xr:uid="{E3E0AFF2-4139-457A-873C-FF46404E739F}"/>
    <cellStyle name="Normal 5 4 3 2 4 6" xfId="28063" xr:uid="{0E59B82D-5F98-455B-BB7A-D05DF65C9065}"/>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92301796-91F9-453E-8A46-028B21B182E8}"/>
    <cellStyle name="Normal 5 4 3 2 5 2 2 3" xfId="26398" xr:uid="{E60FAB8A-5F17-48FB-A31E-FB70FDAC7F93}"/>
    <cellStyle name="Normal 5 4 3 2 5 2 2 4" xfId="34838" xr:uid="{219BD645-A327-46A4-A81F-86B4FCF14CCF}"/>
    <cellStyle name="Normal 5 4 3 2 5 2 3" xfId="13740" xr:uid="{58D13209-5AA4-4F70-A7AE-099712411E9E}"/>
    <cellStyle name="Normal 5 4 3 2 5 2 4" xfId="22181" xr:uid="{5CFF2F28-199C-4DFC-B65D-A53287673B2E}"/>
    <cellStyle name="Normal 5 4 3 2 5 2 5" xfId="30621" xr:uid="{1E7B38A3-78A9-4036-B1BD-A5C9050873F0}"/>
    <cellStyle name="Normal 5 4 3 2 5 3" xfId="6486" xr:uid="{00000000-0005-0000-0000-00000F1B0000}"/>
    <cellStyle name="Normal 5 4 3 2 5 3 2" xfId="15812" xr:uid="{42669AB8-762D-445A-9833-F31B8AFA4B5E}"/>
    <cellStyle name="Normal 5 4 3 2 5 3 3" xfId="24253" xr:uid="{F3EF1503-D6F4-40BF-87CA-F3A6015C2D2C}"/>
    <cellStyle name="Normal 5 4 3 2 5 3 4" xfId="32693" xr:uid="{77AF41FB-A5E9-4A53-A543-543548C7BE22}"/>
    <cellStyle name="Normal 5 4 3 2 5 4" xfId="11595" xr:uid="{45FF0E00-C6A6-4A1A-96E6-CE06960A76B5}"/>
    <cellStyle name="Normal 5 4 3 2 5 5" xfId="20036" xr:uid="{1A4764D1-AB32-47EB-8523-ECBE50AF366F}"/>
    <cellStyle name="Normal 5 4 3 2 5 6" xfId="28476" xr:uid="{7F64F475-0AA0-4D8C-B102-D0300C53D7AC}"/>
    <cellStyle name="Normal 5 4 3 2 6" xfId="2616" xr:uid="{00000000-0005-0000-0000-0000101B0000}"/>
    <cellStyle name="Normal 5 4 3 2 6 2" xfId="6899" xr:uid="{00000000-0005-0000-0000-0000111B0000}"/>
    <cellStyle name="Normal 5 4 3 2 6 2 2" xfId="16225" xr:uid="{E83F81B3-66FB-48E7-8445-B33029D18EBF}"/>
    <cellStyle name="Normal 5 4 3 2 6 2 3" xfId="24666" xr:uid="{D02AC285-7C90-496F-95B3-7870CDEFD183}"/>
    <cellStyle name="Normal 5 4 3 2 6 2 4" xfId="33106" xr:uid="{4B07A407-4BF2-4D51-83CC-74DD1D6248A5}"/>
    <cellStyle name="Normal 5 4 3 2 6 3" xfId="12008" xr:uid="{2FBD776F-EDEB-4864-8577-525D346E05B0}"/>
    <cellStyle name="Normal 5 4 3 2 6 4" xfId="20449" xr:uid="{7E6312F9-1F7B-4FA3-8BC3-626BF2B23108}"/>
    <cellStyle name="Normal 5 4 3 2 6 5" xfId="28889" xr:uid="{B7E658F2-6020-4B05-91BD-1E242BED47EB}"/>
    <cellStyle name="Normal 5 4 3 2 7" xfId="4834" xr:uid="{00000000-0005-0000-0000-0000121B0000}"/>
    <cellStyle name="Normal 5 4 3 2 7 2" xfId="14160" xr:uid="{9DB5B247-84A8-4495-9980-6BB168CBB8AE}"/>
    <cellStyle name="Normal 5 4 3 2 7 3" xfId="22601" xr:uid="{B8D6A482-F073-46F0-BF9C-7B8CC7C8C7F8}"/>
    <cellStyle name="Normal 5 4 3 2 7 4" xfId="31041" xr:uid="{B9FDA2D9-74F2-4D3E-8572-413C634EBD3A}"/>
    <cellStyle name="Normal 5 4 3 2 8" xfId="9083" xr:uid="{206384C8-6AD8-4D28-8F99-3033A80D68FC}"/>
    <cellStyle name="Normal 5 4 3 2 9" xfId="9943" xr:uid="{1A576FD8-AFCB-4587-8E7F-7FD1B809BD24}"/>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CB521AEB-A969-43EE-B827-E4CDBA70302E}"/>
    <cellStyle name="Normal 5 4 3 3 2 2 3" xfId="25158" xr:uid="{B846AF45-EC4D-4539-B50B-A663C1A55D12}"/>
    <cellStyle name="Normal 5 4 3 3 2 2 4" xfId="33598" xr:uid="{8D7E10F6-AF90-4374-BC3A-B68B30E83CC9}"/>
    <cellStyle name="Normal 5 4 3 3 2 3" xfId="12500" xr:uid="{ED3AEBA5-4A16-431F-A002-433A21BBE59C}"/>
    <cellStyle name="Normal 5 4 3 3 2 4" xfId="20941" xr:uid="{59BEA321-8FD4-4B3C-8EB3-4DB01D6F4A2B}"/>
    <cellStyle name="Normal 5 4 3 3 2 5" xfId="29381" xr:uid="{66576CF4-F28F-468A-97DE-5713BB364692}"/>
    <cellStyle name="Normal 5 4 3 3 3" xfId="5246" xr:uid="{00000000-0005-0000-0000-0000161B0000}"/>
    <cellStyle name="Normal 5 4 3 3 3 2" xfId="14572" xr:uid="{EFF37A4F-0C6A-4E8D-A6CE-E3DB925A6D44}"/>
    <cellStyle name="Normal 5 4 3 3 3 3" xfId="23013" xr:uid="{AA2DBA2F-AB6B-4902-8EAC-21937CDB5721}"/>
    <cellStyle name="Normal 5 4 3 3 3 4" xfId="31453" xr:uid="{83668806-4F36-4AD7-B9B6-F5D93994C67A}"/>
    <cellStyle name="Normal 5 4 3 3 4" xfId="9301" xr:uid="{CB02BBE7-2E3D-4C67-A62E-BA84DE882039}"/>
    <cellStyle name="Normal 5 4 3 3 5" xfId="10355" xr:uid="{8B512B38-A6EF-41AD-9B7A-E5DD5239078F}"/>
    <cellStyle name="Normal 5 4 3 3 6" xfId="18796" xr:uid="{3F165575-7920-4276-B633-BB9B363818E8}"/>
    <cellStyle name="Normal 5 4 3 3 7" xfId="27236" xr:uid="{DA0B2867-1C55-4FB1-B1A9-3F28F81ED269}"/>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B1100E4C-866D-4A7E-9040-27495385A884}"/>
    <cellStyle name="Normal 5 4 3 4 2 2 3" xfId="25571" xr:uid="{A38DE01C-D335-42DC-8A28-D961ACBD4F52}"/>
    <cellStyle name="Normal 5 4 3 4 2 2 4" xfId="34011" xr:uid="{053FF77D-73D6-4570-B2CD-C2A7ADBF89F6}"/>
    <cellStyle name="Normal 5 4 3 4 2 3" xfId="12913" xr:uid="{EF721041-939F-469E-9A3C-85EC46C6B317}"/>
    <cellStyle name="Normal 5 4 3 4 2 4" xfId="21354" xr:uid="{5DB3753D-5753-4B59-A94E-BAF728B999B0}"/>
    <cellStyle name="Normal 5 4 3 4 2 5" xfId="29794" xr:uid="{A320EB3C-2785-449F-8C35-70DFDF9B05F4}"/>
    <cellStyle name="Normal 5 4 3 4 3" xfId="5659" xr:uid="{00000000-0005-0000-0000-00001A1B0000}"/>
    <cellStyle name="Normal 5 4 3 4 3 2" xfId="14985" xr:uid="{51ABE929-3684-4342-8D56-B4F82EA1BF29}"/>
    <cellStyle name="Normal 5 4 3 4 3 3" xfId="23426" xr:uid="{51E9EBAD-4C88-48D1-8EFA-CB7F0B3EFB17}"/>
    <cellStyle name="Normal 5 4 3 4 3 4" xfId="31866" xr:uid="{1DEBC794-66B8-4E6D-AFB4-B282370CE309}"/>
    <cellStyle name="Normal 5 4 3 4 4" xfId="10768" xr:uid="{A5260D56-C801-4723-AAF9-EBACBCE18C2B}"/>
    <cellStyle name="Normal 5 4 3 4 5" xfId="19209" xr:uid="{18A6E921-4E79-405A-ADB5-083512D13711}"/>
    <cellStyle name="Normal 5 4 3 4 6" xfId="27649" xr:uid="{132625F5-FDB5-4882-8A7D-D8F630DC7D55}"/>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BC8042A5-30FB-462C-B6A2-13363F20D4F9}"/>
    <cellStyle name="Normal 5 4 3 5 2 2 3" xfId="25984" xr:uid="{A0A5097D-7B86-4B87-9550-A79DD9F5ACFE}"/>
    <cellStyle name="Normal 5 4 3 5 2 2 4" xfId="34424" xr:uid="{F03E3654-B684-4EF9-BB58-B4192BD37106}"/>
    <cellStyle name="Normal 5 4 3 5 2 3" xfId="13326" xr:uid="{54E13351-EF06-49A4-8F6A-F0D2032842A3}"/>
    <cellStyle name="Normal 5 4 3 5 2 4" xfId="21767" xr:uid="{75765492-C458-4AB8-86F3-BC34D4C5F749}"/>
    <cellStyle name="Normal 5 4 3 5 2 5" xfId="30207" xr:uid="{D1A556C4-4002-483D-A6F4-D145DFF5A188}"/>
    <cellStyle name="Normal 5 4 3 5 3" xfId="6072" xr:uid="{00000000-0005-0000-0000-00001E1B0000}"/>
    <cellStyle name="Normal 5 4 3 5 3 2" xfId="15398" xr:uid="{C0FE07A8-8C47-4B0D-976E-664CB4094EEB}"/>
    <cellStyle name="Normal 5 4 3 5 3 3" xfId="23839" xr:uid="{F5047CAF-ADF1-4351-8C21-E3DBA55646FD}"/>
    <cellStyle name="Normal 5 4 3 5 3 4" xfId="32279" xr:uid="{2EA03A46-C88C-4A94-97FC-78260308C74D}"/>
    <cellStyle name="Normal 5 4 3 5 4" xfId="11181" xr:uid="{C8D55AFA-AE30-4D8D-BAC4-1C7A0BB85A5F}"/>
    <cellStyle name="Normal 5 4 3 5 5" xfId="19622" xr:uid="{4644A5E4-76A6-43A9-9AEA-30B2542F065D}"/>
    <cellStyle name="Normal 5 4 3 5 6" xfId="28062" xr:uid="{1813AD3B-C64E-43E4-B1D3-CD1418EC57C9}"/>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80DFA83D-255C-4E55-81C4-04A08F81F13F}"/>
    <cellStyle name="Normal 5 4 3 6 2 2 3" xfId="26397" xr:uid="{3DFC7D68-C296-4D00-B360-B44E09389197}"/>
    <cellStyle name="Normal 5 4 3 6 2 2 4" xfId="34837" xr:uid="{559130CE-56E7-4788-8724-994F28167BDD}"/>
    <cellStyle name="Normal 5 4 3 6 2 3" xfId="13739" xr:uid="{3F2F4356-25D0-4417-96B9-DBFA2E528018}"/>
    <cellStyle name="Normal 5 4 3 6 2 4" xfId="22180" xr:uid="{4CD9DDD7-2779-46EF-A523-ADE3CBE93FF1}"/>
    <cellStyle name="Normal 5 4 3 6 2 5" xfId="30620" xr:uid="{7304ED41-3FAA-4388-B458-53BF3B0CD911}"/>
    <cellStyle name="Normal 5 4 3 6 3" xfId="6485" xr:uid="{00000000-0005-0000-0000-0000221B0000}"/>
    <cellStyle name="Normal 5 4 3 6 3 2" xfId="15811" xr:uid="{3826F748-BE09-4A79-BF0B-DB349AF3521D}"/>
    <cellStyle name="Normal 5 4 3 6 3 3" xfId="24252" xr:uid="{2FB44B26-3D0A-44D0-8950-6F72EA1832EC}"/>
    <cellStyle name="Normal 5 4 3 6 3 4" xfId="32692" xr:uid="{7440F013-4F34-49B3-9D48-CDCDD15A9AD2}"/>
    <cellStyle name="Normal 5 4 3 6 4" xfId="11594" xr:uid="{B8F830A1-BEC1-41E5-9A0A-5ECF1360967B}"/>
    <cellStyle name="Normal 5 4 3 6 5" xfId="20035" xr:uid="{BBE90279-2510-490C-9957-6D05C05249D7}"/>
    <cellStyle name="Normal 5 4 3 6 6" xfId="28475" xr:uid="{32858B94-DB67-4533-9723-8D6648A58E04}"/>
    <cellStyle name="Normal 5 4 3 7" xfId="2615" xr:uid="{00000000-0005-0000-0000-0000231B0000}"/>
    <cellStyle name="Normal 5 4 3 7 2" xfId="6898" xr:uid="{00000000-0005-0000-0000-0000241B0000}"/>
    <cellStyle name="Normal 5 4 3 7 2 2" xfId="16224" xr:uid="{5C7EC3DE-887C-4112-A56C-BA491B914BAB}"/>
    <cellStyle name="Normal 5 4 3 7 2 3" xfId="24665" xr:uid="{17CEF373-ABCE-465E-A9D2-97EB669DE468}"/>
    <cellStyle name="Normal 5 4 3 7 2 4" xfId="33105" xr:uid="{B222C5CB-AA4C-46E5-A24D-CB4C0E33B782}"/>
    <cellStyle name="Normal 5 4 3 7 3" xfId="12007" xr:uid="{A2E7A06C-4DE9-423E-BB35-40E4D01B1ED7}"/>
    <cellStyle name="Normal 5 4 3 7 4" xfId="20448" xr:uid="{358F0562-68D1-4933-8B2D-CD454CBC1485}"/>
    <cellStyle name="Normal 5 4 3 7 5" xfId="28888" xr:uid="{008C64EE-11AB-4C09-9DE7-CA77969EF005}"/>
    <cellStyle name="Normal 5 4 3 8" xfId="4833" xr:uid="{00000000-0005-0000-0000-0000251B0000}"/>
    <cellStyle name="Normal 5 4 3 8 2" xfId="14159" xr:uid="{35610798-1807-4FB2-8414-08C485547268}"/>
    <cellStyle name="Normal 5 4 3 8 3" xfId="22600" xr:uid="{474AB00F-EAC8-4853-A3A5-F18E274BDA12}"/>
    <cellStyle name="Normal 5 4 3 8 4" xfId="31040" xr:uid="{E50FF9F6-8B01-4373-B465-9241C5B0F905}"/>
    <cellStyle name="Normal 5 4 3 9" xfId="8876" xr:uid="{D636A598-175F-46A4-8005-1A20EC6CCEC9}"/>
    <cellStyle name="Normal 5 4 4" xfId="463" xr:uid="{00000000-0005-0000-0000-0000261B0000}"/>
    <cellStyle name="Normal 5 4 4 10" xfId="18385" xr:uid="{9D915FF7-0CE5-4032-B462-DB26014F4E9E}"/>
    <cellStyle name="Normal 5 4 4 11" xfId="26825" xr:uid="{60CC5E9D-D1D7-4230-9B75-CD1B5DC07546}"/>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9573606D-09C2-4B47-A3F1-6D3E4057252E}"/>
    <cellStyle name="Normal 5 4 4 2 2 2 3" xfId="25160" xr:uid="{9C6D98B3-AB24-4755-823B-C9E0206F8047}"/>
    <cellStyle name="Normal 5 4 4 2 2 2 4" xfId="33600" xr:uid="{C63C5460-B392-462F-8792-19B27255490A}"/>
    <cellStyle name="Normal 5 4 4 2 2 3" xfId="12502" xr:uid="{29732ABC-2BCE-4D68-ADD1-8F3B64372677}"/>
    <cellStyle name="Normal 5 4 4 2 2 4" xfId="20943" xr:uid="{8C1DDD6B-1CB1-4AF6-8B65-868C0A4F5097}"/>
    <cellStyle name="Normal 5 4 4 2 2 5" xfId="29383" xr:uid="{348F6267-42AD-4A46-B340-CA9AA063E8F1}"/>
    <cellStyle name="Normal 5 4 4 2 3" xfId="5248" xr:uid="{00000000-0005-0000-0000-00002A1B0000}"/>
    <cellStyle name="Normal 5 4 4 2 3 2" xfId="14574" xr:uid="{3969656E-05EC-491D-8057-0F9B86485AE8}"/>
    <cellStyle name="Normal 5 4 4 2 3 3" xfId="23015" xr:uid="{614D9D59-23CB-45BA-B586-C3614386FAEE}"/>
    <cellStyle name="Normal 5 4 4 2 3 4" xfId="31455" xr:uid="{7F2522AA-FE9E-45F7-A8E0-1219808CFE16}"/>
    <cellStyle name="Normal 5 4 4 2 4" xfId="9405" xr:uid="{F05DE0DC-A0AA-4CEB-9ABC-0D70F781B819}"/>
    <cellStyle name="Normal 5 4 4 2 5" xfId="10357" xr:uid="{F013E702-DDF7-4667-9A9A-CA57BF0F3D66}"/>
    <cellStyle name="Normal 5 4 4 2 6" xfId="18798" xr:uid="{CA1173A2-75AE-4455-A2D3-32D060D23F29}"/>
    <cellStyle name="Normal 5 4 4 2 7" xfId="27238" xr:uid="{F1DCBCEA-91C5-4D05-9265-34D2C59CDF82}"/>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E26DE98D-1EED-4ABD-973E-258A56873E38}"/>
    <cellStyle name="Normal 5 4 4 3 2 2 3" xfId="25573" xr:uid="{88653D05-1EA7-41A5-B6BC-730FB193CA47}"/>
    <cellStyle name="Normal 5 4 4 3 2 2 4" xfId="34013" xr:uid="{A8C16C4E-548D-470E-AEA8-F5B9B0661284}"/>
    <cellStyle name="Normal 5 4 4 3 2 3" xfId="12915" xr:uid="{3D9CC363-6E16-4E9F-B039-1587D8169DAD}"/>
    <cellStyle name="Normal 5 4 4 3 2 4" xfId="21356" xr:uid="{327B2A8C-F61C-4C07-9BA6-4A830F6C3423}"/>
    <cellStyle name="Normal 5 4 4 3 2 5" xfId="29796" xr:uid="{292579EE-F1FB-442B-AB18-C0F20BA327E5}"/>
    <cellStyle name="Normal 5 4 4 3 3" xfId="5661" xr:uid="{00000000-0005-0000-0000-00002E1B0000}"/>
    <cellStyle name="Normal 5 4 4 3 3 2" xfId="14987" xr:uid="{97D5ECED-8DDE-4AD7-8D00-6B942F0DF55F}"/>
    <cellStyle name="Normal 5 4 4 3 3 3" xfId="23428" xr:uid="{9EC5FAA7-4D20-4CF0-A087-F80C1F318745}"/>
    <cellStyle name="Normal 5 4 4 3 3 4" xfId="31868" xr:uid="{4BDCC877-F764-464E-9284-0D907381A8B7}"/>
    <cellStyle name="Normal 5 4 4 3 4" xfId="10770" xr:uid="{AF205C16-3B42-48FC-9A62-C64BDB414CE3}"/>
    <cellStyle name="Normal 5 4 4 3 5" xfId="19211" xr:uid="{88AC73DB-A33B-454F-A49B-30CE1B1A08C9}"/>
    <cellStyle name="Normal 5 4 4 3 6" xfId="27651" xr:uid="{F233DAA7-15AF-478C-B124-3C78F41E3637}"/>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06A0C579-52E1-4657-B141-396F39211EA5}"/>
    <cellStyle name="Normal 5 4 4 4 2 2 3" xfId="25986" xr:uid="{AEEF64B1-25A2-4B5C-9D5A-71C14DA38680}"/>
    <cellStyle name="Normal 5 4 4 4 2 2 4" xfId="34426" xr:uid="{95C830E2-8674-49E9-9E69-74357CF0B794}"/>
    <cellStyle name="Normal 5 4 4 4 2 3" xfId="13328" xr:uid="{032953E8-F454-4346-8157-589EEB8D95B9}"/>
    <cellStyle name="Normal 5 4 4 4 2 4" xfId="21769" xr:uid="{9EDAEC56-B3A3-46B9-BA7E-E1670696867D}"/>
    <cellStyle name="Normal 5 4 4 4 2 5" xfId="30209" xr:uid="{FB7A8D29-769B-4EC2-A6F2-4794F24A1CDE}"/>
    <cellStyle name="Normal 5 4 4 4 3" xfId="6074" xr:uid="{00000000-0005-0000-0000-0000321B0000}"/>
    <cellStyle name="Normal 5 4 4 4 3 2" xfId="15400" xr:uid="{65F7215B-2A1E-40DA-AE76-6A03FABC7219}"/>
    <cellStyle name="Normal 5 4 4 4 3 3" xfId="23841" xr:uid="{AE0838AA-50E5-44A2-A02A-8EBC17C48F1B}"/>
    <cellStyle name="Normal 5 4 4 4 3 4" xfId="32281" xr:uid="{81538DAE-166D-4D70-96B0-ED73D0BA99C7}"/>
    <cellStyle name="Normal 5 4 4 4 4" xfId="11183" xr:uid="{FCA3F473-6430-43A6-A151-DCC6C2CBCF1D}"/>
    <cellStyle name="Normal 5 4 4 4 5" xfId="19624" xr:uid="{D90DADEC-E1DD-446E-B1DC-19BD88CFF939}"/>
    <cellStyle name="Normal 5 4 4 4 6" xfId="28064" xr:uid="{0C0716B2-B5F7-4F60-957A-5875FC14C5D4}"/>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4BB71ECE-9880-4B92-A9B9-EBD8EADEBC07}"/>
    <cellStyle name="Normal 5 4 4 5 2 2 3" xfId="26399" xr:uid="{28C01A6E-186D-4B41-892D-13E75182272B}"/>
    <cellStyle name="Normal 5 4 4 5 2 2 4" xfId="34839" xr:uid="{04CC0430-6FAA-4F0D-B012-33DC20D46225}"/>
    <cellStyle name="Normal 5 4 4 5 2 3" xfId="13741" xr:uid="{37C3990A-ECFB-43A1-B89B-0F3849D80285}"/>
    <cellStyle name="Normal 5 4 4 5 2 4" xfId="22182" xr:uid="{633E21F4-91A7-4EA3-9ED9-F739D0FC36A4}"/>
    <cellStyle name="Normal 5 4 4 5 2 5" xfId="30622" xr:uid="{BE8B04C7-4854-4A3F-B758-891F27F42C19}"/>
    <cellStyle name="Normal 5 4 4 5 3" xfId="6487" xr:uid="{00000000-0005-0000-0000-0000361B0000}"/>
    <cellStyle name="Normal 5 4 4 5 3 2" xfId="15813" xr:uid="{A0659A72-9035-4270-8BAA-90305EBC79D0}"/>
    <cellStyle name="Normal 5 4 4 5 3 3" xfId="24254" xr:uid="{A518833B-02EB-4FDE-9BD5-4390B80D6B59}"/>
    <cellStyle name="Normal 5 4 4 5 3 4" xfId="32694" xr:uid="{666246EC-87D8-4657-B531-D930DCC939DA}"/>
    <cellStyle name="Normal 5 4 4 5 4" xfId="11596" xr:uid="{0D216479-7ACF-4783-AD58-31AF3B6BFBC2}"/>
    <cellStyle name="Normal 5 4 4 5 5" xfId="20037" xr:uid="{BA13926E-1F80-4716-9816-64D237A0D964}"/>
    <cellStyle name="Normal 5 4 4 5 6" xfId="28477" xr:uid="{BFD94995-E853-4EB7-AC14-0C4179E34527}"/>
    <cellStyle name="Normal 5 4 4 6" xfId="2617" xr:uid="{00000000-0005-0000-0000-0000371B0000}"/>
    <cellStyle name="Normal 5 4 4 6 2" xfId="6900" xr:uid="{00000000-0005-0000-0000-0000381B0000}"/>
    <cellStyle name="Normal 5 4 4 6 2 2" xfId="16226" xr:uid="{AC651070-763A-4F2F-B853-E09217362AAA}"/>
    <cellStyle name="Normal 5 4 4 6 2 3" xfId="24667" xr:uid="{13D43799-D4DA-4B84-8D0E-795CDEB53BC9}"/>
    <cellStyle name="Normal 5 4 4 6 2 4" xfId="33107" xr:uid="{79A55049-006F-4765-A905-120DF0C18A2D}"/>
    <cellStyle name="Normal 5 4 4 6 3" xfId="12009" xr:uid="{8276AAD8-EA92-4C86-8B52-62C21F8CF183}"/>
    <cellStyle name="Normal 5 4 4 6 4" xfId="20450" xr:uid="{2D37F8AF-AD7C-4F73-8ECC-4BAE00CA6AA7}"/>
    <cellStyle name="Normal 5 4 4 6 5" xfId="28890" xr:uid="{34D48F87-106A-4F1B-85D3-E1CBE949ACE2}"/>
    <cellStyle name="Normal 5 4 4 7" xfId="4835" xr:uid="{00000000-0005-0000-0000-0000391B0000}"/>
    <cellStyle name="Normal 5 4 4 7 2" xfId="14161" xr:uid="{9F96E06D-05C7-4582-9300-6A926C830F0E}"/>
    <cellStyle name="Normal 5 4 4 7 3" xfId="22602" xr:uid="{3EAFE1FF-772B-492C-BAB9-E869E1499DF4}"/>
    <cellStyle name="Normal 5 4 4 7 4" xfId="31042" xr:uid="{1ABFB860-CA6F-4BDB-BF91-FFB69718F617}"/>
    <cellStyle name="Normal 5 4 4 8" xfId="8980" xr:uid="{B1DB48A4-94CB-4CC2-8D4B-8FD478363D48}"/>
    <cellStyle name="Normal 5 4 4 9" xfId="9944" xr:uid="{424EF12C-A26A-44B0-AF98-81538DE77411}"/>
    <cellStyle name="Normal 5 4 5" xfId="930" xr:uid="{00000000-0005-0000-0000-00003A1B0000}"/>
    <cellStyle name="Normal 5 4 5 2" xfId="3164" xr:uid="{00000000-0005-0000-0000-00003B1B0000}"/>
    <cellStyle name="Normal 5 4 5 2 2" xfId="7386" xr:uid="{00000000-0005-0000-0000-00003C1B0000}"/>
    <cellStyle name="Normal 5 4 5 2 2 2" xfId="16712" xr:uid="{569BC4FB-C6AE-4475-8388-F80BB8FF8792}"/>
    <cellStyle name="Normal 5 4 5 2 2 3" xfId="25153" xr:uid="{F1C7952D-279C-4123-8724-5E14E6465DBC}"/>
    <cellStyle name="Normal 5 4 5 2 2 4" xfId="33593" xr:uid="{B4E73E91-0085-474E-A491-1E0201F7635F}"/>
    <cellStyle name="Normal 5 4 5 2 3" xfId="12495" xr:uid="{CC5FA890-81A9-4DC5-8825-B36A602DA131}"/>
    <cellStyle name="Normal 5 4 5 2 4" xfId="20936" xr:uid="{2EAB38B7-5770-43A4-A36C-116E7795E808}"/>
    <cellStyle name="Normal 5 4 5 2 5" xfId="29376" xr:uid="{3E877D8C-A63D-41B2-95C3-2C1FABB0CC98}"/>
    <cellStyle name="Normal 5 4 5 3" xfId="5241" xr:uid="{00000000-0005-0000-0000-00003D1B0000}"/>
    <cellStyle name="Normal 5 4 5 3 2" xfId="14567" xr:uid="{055588DD-11C9-405A-8347-A12557502564}"/>
    <cellStyle name="Normal 5 4 5 3 3" xfId="23008" xr:uid="{AA2C7AA8-CF51-40A7-A154-4628438AEA21}"/>
    <cellStyle name="Normal 5 4 5 3 4" xfId="31448" xr:uid="{A3530B38-112B-4C9C-B335-F7176796F704}"/>
    <cellStyle name="Normal 5 4 5 4" xfId="9197" xr:uid="{44FF0EFB-444B-4C40-B695-8C256ADB5563}"/>
    <cellStyle name="Normal 5 4 5 5" xfId="10350" xr:uid="{DFDAE10E-CA40-4EC7-9549-30E30164641C}"/>
    <cellStyle name="Normal 5 4 5 6" xfId="18791" xr:uid="{DE7F1455-C341-4542-A4E4-99F863815504}"/>
    <cellStyle name="Normal 5 4 5 7" xfId="27231" xr:uid="{6B296CD6-8476-4A64-B31D-56C07A672374}"/>
    <cellStyle name="Normal 5 4 6" xfId="1347" xr:uid="{00000000-0005-0000-0000-00003E1B0000}"/>
    <cellStyle name="Normal 5 4 6 2" xfId="3577" xr:uid="{00000000-0005-0000-0000-00003F1B0000}"/>
    <cellStyle name="Normal 5 4 6 2 2" xfId="7799" xr:uid="{00000000-0005-0000-0000-0000401B0000}"/>
    <cellStyle name="Normal 5 4 6 2 2 2" xfId="17125" xr:uid="{44753B47-283A-46AB-86ED-419ADDC0555D}"/>
    <cellStyle name="Normal 5 4 6 2 2 3" xfId="25566" xr:uid="{0E270825-6D65-41C2-B024-FE6ECE31F715}"/>
    <cellStyle name="Normal 5 4 6 2 2 4" xfId="34006" xr:uid="{1317119B-4923-4EEE-B206-DB295D5D1C55}"/>
    <cellStyle name="Normal 5 4 6 2 3" xfId="12908" xr:uid="{89AC863D-0F6A-416B-B5EA-6A6F26DF9079}"/>
    <cellStyle name="Normal 5 4 6 2 4" xfId="21349" xr:uid="{17F5BF8F-E6B5-4352-B733-031F84C4355D}"/>
    <cellStyle name="Normal 5 4 6 2 5" xfId="29789" xr:uid="{E392E417-4667-46A7-8E60-76B89B98BC4C}"/>
    <cellStyle name="Normal 5 4 6 3" xfId="5654" xr:uid="{00000000-0005-0000-0000-0000411B0000}"/>
    <cellStyle name="Normal 5 4 6 3 2" xfId="14980" xr:uid="{C5A0BAEA-3539-4D60-AE9A-85A362BF87FE}"/>
    <cellStyle name="Normal 5 4 6 3 3" xfId="23421" xr:uid="{C5738C56-8A94-4197-8CE6-C196B1E3335C}"/>
    <cellStyle name="Normal 5 4 6 3 4" xfId="31861" xr:uid="{D236A2E3-86D4-4F9A-A1C2-C49AEA92DFED}"/>
    <cellStyle name="Normal 5 4 6 4" xfId="10763" xr:uid="{2FC25A0B-0888-4B53-8FF3-915FBDA6169E}"/>
    <cellStyle name="Normal 5 4 6 5" xfId="19204" xr:uid="{5D5A8F22-7EA8-4593-98AF-7336E9942322}"/>
    <cellStyle name="Normal 5 4 6 6" xfId="27644" xr:uid="{3A63D970-77C0-4B31-B96B-59031C2D57E9}"/>
    <cellStyle name="Normal 5 4 7" xfId="1760" xr:uid="{00000000-0005-0000-0000-0000421B0000}"/>
    <cellStyle name="Normal 5 4 7 2" xfId="3990" xr:uid="{00000000-0005-0000-0000-0000431B0000}"/>
    <cellStyle name="Normal 5 4 7 2 2" xfId="8212" xr:uid="{00000000-0005-0000-0000-0000441B0000}"/>
    <cellStyle name="Normal 5 4 7 2 2 2" xfId="17538" xr:uid="{5C7EAC81-A907-466A-928E-C9765C6CF3F5}"/>
    <cellStyle name="Normal 5 4 7 2 2 3" xfId="25979" xr:uid="{CC1B8CF7-80DD-4B81-AA8F-5ACEBA9C940F}"/>
    <cellStyle name="Normal 5 4 7 2 2 4" xfId="34419" xr:uid="{BB128827-9A33-4EAD-A991-20A423F12A65}"/>
    <cellStyle name="Normal 5 4 7 2 3" xfId="13321" xr:uid="{6B485878-FCFF-4649-A8E0-5C981B92AF3D}"/>
    <cellStyle name="Normal 5 4 7 2 4" xfId="21762" xr:uid="{73F85DA8-890B-4CAE-A892-20F3BC3BAE78}"/>
    <cellStyle name="Normal 5 4 7 2 5" xfId="30202" xr:uid="{CFF95ADC-909A-4388-A206-9C88C71360CD}"/>
    <cellStyle name="Normal 5 4 7 3" xfId="6067" xr:uid="{00000000-0005-0000-0000-0000451B0000}"/>
    <cellStyle name="Normal 5 4 7 3 2" xfId="15393" xr:uid="{D69D242B-0C06-4DDD-98A4-C3384A91DDBC}"/>
    <cellStyle name="Normal 5 4 7 3 3" xfId="23834" xr:uid="{4FF0051B-BD60-469A-BAA5-63A98A36D8A3}"/>
    <cellStyle name="Normal 5 4 7 3 4" xfId="32274" xr:uid="{639335C2-D8D9-47BA-99AD-61A31DE13403}"/>
    <cellStyle name="Normal 5 4 7 4" xfId="11176" xr:uid="{CBE80FCF-202C-41A2-B1A7-A8F7309007FE}"/>
    <cellStyle name="Normal 5 4 7 5" xfId="19617" xr:uid="{16339BED-C187-46C4-B3BB-2F3341B4A2EE}"/>
    <cellStyle name="Normal 5 4 7 6" xfId="28057" xr:uid="{78393684-14B7-4580-9E26-C6F6D712546E}"/>
    <cellStyle name="Normal 5 4 8" xfId="2174" xr:uid="{00000000-0005-0000-0000-0000461B0000}"/>
    <cellStyle name="Normal 5 4 8 2" xfId="4403" xr:uid="{00000000-0005-0000-0000-0000471B0000}"/>
    <cellStyle name="Normal 5 4 8 2 2" xfId="8625" xr:uid="{00000000-0005-0000-0000-0000481B0000}"/>
    <cellStyle name="Normal 5 4 8 2 2 2" xfId="17951" xr:uid="{A5C9D585-389C-492B-A559-78777EDA880D}"/>
    <cellStyle name="Normal 5 4 8 2 2 3" xfId="26392" xr:uid="{7D26B571-5865-4895-9F24-BEC4EE82B525}"/>
    <cellStyle name="Normal 5 4 8 2 2 4" xfId="34832" xr:uid="{9DD49DDE-E292-4124-A044-A069E6325154}"/>
    <cellStyle name="Normal 5 4 8 2 3" xfId="13734" xr:uid="{FB4E0840-59F4-4CB5-8EBB-63164CEB5BE3}"/>
    <cellStyle name="Normal 5 4 8 2 4" xfId="22175" xr:uid="{236ED941-089D-403B-95B7-75453DA9B15C}"/>
    <cellStyle name="Normal 5 4 8 2 5" xfId="30615" xr:uid="{EC73C564-B346-4F9E-9664-65A16186DA8A}"/>
    <cellStyle name="Normal 5 4 8 3" xfId="6480" xr:uid="{00000000-0005-0000-0000-0000491B0000}"/>
    <cellStyle name="Normal 5 4 8 3 2" xfId="15806" xr:uid="{78E24AE4-F83C-4603-8BCD-9203F4046C9D}"/>
    <cellStyle name="Normal 5 4 8 3 3" xfId="24247" xr:uid="{6226C7E3-1180-464D-A6CF-099EF00878AF}"/>
    <cellStyle name="Normal 5 4 8 3 4" xfId="32687" xr:uid="{D37B1FA3-C759-4D7C-9703-F22B58D52052}"/>
    <cellStyle name="Normal 5 4 8 4" xfId="11589" xr:uid="{110CB3DB-B2AA-48FD-9C7F-7E9B3C750C5C}"/>
    <cellStyle name="Normal 5 4 8 5" xfId="20030" xr:uid="{839D1A0B-63EA-46B7-9388-61488963EEE4}"/>
    <cellStyle name="Normal 5 4 8 6" xfId="28470" xr:uid="{A33B0104-11C8-43E8-9199-CE7A4B287EB6}"/>
    <cellStyle name="Normal 5 4 9" xfId="2610" xr:uid="{00000000-0005-0000-0000-00004A1B0000}"/>
    <cellStyle name="Normal 5 4 9 2" xfId="6893" xr:uid="{00000000-0005-0000-0000-00004B1B0000}"/>
    <cellStyle name="Normal 5 4 9 2 2" xfId="16219" xr:uid="{6CC818C6-1260-4A87-8305-BDBC9B398D33}"/>
    <cellStyle name="Normal 5 4 9 2 3" xfId="24660" xr:uid="{A512BE0F-9DC9-493B-A510-561EC3BCD63D}"/>
    <cellStyle name="Normal 5 4 9 2 4" xfId="33100" xr:uid="{6E38D229-796F-4FA2-89EB-38D9E0487B35}"/>
    <cellStyle name="Normal 5 4 9 3" xfId="12002" xr:uid="{ABF172AF-D588-4962-94A6-D283E2501A0A}"/>
    <cellStyle name="Normal 5 4 9 4" xfId="20443" xr:uid="{91401527-56AA-40FC-A6DE-1BF6E5C1D47D}"/>
    <cellStyle name="Normal 5 4 9 5" xfId="28883" xr:uid="{D2CA2380-4C41-4FB4-976E-F202B913CF38}"/>
    <cellStyle name="Normal 5 5" xfId="464" xr:uid="{00000000-0005-0000-0000-00004C1B0000}"/>
    <cellStyle name="Normal 5 5 10" xfId="8826" xr:uid="{5746674A-546A-44BF-97FB-6D298BF3AD61}"/>
    <cellStyle name="Normal 5 5 11" xfId="9945" xr:uid="{49EEFAFE-D3A8-472A-9AF1-998B676DDAD7}"/>
    <cellStyle name="Normal 5 5 12" xfId="18386" xr:uid="{2FAD327E-AC13-47CB-A889-27FF27D884B3}"/>
    <cellStyle name="Normal 5 5 13" xfId="26826" xr:uid="{F23CADAD-5326-4EF0-BF36-ED7671EF5DF2}"/>
    <cellStyle name="Normal 5 5 2" xfId="465" xr:uid="{00000000-0005-0000-0000-00004D1B0000}"/>
    <cellStyle name="Normal 5 5 2 10" xfId="9946" xr:uid="{5006BFDE-BB3D-4B7A-84C1-CAAE10D33393}"/>
    <cellStyle name="Normal 5 5 2 11" xfId="18387" xr:uid="{99FE40EC-2734-4AF4-9C6F-ED85EF7D10AB}"/>
    <cellStyle name="Normal 5 5 2 12" xfId="26827" xr:uid="{C352316F-C229-4DBF-B3A0-C8732F5F0F23}"/>
    <cellStyle name="Normal 5 5 2 2" xfId="466" xr:uid="{00000000-0005-0000-0000-00004E1B0000}"/>
    <cellStyle name="Normal 5 5 2 2 10" xfId="18388" xr:uid="{9BDA2EE8-2A84-4103-920E-062C39F993E3}"/>
    <cellStyle name="Normal 5 5 2 2 11" xfId="26828" xr:uid="{65E64F14-0323-4370-86C4-5551CB2B8843}"/>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D360B4E1-0A8C-419F-8AA2-54D63983C000}"/>
    <cellStyle name="Normal 5 5 2 2 2 2 2 3" xfId="25163" xr:uid="{42E70971-10B9-4E3E-BDF4-04D012004471}"/>
    <cellStyle name="Normal 5 5 2 2 2 2 2 4" xfId="33603" xr:uid="{6938078B-C28A-41C2-9A99-BC24436DDE14}"/>
    <cellStyle name="Normal 5 5 2 2 2 2 3" xfId="12505" xr:uid="{8F718531-3B4C-48D0-AEE0-D037A8C0E3CF}"/>
    <cellStyle name="Normal 5 5 2 2 2 2 4" xfId="20946" xr:uid="{903ED0CD-85F3-4CD4-9718-70864BFAA579}"/>
    <cellStyle name="Normal 5 5 2 2 2 2 5" xfId="29386" xr:uid="{DAE65B16-2689-4D41-95DA-8CAB0B732D9D}"/>
    <cellStyle name="Normal 5 5 2 2 2 3" xfId="5251" xr:uid="{00000000-0005-0000-0000-0000521B0000}"/>
    <cellStyle name="Normal 5 5 2 2 2 3 2" xfId="14577" xr:uid="{1526B5A2-604E-4C7F-8942-2F89B7E841AD}"/>
    <cellStyle name="Normal 5 5 2 2 2 3 3" xfId="23018" xr:uid="{AA4E2B59-6B56-4216-A33E-15CBC312B989}"/>
    <cellStyle name="Normal 5 5 2 2 2 3 4" xfId="31458" xr:uid="{01A1B867-9B92-4E40-8D60-5543FBB05797}"/>
    <cellStyle name="Normal 5 5 2 2 2 4" xfId="9561" xr:uid="{FF1EB4DD-E23E-4228-816B-D59B021F724D}"/>
    <cellStyle name="Normal 5 5 2 2 2 5" xfId="10360" xr:uid="{7EE247BD-36F2-4CBC-A993-4C99A073582A}"/>
    <cellStyle name="Normal 5 5 2 2 2 6" xfId="18801" xr:uid="{F87360E8-87F0-43F3-959C-BC6B9EEFC309}"/>
    <cellStyle name="Normal 5 5 2 2 2 7" xfId="27241" xr:uid="{B2AC8A87-9E4A-47A8-986D-3C33C234C488}"/>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A341EBA2-010F-41EA-B767-41C442D4EBA5}"/>
    <cellStyle name="Normal 5 5 2 2 3 2 2 3" xfId="25576" xr:uid="{D56D157C-651B-4B1B-92D3-EE8C39938C68}"/>
    <cellStyle name="Normal 5 5 2 2 3 2 2 4" xfId="34016" xr:uid="{0916A606-FF40-4BAB-A2AF-355183C6E691}"/>
    <cellStyle name="Normal 5 5 2 2 3 2 3" xfId="12918" xr:uid="{1515620A-908D-4B7B-B8B1-CA3C74FC3378}"/>
    <cellStyle name="Normal 5 5 2 2 3 2 4" xfId="21359" xr:uid="{EEF028AF-4321-4646-9DB8-AE17FB4758DC}"/>
    <cellStyle name="Normal 5 5 2 2 3 2 5" xfId="29799" xr:uid="{622FF10C-9D69-4201-A638-6FC74603638E}"/>
    <cellStyle name="Normal 5 5 2 2 3 3" xfId="5664" xr:uid="{00000000-0005-0000-0000-0000561B0000}"/>
    <cellStyle name="Normal 5 5 2 2 3 3 2" xfId="14990" xr:uid="{C63DB938-F755-4DED-93FD-82A0353657B9}"/>
    <cellStyle name="Normal 5 5 2 2 3 3 3" xfId="23431" xr:uid="{BB4E0592-6220-481E-93FE-E99AAD43C897}"/>
    <cellStyle name="Normal 5 5 2 2 3 3 4" xfId="31871" xr:uid="{58094F36-7371-45B5-BCFF-0CE8D3985A42}"/>
    <cellStyle name="Normal 5 5 2 2 3 4" xfId="10773" xr:uid="{98E6DBFF-14B3-4960-99C5-22C09C73C3D7}"/>
    <cellStyle name="Normal 5 5 2 2 3 5" xfId="19214" xr:uid="{A3336165-A5F7-41C8-AF69-1A2B1C993D56}"/>
    <cellStyle name="Normal 5 5 2 2 3 6" xfId="27654" xr:uid="{084FD892-56B0-4F98-A291-CA24F7081045}"/>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35863390-50FD-44BD-A170-400B24CBB559}"/>
    <cellStyle name="Normal 5 5 2 2 4 2 2 3" xfId="25989" xr:uid="{273356C6-F919-4E87-B69F-13A619D4A876}"/>
    <cellStyle name="Normal 5 5 2 2 4 2 2 4" xfId="34429" xr:uid="{FCADAA41-8246-4CBF-B698-4897BA793B98}"/>
    <cellStyle name="Normal 5 5 2 2 4 2 3" xfId="13331" xr:uid="{CC485903-2505-435C-9CA4-7DB745EF7840}"/>
    <cellStyle name="Normal 5 5 2 2 4 2 4" xfId="21772" xr:uid="{71D61741-990E-4E0F-9AD3-6E5B1A9A286C}"/>
    <cellStyle name="Normal 5 5 2 2 4 2 5" xfId="30212" xr:uid="{3BA8A3DB-4EC1-4DA9-B753-6AA3CC3D81F4}"/>
    <cellStyle name="Normal 5 5 2 2 4 3" xfId="6077" xr:uid="{00000000-0005-0000-0000-00005A1B0000}"/>
    <cellStyle name="Normal 5 5 2 2 4 3 2" xfId="15403" xr:uid="{3B9450E6-B11A-46EC-A681-09D5F793C8A9}"/>
    <cellStyle name="Normal 5 5 2 2 4 3 3" xfId="23844" xr:uid="{51AC4EDB-680A-4678-AC8D-C5993E727279}"/>
    <cellStyle name="Normal 5 5 2 2 4 3 4" xfId="32284" xr:uid="{EBA6960F-C1DE-40BE-9678-E7AF5433A641}"/>
    <cellStyle name="Normal 5 5 2 2 4 4" xfId="11186" xr:uid="{3A2028FB-7811-4C81-A1A7-2AEE25790E71}"/>
    <cellStyle name="Normal 5 5 2 2 4 5" xfId="19627" xr:uid="{06280277-AEDF-4E56-8D90-6E5403C2EC92}"/>
    <cellStyle name="Normal 5 5 2 2 4 6" xfId="28067" xr:uid="{15871575-48B1-4DEF-BB64-FD3253288C35}"/>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906D2659-67B4-4EE0-9DB9-7190A8CAA28E}"/>
    <cellStyle name="Normal 5 5 2 2 5 2 2 3" xfId="26402" xr:uid="{9E1DDD9F-83A9-486F-932A-DC2F665A59D5}"/>
    <cellStyle name="Normal 5 5 2 2 5 2 2 4" xfId="34842" xr:uid="{3330FF20-786E-4D91-8C05-7C0A6B213F4D}"/>
    <cellStyle name="Normal 5 5 2 2 5 2 3" xfId="13744" xr:uid="{39D80D66-E5FC-441C-89BB-86FA928471FB}"/>
    <cellStyle name="Normal 5 5 2 2 5 2 4" xfId="22185" xr:uid="{C8C3939F-9B3C-4480-BDE2-F5BA6FC8252A}"/>
    <cellStyle name="Normal 5 5 2 2 5 2 5" xfId="30625" xr:uid="{9689F6B0-88B8-4EEE-97A6-B5E7FA14D968}"/>
    <cellStyle name="Normal 5 5 2 2 5 3" xfId="6490" xr:uid="{00000000-0005-0000-0000-00005E1B0000}"/>
    <cellStyle name="Normal 5 5 2 2 5 3 2" xfId="15816" xr:uid="{F6164D75-C1B5-4E6F-931D-740BEE19F3AB}"/>
    <cellStyle name="Normal 5 5 2 2 5 3 3" xfId="24257" xr:uid="{6F935B98-3AA7-4679-97E4-0EBDF830EE82}"/>
    <cellStyle name="Normal 5 5 2 2 5 3 4" xfId="32697" xr:uid="{AF94B36A-3E58-466E-8CE3-9AF0E38D59FF}"/>
    <cellStyle name="Normal 5 5 2 2 5 4" xfId="11599" xr:uid="{DE3D5603-1FBD-410D-B4DD-D2C246DEFC54}"/>
    <cellStyle name="Normal 5 5 2 2 5 5" xfId="20040" xr:uid="{8098DBBA-7426-4C79-A8AF-43B468A49BC1}"/>
    <cellStyle name="Normal 5 5 2 2 5 6" xfId="28480" xr:uid="{9A0D8A55-61D8-4EA8-8455-857C0A877046}"/>
    <cellStyle name="Normal 5 5 2 2 6" xfId="2620" xr:uid="{00000000-0005-0000-0000-00005F1B0000}"/>
    <cellStyle name="Normal 5 5 2 2 6 2" xfId="6903" xr:uid="{00000000-0005-0000-0000-0000601B0000}"/>
    <cellStyle name="Normal 5 5 2 2 6 2 2" xfId="16229" xr:uid="{06F1E913-75D5-4E3A-AB1C-73E001160332}"/>
    <cellStyle name="Normal 5 5 2 2 6 2 3" xfId="24670" xr:uid="{21152A2E-5E7B-49C1-BF31-DB7FA76F705B}"/>
    <cellStyle name="Normal 5 5 2 2 6 2 4" xfId="33110" xr:uid="{7FD25B61-3EBE-4518-8997-0E8F73523D91}"/>
    <cellStyle name="Normal 5 5 2 2 6 3" xfId="12012" xr:uid="{33348996-A871-4131-B8F2-B123C8C3DE5B}"/>
    <cellStyle name="Normal 5 5 2 2 6 4" xfId="20453" xr:uid="{02EC8A58-455C-4D03-8993-F398B9773C17}"/>
    <cellStyle name="Normal 5 5 2 2 6 5" xfId="28893" xr:uid="{AC48C4CC-F872-48E7-83E9-9A7DCAD2F77E}"/>
    <cellStyle name="Normal 5 5 2 2 7" xfId="4838" xr:uid="{00000000-0005-0000-0000-0000611B0000}"/>
    <cellStyle name="Normal 5 5 2 2 7 2" xfId="14164" xr:uid="{1E27819A-C7DC-4E06-A643-41624EAF2D61}"/>
    <cellStyle name="Normal 5 5 2 2 7 3" xfId="22605" xr:uid="{853CFF5D-CF21-4AD8-88E7-2CB49E491D6C}"/>
    <cellStyle name="Normal 5 5 2 2 7 4" xfId="31045" xr:uid="{D5922536-64AE-421A-BF80-8A41AEACB37D}"/>
    <cellStyle name="Normal 5 5 2 2 8" xfId="9136" xr:uid="{D41453B5-3BE6-4F01-B336-45A274529844}"/>
    <cellStyle name="Normal 5 5 2 2 9" xfId="9947" xr:uid="{3A8C5F2A-B307-4328-8C4E-964525BE6C8A}"/>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190C3251-71A1-4962-835B-334E3676CC29}"/>
    <cellStyle name="Normal 5 5 2 3 2 2 3" xfId="25162" xr:uid="{DDD4B8BA-AFD2-4794-B826-4868974441DE}"/>
    <cellStyle name="Normal 5 5 2 3 2 2 4" xfId="33602" xr:uid="{4027D651-C2E8-4780-BB91-E6D1C8180814}"/>
    <cellStyle name="Normal 5 5 2 3 2 3" xfId="12504" xr:uid="{34922342-7F72-4444-9B1A-65FD9B7219D6}"/>
    <cellStyle name="Normal 5 5 2 3 2 4" xfId="20945" xr:uid="{42DA2103-A514-42A4-AD8E-9F7EC592FA8E}"/>
    <cellStyle name="Normal 5 5 2 3 2 5" xfId="29385" xr:uid="{9B7B9ACB-EF5E-4CE0-9C07-A7AEFB19AA8E}"/>
    <cellStyle name="Normal 5 5 2 3 3" xfId="5250" xr:uid="{00000000-0005-0000-0000-0000651B0000}"/>
    <cellStyle name="Normal 5 5 2 3 3 2" xfId="14576" xr:uid="{3B60C1AD-FD89-4374-A3F4-636334A7D71F}"/>
    <cellStyle name="Normal 5 5 2 3 3 3" xfId="23017" xr:uid="{D785A3B1-E11D-4762-948A-D7C804B2551F}"/>
    <cellStyle name="Normal 5 5 2 3 3 4" xfId="31457" xr:uid="{C9A2DE72-974D-4D08-BC3D-76418ABF2C04}"/>
    <cellStyle name="Normal 5 5 2 3 4" xfId="9354" xr:uid="{3251F49D-E700-469D-9840-28045D408641}"/>
    <cellStyle name="Normal 5 5 2 3 5" xfId="10359" xr:uid="{DC904A78-D31D-4473-9BAF-DBFFC39EF572}"/>
    <cellStyle name="Normal 5 5 2 3 6" xfId="18800" xr:uid="{BBC75E8C-5498-408B-9E66-79471B0BDEE4}"/>
    <cellStyle name="Normal 5 5 2 3 7" xfId="27240" xr:uid="{880234B9-2281-4B4C-B373-BE60585C1314}"/>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46780AEB-0EA0-4A2E-BA13-CAAEDADBFFC6}"/>
    <cellStyle name="Normal 5 5 2 4 2 2 3" xfId="25575" xr:uid="{057509C6-FCF2-46A1-A530-E045B18CB4C0}"/>
    <cellStyle name="Normal 5 5 2 4 2 2 4" xfId="34015" xr:uid="{0EE157E6-E8EA-4277-A523-CCE305C6555D}"/>
    <cellStyle name="Normal 5 5 2 4 2 3" xfId="12917" xr:uid="{F79A6C26-FF59-4085-AB27-4A8317F5942C}"/>
    <cellStyle name="Normal 5 5 2 4 2 4" xfId="21358" xr:uid="{C1F3DF1D-E2B4-44D7-8DCA-97BE2B849C71}"/>
    <cellStyle name="Normal 5 5 2 4 2 5" xfId="29798" xr:uid="{EA0C2B54-F016-49C8-BD3B-139027585234}"/>
    <cellStyle name="Normal 5 5 2 4 3" xfId="5663" xr:uid="{00000000-0005-0000-0000-0000691B0000}"/>
    <cellStyle name="Normal 5 5 2 4 3 2" xfId="14989" xr:uid="{CEAE52DD-F3EF-4009-83E2-CBDA410D0426}"/>
    <cellStyle name="Normal 5 5 2 4 3 3" xfId="23430" xr:uid="{B8ADC06C-44C7-4DC1-97A5-DB0F1E64B085}"/>
    <cellStyle name="Normal 5 5 2 4 3 4" xfId="31870" xr:uid="{0C971D9D-359B-4A43-9786-26E0C1660F79}"/>
    <cellStyle name="Normal 5 5 2 4 4" xfId="10772" xr:uid="{2B443C9A-60BA-4A83-B9E3-2C39DD2A774E}"/>
    <cellStyle name="Normal 5 5 2 4 5" xfId="19213" xr:uid="{E2518781-806A-4EA9-9081-A784D68EA3C2}"/>
    <cellStyle name="Normal 5 5 2 4 6" xfId="27653" xr:uid="{2B2A1384-6EED-47B2-B621-6064560B25C8}"/>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C1D85661-94DE-45A2-B07B-38ED657276DA}"/>
    <cellStyle name="Normal 5 5 2 5 2 2 3" xfId="25988" xr:uid="{CC38E371-4C44-4BEC-A238-83B37B1B7201}"/>
    <cellStyle name="Normal 5 5 2 5 2 2 4" xfId="34428" xr:uid="{66E09201-049F-4DDF-BE73-55A019CC7EBB}"/>
    <cellStyle name="Normal 5 5 2 5 2 3" xfId="13330" xr:uid="{B0A288C3-4070-4351-81E7-CA6BFD7CA439}"/>
    <cellStyle name="Normal 5 5 2 5 2 4" xfId="21771" xr:uid="{BD09A8A3-F858-4FA3-85A6-821698717CD3}"/>
    <cellStyle name="Normal 5 5 2 5 2 5" xfId="30211" xr:uid="{4A093767-B631-4411-911F-146030A62749}"/>
    <cellStyle name="Normal 5 5 2 5 3" xfId="6076" xr:uid="{00000000-0005-0000-0000-00006D1B0000}"/>
    <cellStyle name="Normal 5 5 2 5 3 2" xfId="15402" xr:uid="{AB615159-E917-4E2A-972C-53536B73F9EF}"/>
    <cellStyle name="Normal 5 5 2 5 3 3" xfId="23843" xr:uid="{78607656-00EC-4EAD-A589-FB177AC8C8AF}"/>
    <cellStyle name="Normal 5 5 2 5 3 4" xfId="32283" xr:uid="{825C63D5-1F0E-4F5F-B3E7-DB1C5716D469}"/>
    <cellStyle name="Normal 5 5 2 5 4" xfId="11185" xr:uid="{F8E090D6-7904-4BC4-B285-5A213187B28C}"/>
    <cellStyle name="Normal 5 5 2 5 5" xfId="19626" xr:uid="{BCD6D2F3-CD8D-4CDB-AF11-BA9F50272C87}"/>
    <cellStyle name="Normal 5 5 2 5 6" xfId="28066" xr:uid="{133580C8-FBA1-467E-8176-AED85C7E94E1}"/>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80D45C6C-6A83-49A9-99DF-28D0ABF894FA}"/>
    <cellStyle name="Normal 5 5 2 6 2 2 3" xfId="26401" xr:uid="{A8413784-0C75-4430-B1ED-D74D35B128DC}"/>
    <cellStyle name="Normal 5 5 2 6 2 2 4" xfId="34841" xr:uid="{9470F0B4-9BF0-474A-A718-B6194E6D8D6D}"/>
    <cellStyle name="Normal 5 5 2 6 2 3" xfId="13743" xr:uid="{393552B0-F9AF-43BF-889E-097C6F6FC11B}"/>
    <cellStyle name="Normal 5 5 2 6 2 4" xfId="22184" xr:uid="{760C4AF9-4F56-478D-ABA6-7435A346E9C7}"/>
    <cellStyle name="Normal 5 5 2 6 2 5" xfId="30624" xr:uid="{AD2A95A3-5D69-460A-80C8-D296EC1B1F03}"/>
    <cellStyle name="Normal 5 5 2 6 3" xfId="6489" xr:uid="{00000000-0005-0000-0000-0000711B0000}"/>
    <cellStyle name="Normal 5 5 2 6 3 2" xfId="15815" xr:uid="{878F34A6-2677-4B52-9609-35D76121A75F}"/>
    <cellStyle name="Normal 5 5 2 6 3 3" xfId="24256" xr:uid="{D133EF89-BB8D-419B-9791-C4DCDDCE7697}"/>
    <cellStyle name="Normal 5 5 2 6 3 4" xfId="32696" xr:uid="{BFC0E814-2FC9-4107-BE20-2A25AAD62D39}"/>
    <cellStyle name="Normal 5 5 2 6 4" xfId="11598" xr:uid="{571015C1-0E06-4F0D-8148-9F8226E901DD}"/>
    <cellStyle name="Normal 5 5 2 6 5" xfId="20039" xr:uid="{27ABA13B-2E4B-4F7E-8B00-829A422F8AAC}"/>
    <cellStyle name="Normal 5 5 2 6 6" xfId="28479" xr:uid="{963600B9-ED16-4EE7-9A03-26DB75F91F76}"/>
    <cellStyle name="Normal 5 5 2 7" xfId="2619" xr:uid="{00000000-0005-0000-0000-0000721B0000}"/>
    <cellStyle name="Normal 5 5 2 7 2" xfId="6902" xr:uid="{00000000-0005-0000-0000-0000731B0000}"/>
    <cellStyle name="Normal 5 5 2 7 2 2" xfId="16228" xr:uid="{06B7B917-5862-4D45-8E2E-45C6D44B1602}"/>
    <cellStyle name="Normal 5 5 2 7 2 3" xfId="24669" xr:uid="{52F17C9E-D906-4708-A763-263D4A101B62}"/>
    <cellStyle name="Normal 5 5 2 7 2 4" xfId="33109" xr:uid="{DD1C1413-04A0-424F-989B-D8479D81032E}"/>
    <cellStyle name="Normal 5 5 2 7 3" xfId="12011" xr:uid="{4C04E79F-AA04-4E85-9E04-FDEB4D525E1B}"/>
    <cellStyle name="Normal 5 5 2 7 4" xfId="20452" xr:uid="{801642B4-4C31-411F-8D6D-F3CEAD135209}"/>
    <cellStyle name="Normal 5 5 2 7 5" xfId="28892" xr:uid="{10AEEA81-9F18-4EF8-A3A1-727389A20436}"/>
    <cellStyle name="Normal 5 5 2 8" xfId="4837" xr:uid="{00000000-0005-0000-0000-0000741B0000}"/>
    <cellStyle name="Normal 5 5 2 8 2" xfId="14163" xr:uid="{46EBBF00-E4B2-4A4E-B670-13DEA184B14A}"/>
    <cellStyle name="Normal 5 5 2 8 3" xfId="22604" xr:uid="{74A9C5A1-DAB0-4496-9C8C-F796AA15BA99}"/>
    <cellStyle name="Normal 5 5 2 8 4" xfId="31044" xr:uid="{C0418EE0-E7D9-4B6B-90E7-20EC732626DE}"/>
    <cellStyle name="Normal 5 5 2 9" xfId="8929" xr:uid="{918246BA-1946-46D4-8BAF-6DC0C4DC8AC3}"/>
    <cellStyle name="Normal 5 5 3" xfId="467" xr:uid="{00000000-0005-0000-0000-0000751B0000}"/>
    <cellStyle name="Normal 5 5 3 10" xfId="18389" xr:uid="{4FFD3886-4E56-4EE3-842A-A152E289333B}"/>
    <cellStyle name="Normal 5 5 3 11" xfId="26829" xr:uid="{34563558-806E-430E-A536-6E8C9F12D5D6}"/>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4A92C7DC-0CFA-41D4-8B60-AD5D69AF7D08}"/>
    <cellStyle name="Normal 5 5 3 2 2 2 3" xfId="25164" xr:uid="{76D8A642-2F60-494A-881B-F815FAF956A4}"/>
    <cellStyle name="Normal 5 5 3 2 2 2 4" xfId="33604" xr:uid="{1E978ECA-21EB-4C56-B4CF-FC9CCBB34B34}"/>
    <cellStyle name="Normal 5 5 3 2 2 3" xfId="12506" xr:uid="{9A16DAB1-16E1-4DDE-BB0D-BB5D7C508D4C}"/>
    <cellStyle name="Normal 5 5 3 2 2 4" xfId="20947" xr:uid="{95FF4D0E-5297-41C2-BEC1-4BE205E62098}"/>
    <cellStyle name="Normal 5 5 3 2 2 5" xfId="29387" xr:uid="{0B7BE4AE-8759-4372-B45B-F9D5D589F5EB}"/>
    <cellStyle name="Normal 5 5 3 2 3" xfId="5252" xr:uid="{00000000-0005-0000-0000-0000791B0000}"/>
    <cellStyle name="Normal 5 5 3 2 3 2" xfId="14578" xr:uid="{0CB9C8D1-99D8-4D8E-A9EF-313FFA384A45}"/>
    <cellStyle name="Normal 5 5 3 2 3 3" xfId="23019" xr:uid="{DC575C08-5D1D-4047-81A6-745622E233A8}"/>
    <cellStyle name="Normal 5 5 3 2 3 4" xfId="31459" xr:uid="{DA08E8A4-8A6C-4446-A3ED-CBDF74AD050A}"/>
    <cellStyle name="Normal 5 5 3 2 4" xfId="9458" xr:uid="{8AD16727-CFBF-4DB5-B58F-04D48E2B564D}"/>
    <cellStyle name="Normal 5 5 3 2 5" xfId="10361" xr:uid="{1AA1CA62-CA00-4FA4-808B-6920BF97BBEF}"/>
    <cellStyle name="Normal 5 5 3 2 6" xfId="18802" xr:uid="{9E022DD3-903B-4E62-8C4A-211FA2A933E9}"/>
    <cellStyle name="Normal 5 5 3 2 7" xfId="27242" xr:uid="{783910A8-08C8-4A3E-8A84-6C4356157E5A}"/>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F0AE4211-5614-4B41-BB4D-045CB90D932F}"/>
    <cellStyle name="Normal 5 5 3 3 2 2 3" xfId="25577" xr:uid="{2478AF17-C6FF-4979-A3FC-6AB95559426C}"/>
    <cellStyle name="Normal 5 5 3 3 2 2 4" xfId="34017" xr:uid="{DD7C6251-AB6A-4D14-A515-EA8BBCAF3217}"/>
    <cellStyle name="Normal 5 5 3 3 2 3" xfId="12919" xr:uid="{4A9C9B8B-3859-434E-9040-F7FA3B2E1E0F}"/>
    <cellStyle name="Normal 5 5 3 3 2 4" xfId="21360" xr:uid="{F4B28D87-56E9-4D34-9FC0-6DD4437511D3}"/>
    <cellStyle name="Normal 5 5 3 3 2 5" xfId="29800" xr:uid="{9CAFF822-9813-4F2E-9CB4-B57C92BB3D26}"/>
    <cellStyle name="Normal 5 5 3 3 3" xfId="5665" xr:uid="{00000000-0005-0000-0000-00007D1B0000}"/>
    <cellStyle name="Normal 5 5 3 3 3 2" xfId="14991" xr:uid="{E9A38961-2677-4AB9-90A1-209397CE24B2}"/>
    <cellStyle name="Normal 5 5 3 3 3 3" xfId="23432" xr:uid="{918085B9-FE2B-4FE7-81FB-BED7903EE702}"/>
    <cellStyle name="Normal 5 5 3 3 3 4" xfId="31872" xr:uid="{AC289834-824C-4EEA-8495-F43557D429C0}"/>
    <cellStyle name="Normal 5 5 3 3 4" xfId="10774" xr:uid="{10CD8281-1A6E-4141-8840-D566386B5103}"/>
    <cellStyle name="Normal 5 5 3 3 5" xfId="19215" xr:uid="{E0EDC653-EB47-4C59-AB58-14D09C757EDC}"/>
    <cellStyle name="Normal 5 5 3 3 6" xfId="27655" xr:uid="{373426EB-2C8C-4DBF-82E8-61B685ACB490}"/>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FD5D00B3-1EE6-4D5B-9051-0A8868CD2CF4}"/>
    <cellStyle name="Normal 5 5 3 4 2 2 3" xfId="25990" xr:uid="{3429BC5D-EB65-44B5-952C-98075CC42DA0}"/>
    <cellStyle name="Normal 5 5 3 4 2 2 4" xfId="34430" xr:uid="{571BB8E3-82B7-450D-8C0B-63A7559866EC}"/>
    <cellStyle name="Normal 5 5 3 4 2 3" xfId="13332" xr:uid="{08276195-7FA3-4A8F-8FBE-583A377150F2}"/>
    <cellStyle name="Normal 5 5 3 4 2 4" xfId="21773" xr:uid="{F0A89BFF-B5F1-4938-A6C3-1041AAE2BEAA}"/>
    <cellStyle name="Normal 5 5 3 4 2 5" xfId="30213" xr:uid="{73619EC3-7940-457E-85BB-BE001158060A}"/>
    <cellStyle name="Normal 5 5 3 4 3" xfId="6078" xr:uid="{00000000-0005-0000-0000-0000811B0000}"/>
    <cellStyle name="Normal 5 5 3 4 3 2" xfId="15404" xr:uid="{D85C6822-0FE0-48A5-BDA7-B60BDE74BFE3}"/>
    <cellStyle name="Normal 5 5 3 4 3 3" xfId="23845" xr:uid="{7D390902-E795-4C79-BD8B-D92BD2D1C638}"/>
    <cellStyle name="Normal 5 5 3 4 3 4" xfId="32285" xr:uid="{2EA3A5A5-3374-462F-AC9B-DA201C95B074}"/>
    <cellStyle name="Normal 5 5 3 4 4" xfId="11187" xr:uid="{5ECF0617-6502-494A-A9B1-34BECC33D6AE}"/>
    <cellStyle name="Normal 5 5 3 4 5" xfId="19628" xr:uid="{42CE4712-9E86-45F1-A34D-D0609B4ED6C3}"/>
    <cellStyle name="Normal 5 5 3 4 6" xfId="28068" xr:uid="{2AE133C4-58F6-49E3-8053-DAF386D12992}"/>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F6B13EC7-F98F-4C23-8AE2-FD6A2A8AA8E4}"/>
    <cellStyle name="Normal 5 5 3 5 2 2 3" xfId="26403" xr:uid="{0F76D70C-13DC-4831-AEFC-9ADAB0644281}"/>
    <cellStyle name="Normal 5 5 3 5 2 2 4" xfId="34843" xr:uid="{FD57EFE5-8D5E-45B8-B8E7-424020B29637}"/>
    <cellStyle name="Normal 5 5 3 5 2 3" xfId="13745" xr:uid="{10EB95A1-B1B9-4BAC-9F23-8B808597A324}"/>
    <cellStyle name="Normal 5 5 3 5 2 4" xfId="22186" xr:uid="{AA65D3AD-ED8A-46D8-9594-2583BD02E480}"/>
    <cellStyle name="Normal 5 5 3 5 2 5" xfId="30626" xr:uid="{83DD436D-9A03-4B6A-9289-2708086103F5}"/>
    <cellStyle name="Normal 5 5 3 5 3" xfId="6491" xr:uid="{00000000-0005-0000-0000-0000851B0000}"/>
    <cellStyle name="Normal 5 5 3 5 3 2" xfId="15817" xr:uid="{8F007F25-52FF-47B6-ABD5-522AB04C8183}"/>
    <cellStyle name="Normal 5 5 3 5 3 3" xfId="24258" xr:uid="{25CD57CB-58F4-45B8-87EC-01306A009F5A}"/>
    <cellStyle name="Normal 5 5 3 5 3 4" xfId="32698" xr:uid="{B9FD8DD8-3FD7-4600-B472-1DB14A1D8DB1}"/>
    <cellStyle name="Normal 5 5 3 5 4" xfId="11600" xr:uid="{B2E0B929-1BA2-4321-A832-1A41D1605FD7}"/>
    <cellStyle name="Normal 5 5 3 5 5" xfId="20041" xr:uid="{BC238679-8CBD-421E-ADB7-1E22C7F9E5AB}"/>
    <cellStyle name="Normal 5 5 3 5 6" xfId="28481" xr:uid="{47CF9FFD-A872-4C77-818E-85B38A8C399C}"/>
    <cellStyle name="Normal 5 5 3 6" xfId="2621" xr:uid="{00000000-0005-0000-0000-0000861B0000}"/>
    <cellStyle name="Normal 5 5 3 6 2" xfId="6904" xr:uid="{00000000-0005-0000-0000-0000871B0000}"/>
    <cellStyle name="Normal 5 5 3 6 2 2" xfId="16230" xr:uid="{F41F1114-69FC-42B7-979C-4921E8CB860B}"/>
    <cellStyle name="Normal 5 5 3 6 2 3" xfId="24671" xr:uid="{F9257260-5ED8-4977-A7CB-E58AF1D8944C}"/>
    <cellStyle name="Normal 5 5 3 6 2 4" xfId="33111" xr:uid="{16414721-E053-4131-9274-A5EF4938925F}"/>
    <cellStyle name="Normal 5 5 3 6 3" xfId="12013" xr:uid="{13F7AF99-CFA7-48F8-831C-7DAA3465955D}"/>
    <cellStyle name="Normal 5 5 3 6 4" xfId="20454" xr:uid="{51F8CE75-F765-4F5A-80CD-090C5C5E08F1}"/>
    <cellStyle name="Normal 5 5 3 6 5" xfId="28894" xr:uid="{60B121B4-784A-4AC5-A4D7-C2EBF942D372}"/>
    <cellStyle name="Normal 5 5 3 7" xfId="4839" xr:uid="{00000000-0005-0000-0000-0000881B0000}"/>
    <cellStyle name="Normal 5 5 3 7 2" xfId="14165" xr:uid="{246DF781-DC32-4666-912F-568C0A41C909}"/>
    <cellStyle name="Normal 5 5 3 7 3" xfId="22606" xr:uid="{B550A164-A39F-4591-8130-2F8EFF9434B7}"/>
    <cellStyle name="Normal 5 5 3 7 4" xfId="31046" xr:uid="{824A23A1-11CF-45A1-A335-0A15D76FD317}"/>
    <cellStyle name="Normal 5 5 3 8" xfId="9033" xr:uid="{08F77EF7-8D03-42D9-B538-FE3582C4B971}"/>
    <cellStyle name="Normal 5 5 3 9" xfId="9948" xr:uid="{59B1D15C-9F33-40E1-8CA8-805961CC9177}"/>
    <cellStyle name="Normal 5 5 4" xfId="938" xr:uid="{00000000-0005-0000-0000-0000891B0000}"/>
    <cellStyle name="Normal 5 5 4 2" xfId="3172" xr:uid="{00000000-0005-0000-0000-00008A1B0000}"/>
    <cellStyle name="Normal 5 5 4 2 2" xfId="7394" xr:uid="{00000000-0005-0000-0000-00008B1B0000}"/>
    <cellStyle name="Normal 5 5 4 2 2 2" xfId="16720" xr:uid="{2A08A9E2-DC73-4B25-8B33-DAE504AC48F3}"/>
    <cellStyle name="Normal 5 5 4 2 2 3" xfId="25161" xr:uid="{7DEF4411-F9DF-49E5-B8BB-037BABA6F9BC}"/>
    <cellStyle name="Normal 5 5 4 2 2 4" xfId="33601" xr:uid="{A94AE0A5-100A-4040-9DE1-FA6D7A527DFB}"/>
    <cellStyle name="Normal 5 5 4 2 3" xfId="12503" xr:uid="{25952AA7-F8E4-48F2-883B-04EDA862E434}"/>
    <cellStyle name="Normal 5 5 4 2 4" xfId="20944" xr:uid="{4041EA46-D941-45FA-BBC8-EFB1A2D9EE8A}"/>
    <cellStyle name="Normal 5 5 4 2 5" xfId="29384" xr:uid="{FABAD001-BE1F-43B7-BBB2-82E835918368}"/>
    <cellStyle name="Normal 5 5 4 3" xfId="5249" xr:uid="{00000000-0005-0000-0000-00008C1B0000}"/>
    <cellStyle name="Normal 5 5 4 3 2" xfId="14575" xr:uid="{5B0863D8-11F5-43E6-A545-7E1A884C0646}"/>
    <cellStyle name="Normal 5 5 4 3 3" xfId="23016" xr:uid="{278F5234-2031-4016-B79E-D496C743B545}"/>
    <cellStyle name="Normal 5 5 4 3 4" xfId="31456" xr:uid="{5EA7CB14-7242-4AAE-8056-5145839DE3F2}"/>
    <cellStyle name="Normal 5 5 4 4" xfId="9251" xr:uid="{4EAD9E35-D3C9-46BE-AE4D-29A1C6D5A6F7}"/>
    <cellStyle name="Normal 5 5 4 5" xfId="10358" xr:uid="{9C8D672B-5715-4CD2-A35B-915E2F9A09E3}"/>
    <cellStyle name="Normal 5 5 4 6" xfId="18799" xr:uid="{F57E5E08-C9F3-4505-B2F7-56F81C0B19CA}"/>
    <cellStyle name="Normal 5 5 4 7" xfId="27239" xr:uid="{872C1F48-8ACA-4DEE-BB90-A029629595C0}"/>
    <cellStyle name="Normal 5 5 5" xfId="1355" xr:uid="{00000000-0005-0000-0000-00008D1B0000}"/>
    <cellStyle name="Normal 5 5 5 2" xfId="3585" xr:uid="{00000000-0005-0000-0000-00008E1B0000}"/>
    <cellStyle name="Normal 5 5 5 2 2" xfId="7807" xr:uid="{00000000-0005-0000-0000-00008F1B0000}"/>
    <cellStyle name="Normal 5 5 5 2 2 2" xfId="17133" xr:uid="{0E8B1A6F-BF9B-4A36-992A-543926DE6C48}"/>
    <cellStyle name="Normal 5 5 5 2 2 3" xfId="25574" xr:uid="{2DF7CCA7-B43A-4DA9-B79B-79D11CC511A2}"/>
    <cellStyle name="Normal 5 5 5 2 2 4" xfId="34014" xr:uid="{ED0FAC51-7B03-4B4A-8895-03A7F639C0B3}"/>
    <cellStyle name="Normal 5 5 5 2 3" xfId="12916" xr:uid="{64F50CDC-A9E0-4D94-909C-E7C2602788CA}"/>
    <cellStyle name="Normal 5 5 5 2 4" xfId="21357" xr:uid="{E7E749F3-0C75-4993-BF9D-A4357188D6C9}"/>
    <cellStyle name="Normal 5 5 5 2 5" xfId="29797" xr:uid="{829D9298-EF46-4029-9C4E-310009AC0786}"/>
    <cellStyle name="Normal 5 5 5 3" xfId="5662" xr:uid="{00000000-0005-0000-0000-0000901B0000}"/>
    <cellStyle name="Normal 5 5 5 3 2" xfId="14988" xr:uid="{A124ACF9-9E64-4B61-A69A-E11D1842E5F9}"/>
    <cellStyle name="Normal 5 5 5 3 3" xfId="23429" xr:uid="{DE328769-2149-4D11-85A2-1D8587E1AD79}"/>
    <cellStyle name="Normal 5 5 5 3 4" xfId="31869" xr:uid="{F41DD99C-38AE-4282-BE65-4C0BDA2DB76C}"/>
    <cellStyle name="Normal 5 5 5 4" xfId="10771" xr:uid="{AA54D51C-118F-472C-B457-104487629422}"/>
    <cellStyle name="Normal 5 5 5 5" xfId="19212" xr:uid="{2EEA571F-0175-457A-B5FB-7ACC7BD1E55E}"/>
    <cellStyle name="Normal 5 5 5 6" xfId="27652" xr:uid="{0537527D-BAD0-408D-908D-E41989AF0079}"/>
    <cellStyle name="Normal 5 5 6" xfId="1768" xr:uid="{00000000-0005-0000-0000-0000911B0000}"/>
    <cellStyle name="Normal 5 5 6 2" xfId="3998" xr:uid="{00000000-0005-0000-0000-0000921B0000}"/>
    <cellStyle name="Normal 5 5 6 2 2" xfId="8220" xr:uid="{00000000-0005-0000-0000-0000931B0000}"/>
    <cellStyle name="Normal 5 5 6 2 2 2" xfId="17546" xr:uid="{A6EECC9A-A38A-4268-BE40-626A34091661}"/>
    <cellStyle name="Normal 5 5 6 2 2 3" xfId="25987" xr:uid="{6CE3A1C8-1A1A-48EF-B9E6-E59CB83AAE60}"/>
    <cellStyle name="Normal 5 5 6 2 2 4" xfId="34427" xr:uid="{1ADD8922-8603-4891-BBB2-5AEAEB2B46C9}"/>
    <cellStyle name="Normal 5 5 6 2 3" xfId="13329" xr:uid="{66C08FD2-7C7D-46E8-B80B-E83277DE67A2}"/>
    <cellStyle name="Normal 5 5 6 2 4" xfId="21770" xr:uid="{5DAB432D-7968-41B2-AB41-0307FA7EDA76}"/>
    <cellStyle name="Normal 5 5 6 2 5" xfId="30210" xr:uid="{7EBAA003-F128-4300-9785-E68E9E1F59E0}"/>
    <cellStyle name="Normal 5 5 6 3" xfId="6075" xr:uid="{00000000-0005-0000-0000-0000941B0000}"/>
    <cellStyle name="Normal 5 5 6 3 2" xfId="15401" xr:uid="{E6317BFF-687A-4BEE-92EE-333FA36B8AB7}"/>
    <cellStyle name="Normal 5 5 6 3 3" xfId="23842" xr:uid="{ADB84707-47C3-4F55-B7E2-8C48FA3F20B4}"/>
    <cellStyle name="Normal 5 5 6 3 4" xfId="32282" xr:uid="{64585EBA-814B-40EB-AEB5-ACC17081D19C}"/>
    <cellStyle name="Normal 5 5 6 4" xfId="11184" xr:uid="{FBDC0C5D-4F50-47D6-BBFE-D09D807CD638}"/>
    <cellStyle name="Normal 5 5 6 5" xfId="19625" xr:uid="{CACDE056-A290-4B7B-9128-9D9CC2651DAB}"/>
    <cellStyle name="Normal 5 5 6 6" xfId="28065" xr:uid="{44755413-C08B-4254-B2C1-BF5129ADA378}"/>
    <cellStyle name="Normal 5 5 7" xfId="2182" xr:uid="{00000000-0005-0000-0000-0000951B0000}"/>
    <cellStyle name="Normal 5 5 7 2" xfId="4411" xr:uid="{00000000-0005-0000-0000-0000961B0000}"/>
    <cellStyle name="Normal 5 5 7 2 2" xfId="8633" xr:uid="{00000000-0005-0000-0000-0000971B0000}"/>
    <cellStyle name="Normal 5 5 7 2 2 2" xfId="17959" xr:uid="{536B0C42-4C79-4F32-BBD9-3C6ABB00BEE5}"/>
    <cellStyle name="Normal 5 5 7 2 2 3" xfId="26400" xr:uid="{17CC6043-F2F5-4171-AB6D-CA65E5978FF5}"/>
    <cellStyle name="Normal 5 5 7 2 2 4" xfId="34840" xr:uid="{C49A8B42-1DC1-4350-AA06-42D4E8543BF1}"/>
    <cellStyle name="Normal 5 5 7 2 3" xfId="13742" xr:uid="{160A4BD9-4A66-45B8-A0DB-A6C8C9D5A410}"/>
    <cellStyle name="Normal 5 5 7 2 4" xfId="22183" xr:uid="{E5A9E65A-F0EF-4F64-BD4E-BB3BA15471B4}"/>
    <cellStyle name="Normal 5 5 7 2 5" xfId="30623" xr:uid="{01655872-0586-46CC-9A28-A26234795A97}"/>
    <cellStyle name="Normal 5 5 7 3" xfId="6488" xr:uid="{00000000-0005-0000-0000-0000981B0000}"/>
    <cellStyle name="Normal 5 5 7 3 2" xfId="15814" xr:uid="{4F41872F-E137-49E0-B3BF-D8186E32DD59}"/>
    <cellStyle name="Normal 5 5 7 3 3" xfId="24255" xr:uid="{DF6EF177-8933-403D-B10E-FF1AD1814896}"/>
    <cellStyle name="Normal 5 5 7 3 4" xfId="32695" xr:uid="{B51916A9-A8DC-41EB-864C-073955873185}"/>
    <cellStyle name="Normal 5 5 7 4" xfId="11597" xr:uid="{4BA421A8-5F38-42D4-99BE-0BC37DF09891}"/>
    <cellStyle name="Normal 5 5 7 5" xfId="20038" xr:uid="{A638F639-0F51-46BA-992A-22DCC560BA67}"/>
    <cellStyle name="Normal 5 5 7 6" xfId="28478" xr:uid="{661AACB4-9264-4A06-A0F8-1C1C036BB9A8}"/>
    <cellStyle name="Normal 5 5 8" xfId="2618" xr:uid="{00000000-0005-0000-0000-0000991B0000}"/>
    <cellStyle name="Normal 5 5 8 2" xfId="6901" xr:uid="{00000000-0005-0000-0000-00009A1B0000}"/>
    <cellStyle name="Normal 5 5 8 2 2" xfId="16227" xr:uid="{1E99852B-3BC7-48BB-9F25-9C244D47C2D2}"/>
    <cellStyle name="Normal 5 5 8 2 3" xfId="24668" xr:uid="{7AD10A4C-1CF4-4788-80E9-355DAC5003F3}"/>
    <cellStyle name="Normal 5 5 8 2 4" xfId="33108" xr:uid="{8F4617C7-4F02-45CB-8020-8DA44E2460A0}"/>
    <cellStyle name="Normal 5 5 8 3" xfId="12010" xr:uid="{96173ACB-3898-47E6-A9D2-1F2A12016FEE}"/>
    <cellStyle name="Normal 5 5 8 4" xfId="20451" xr:uid="{A7698BF6-D7DD-45CC-9C47-2BADABF9D03C}"/>
    <cellStyle name="Normal 5 5 8 5" xfId="28891" xr:uid="{07D19A48-F175-4EBB-8449-94E5D30C5BB5}"/>
    <cellStyle name="Normal 5 5 9" xfId="4836" xr:uid="{00000000-0005-0000-0000-00009B1B0000}"/>
    <cellStyle name="Normal 5 5 9 2" xfId="14162" xr:uid="{860E3F11-83A2-4454-9C0E-7ADDA5AF0938}"/>
    <cellStyle name="Normal 5 5 9 3" xfId="22603" xr:uid="{94215928-0F40-4900-8340-8C052BA258EC}"/>
    <cellStyle name="Normal 5 5 9 4" xfId="31043" xr:uid="{885A371B-7E23-44C3-86B6-D63B71F3A2D7}"/>
    <cellStyle name="Normal 5 6" xfId="468" xr:uid="{00000000-0005-0000-0000-00009C1B0000}"/>
    <cellStyle name="Normal 5 6 10" xfId="9949" xr:uid="{4E768118-15EC-4461-8CF6-1299E97C9300}"/>
    <cellStyle name="Normal 5 6 11" xfId="18390" xr:uid="{A8B4DC7C-725C-49C8-BB53-EAA4AA8F7FBF}"/>
    <cellStyle name="Normal 5 6 12" xfId="26830" xr:uid="{4F93F1DC-532C-4BDA-8FE4-C9DB60830308}"/>
    <cellStyle name="Normal 5 6 2" xfId="469" xr:uid="{00000000-0005-0000-0000-00009D1B0000}"/>
    <cellStyle name="Normal 5 6 2 10" xfId="18391" xr:uid="{2A4B435E-3ABC-44E9-B774-1DF5221CA65A}"/>
    <cellStyle name="Normal 5 6 2 11" xfId="26831" xr:uid="{4C6A83BD-57F7-402C-B9DC-C0DF7C47859F}"/>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974C9273-1D61-4E43-B197-E990831EA0EB}"/>
    <cellStyle name="Normal 5 6 2 2 2 2 3" xfId="25166" xr:uid="{806CF296-42AD-42F8-8E2D-5C6D47AAD9B7}"/>
    <cellStyle name="Normal 5 6 2 2 2 2 4" xfId="33606" xr:uid="{0A6CADE0-4FB1-4C22-9DC8-65522138CF6E}"/>
    <cellStyle name="Normal 5 6 2 2 2 3" xfId="12508" xr:uid="{FD794018-5BC5-43AF-AFB1-EEF3161483E7}"/>
    <cellStyle name="Normal 5 6 2 2 2 4" xfId="20949" xr:uid="{DD76619F-0831-4B9C-AECB-0BCA98C280A9}"/>
    <cellStyle name="Normal 5 6 2 2 2 5" xfId="29389" xr:uid="{5AC727CF-64DE-43E0-8BFA-6D95426106F4}"/>
    <cellStyle name="Normal 5 6 2 2 3" xfId="5254" xr:uid="{00000000-0005-0000-0000-0000A11B0000}"/>
    <cellStyle name="Normal 5 6 2 2 3 2" xfId="14580" xr:uid="{FB67B964-0693-4947-986A-78E6A621D8E7}"/>
    <cellStyle name="Normal 5 6 2 2 3 3" xfId="23021" xr:uid="{E30874DE-9EDD-4D8A-B66B-04F16F1477FE}"/>
    <cellStyle name="Normal 5 6 2 2 3 4" xfId="31461" xr:uid="{AF608BDC-2762-4513-9B3F-102B6F96A3C1}"/>
    <cellStyle name="Normal 5 6 2 2 4" xfId="9476" xr:uid="{3B3E6CA1-4D97-4B11-99D5-4F82314AA0E0}"/>
    <cellStyle name="Normal 5 6 2 2 5" xfId="10363" xr:uid="{8648BABF-DAE6-433D-AD7B-8171BDA28038}"/>
    <cellStyle name="Normal 5 6 2 2 6" xfId="18804" xr:uid="{90DBE5DA-2593-4018-BC20-66B3269B8590}"/>
    <cellStyle name="Normal 5 6 2 2 7" xfId="27244" xr:uid="{0085D9E0-7310-4238-9677-ABF23E5D3E77}"/>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664FE1E2-F840-4535-9308-B1B358BB1415}"/>
    <cellStyle name="Normal 5 6 2 3 2 2 3" xfId="25579" xr:uid="{66554AA6-139A-441E-A40F-0E9F2B9EF117}"/>
    <cellStyle name="Normal 5 6 2 3 2 2 4" xfId="34019" xr:uid="{A49CA53F-E20F-4A97-836F-2A89A0744D16}"/>
    <cellStyle name="Normal 5 6 2 3 2 3" xfId="12921" xr:uid="{DAC4551D-792B-4E00-9258-26F3DFA4AD6F}"/>
    <cellStyle name="Normal 5 6 2 3 2 4" xfId="21362" xr:uid="{46C7A91A-3C0D-470E-90E1-3C0820DEC5E8}"/>
    <cellStyle name="Normal 5 6 2 3 2 5" xfId="29802" xr:uid="{9A73747D-C4EF-40DC-A52B-8A3D9EEC88C7}"/>
    <cellStyle name="Normal 5 6 2 3 3" xfId="5667" xr:uid="{00000000-0005-0000-0000-0000A51B0000}"/>
    <cellStyle name="Normal 5 6 2 3 3 2" xfId="14993" xr:uid="{4AFA2A79-946F-4CA8-BEF5-73F55255DD4B}"/>
    <cellStyle name="Normal 5 6 2 3 3 3" xfId="23434" xr:uid="{BC7A9038-3D7C-4243-972A-4FE78AEAD584}"/>
    <cellStyle name="Normal 5 6 2 3 3 4" xfId="31874" xr:uid="{DCDCD30B-CEF5-47A5-8662-0F4FF79726FB}"/>
    <cellStyle name="Normal 5 6 2 3 4" xfId="10776" xr:uid="{A61EB243-2736-4B52-BB49-D8FF5E673F39}"/>
    <cellStyle name="Normal 5 6 2 3 5" xfId="19217" xr:uid="{AC708CA7-9CBE-4CD2-BCAE-668D4C52DABB}"/>
    <cellStyle name="Normal 5 6 2 3 6" xfId="27657" xr:uid="{D02D322C-7053-4DB0-8887-CC0B65FD2974}"/>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EB4529D9-98CC-4B52-88EB-BE14ABE3BE22}"/>
    <cellStyle name="Normal 5 6 2 4 2 2 3" xfId="25992" xr:uid="{474FF3BD-08FA-4E32-9FCB-01D541F05A6C}"/>
    <cellStyle name="Normal 5 6 2 4 2 2 4" xfId="34432" xr:uid="{0992B1DE-E690-4211-BC7A-42E05E280264}"/>
    <cellStyle name="Normal 5 6 2 4 2 3" xfId="13334" xr:uid="{D180025A-0A12-4F8B-AE82-35F6F8678614}"/>
    <cellStyle name="Normal 5 6 2 4 2 4" xfId="21775" xr:uid="{8E8B7934-84FB-4D1B-876D-140F473E73E9}"/>
    <cellStyle name="Normal 5 6 2 4 2 5" xfId="30215" xr:uid="{9ED55F09-6B61-44BB-B582-6AEFB5DF158B}"/>
    <cellStyle name="Normal 5 6 2 4 3" xfId="6080" xr:uid="{00000000-0005-0000-0000-0000A91B0000}"/>
    <cellStyle name="Normal 5 6 2 4 3 2" xfId="15406" xr:uid="{46FFA5B3-F424-494C-865A-D6E268F0050A}"/>
    <cellStyle name="Normal 5 6 2 4 3 3" xfId="23847" xr:uid="{67926F48-160C-494F-B248-6D6C5700872E}"/>
    <cellStyle name="Normal 5 6 2 4 3 4" xfId="32287" xr:uid="{104BE148-E1EC-4434-9BED-7324730C359F}"/>
    <cellStyle name="Normal 5 6 2 4 4" xfId="11189" xr:uid="{0CA76CCA-1ADD-4ACD-ADCF-C276CEC5C247}"/>
    <cellStyle name="Normal 5 6 2 4 5" xfId="19630" xr:uid="{3BF9076C-603E-4261-88E5-BAD6A9A3DA16}"/>
    <cellStyle name="Normal 5 6 2 4 6" xfId="28070" xr:uid="{6098EB9B-762E-4C34-9840-B77B78669406}"/>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ACA012D7-2C3D-46C5-BB6A-B10215DBC297}"/>
    <cellStyle name="Normal 5 6 2 5 2 2 3" xfId="26405" xr:uid="{E3D54BEB-A9C2-45D8-8513-7AC70981C761}"/>
    <cellStyle name="Normal 5 6 2 5 2 2 4" xfId="34845" xr:uid="{6E470D7C-E987-466B-8B7F-FE3DDCD6210A}"/>
    <cellStyle name="Normal 5 6 2 5 2 3" xfId="13747" xr:uid="{5502892A-A3D8-4A9C-9952-7F9E7D7A26C8}"/>
    <cellStyle name="Normal 5 6 2 5 2 4" xfId="22188" xr:uid="{5C6FCDD7-A07C-475A-9F9E-15D1227B119A}"/>
    <cellStyle name="Normal 5 6 2 5 2 5" xfId="30628" xr:uid="{55CDA534-9700-4DD6-A742-B77173A0846F}"/>
    <cellStyle name="Normal 5 6 2 5 3" xfId="6493" xr:uid="{00000000-0005-0000-0000-0000AD1B0000}"/>
    <cellStyle name="Normal 5 6 2 5 3 2" xfId="15819" xr:uid="{49751E45-ECDE-400C-BCA2-5818AF737BBF}"/>
    <cellStyle name="Normal 5 6 2 5 3 3" xfId="24260" xr:uid="{954CECB8-AEC6-4F30-A245-BF8ACFF89F4E}"/>
    <cellStyle name="Normal 5 6 2 5 3 4" xfId="32700" xr:uid="{0CABB621-6B71-4687-84F8-F6CFF66E2C9C}"/>
    <cellStyle name="Normal 5 6 2 5 4" xfId="11602" xr:uid="{28D8A153-B964-4A0B-9144-06222788982F}"/>
    <cellStyle name="Normal 5 6 2 5 5" xfId="20043" xr:uid="{9C8E3BF1-8CF2-4D03-8C56-3D2F816E3ACB}"/>
    <cellStyle name="Normal 5 6 2 5 6" xfId="28483" xr:uid="{2B17EF85-F9CE-4ED5-8A22-7BCF54F85A0D}"/>
    <cellStyle name="Normal 5 6 2 6" xfId="2623" xr:uid="{00000000-0005-0000-0000-0000AE1B0000}"/>
    <cellStyle name="Normal 5 6 2 6 2" xfId="6906" xr:uid="{00000000-0005-0000-0000-0000AF1B0000}"/>
    <cellStyle name="Normal 5 6 2 6 2 2" xfId="16232" xr:uid="{BC98A9DA-55F8-4F5D-8C45-710524978FDB}"/>
    <cellStyle name="Normal 5 6 2 6 2 3" xfId="24673" xr:uid="{70260833-5389-4D25-ACF0-A65647E700FA}"/>
    <cellStyle name="Normal 5 6 2 6 2 4" xfId="33113" xr:uid="{8B4593CF-37F3-4668-A4B3-A3ECC5915DB5}"/>
    <cellStyle name="Normal 5 6 2 6 3" xfId="12015" xr:uid="{7705312D-224F-4483-A36D-D14DBB407D74}"/>
    <cellStyle name="Normal 5 6 2 6 4" xfId="20456" xr:uid="{C13B5B61-23CC-4C97-A529-F24DA15130FD}"/>
    <cellStyle name="Normal 5 6 2 6 5" xfId="28896" xr:uid="{C5AC239A-E9C0-43F1-BF17-43D33F4016DF}"/>
    <cellStyle name="Normal 5 6 2 7" xfId="4841" xr:uid="{00000000-0005-0000-0000-0000B01B0000}"/>
    <cellStyle name="Normal 5 6 2 7 2" xfId="14167" xr:uid="{AB50D24F-6018-4A7C-BCB8-B1D82B63D2F9}"/>
    <cellStyle name="Normal 5 6 2 7 3" xfId="22608" xr:uid="{9E3453DE-5846-4355-9BC6-BE23C1EB8B01}"/>
    <cellStyle name="Normal 5 6 2 7 4" xfId="31048" xr:uid="{F734621D-7365-498E-8A13-E71D64450258}"/>
    <cellStyle name="Normal 5 6 2 8" xfId="9051" xr:uid="{97C72229-9AC1-4DA9-8A0B-8B4B6D970DE8}"/>
    <cellStyle name="Normal 5 6 2 9" xfId="9950" xr:uid="{D9A371BF-FA6D-4E21-8745-86C1EB45D426}"/>
    <cellStyle name="Normal 5 6 3" xfId="942" xr:uid="{00000000-0005-0000-0000-0000B11B0000}"/>
    <cellStyle name="Normal 5 6 3 2" xfId="3176" xr:uid="{00000000-0005-0000-0000-0000B21B0000}"/>
    <cellStyle name="Normal 5 6 3 2 2" xfId="7398" xr:uid="{00000000-0005-0000-0000-0000B31B0000}"/>
    <cellStyle name="Normal 5 6 3 2 2 2" xfId="16724" xr:uid="{17BAB953-0333-435C-9762-080EBC5D97A5}"/>
    <cellStyle name="Normal 5 6 3 2 2 3" xfId="25165" xr:uid="{5D7B0B0A-89A9-45BA-B7A1-2736B0B217FD}"/>
    <cellStyle name="Normal 5 6 3 2 2 4" xfId="33605" xr:uid="{55AB1116-71CF-4389-A634-4E2F9607CA9A}"/>
    <cellStyle name="Normal 5 6 3 2 3" xfId="12507" xr:uid="{6A7B001E-1869-4FC0-AF78-91777D3978F4}"/>
    <cellStyle name="Normal 5 6 3 2 4" xfId="20948" xr:uid="{A12B5B46-C504-4029-B7F9-93D15A912CD6}"/>
    <cellStyle name="Normal 5 6 3 2 5" xfId="29388" xr:uid="{65EC6E92-63EE-4D1C-975D-8A3709227836}"/>
    <cellStyle name="Normal 5 6 3 3" xfId="5253" xr:uid="{00000000-0005-0000-0000-0000B41B0000}"/>
    <cellStyle name="Normal 5 6 3 3 2" xfId="14579" xr:uid="{CB57EA84-C9E8-40D7-A3E5-27A195E9BED9}"/>
    <cellStyle name="Normal 5 6 3 3 3" xfId="23020" xr:uid="{691A9082-1FB8-4E07-82F8-05140B3302C4}"/>
    <cellStyle name="Normal 5 6 3 3 4" xfId="31460" xr:uid="{5DCE6749-5371-47D2-8881-7C0E3DF76EFE}"/>
    <cellStyle name="Normal 5 6 3 4" xfId="9269" xr:uid="{7D6728A0-C210-4F3F-8114-143B9AE0BFB4}"/>
    <cellStyle name="Normal 5 6 3 5" xfId="10362" xr:uid="{EA4DBC2C-BE86-4BAB-BC39-E2991A96C6BF}"/>
    <cellStyle name="Normal 5 6 3 6" xfId="18803" xr:uid="{B666D980-AB46-48CE-9CB9-D79D343A229A}"/>
    <cellStyle name="Normal 5 6 3 7" xfId="27243" xr:uid="{D899EFDF-8457-40E3-A729-76180BE8B5FA}"/>
    <cellStyle name="Normal 5 6 4" xfId="1359" xr:uid="{00000000-0005-0000-0000-0000B51B0000}"/>
    <cellStyle name="Normal 5 6 4 2" xfId="3589" xr:uid="{00000000-0005-0000-0000-0000B61B0000}"/>
    <cellStyle name="Normal 5 6 4 2 2" xfId="7811" xr:uid="{00000000-0005-0000-0000-0000B71B0000}"/>
    <cellStyle name="Normal 5 6 4 2 2 2" xfId="17137" xr:uid="{7FC8513D-75F4-47D8-9FE0-4BF6E7888FE4}"/>
    <cellStyle name="Normal 5 6 4 2 2 3" xfId="25578" xr:uid="{90D4965D-0634-4477-A8A0-70D79E99E66A}"/>
    <cellStyle name="Normal 5 6 4 2 2 4" xfId="34018" xr:uid="{2BCA8948-C719-4779-BA5C-CA2B1059573E}"/>
    <cellStyle name="Normal 5 6 4 2 3" xfId="12920" xr:uid="{C84CBCA9-7DF8-4FA2-B606-566C011D51C0}"/>
    <cellStyle name="Normal 5 6 4 2 4" xfId="21361" xr:uid="{A1D0F713-E34C-4D77-A5A6-075A5B12B0E0}"/>
    <cellStyle name="Normal 5 6 4 2 5" xfId="29801" xr:uid="{482118BE-C9B0-4038-AE67-A03791A1D4AC}"/>
    <cellStyle name="Normal 5 6 4 3" xfId="5666" xr:uid="{00000000-0005-0000-0000-0000B81B0000}"/>
    <cellStyle name="Normal 5 6 4 3 2" xfId="14992" xr:uid="{F6432763-9A0D-4F71-8331-FE86563EE64E}"/>
    <cellStyle name="Normal 5 6 4 3 3" xfId="23433" xr:uid="{55D55462-C42E-4FD1-BE3D-27A620DB1673}"/>
    <cellStyle name="Normal 5 6 4 3 4" xfId="31873" xr:uid="{0D70E62B-EF87-40B4-AB5B-3B21C229278A}"/>
    <cellStyle name="Normal 5 6 4 4" xfId="10775" xr:uid="{B7D0AF99-FD14-46E9-89BE-15F273B77A5C}"/>
    <cellStyle name="Normal 5 6 4 5" xfId="19216" xr:uid="{C093D0CA-CF35-4862-B194-2386261CE0CB}"/>
    <cellStyle name="Normal 5 6 4 6" xfId="27656" xr:uid="{DD4F3662-DABB-4287-B9FD-7D4C070F794C}"/>
    <cellStyle name="Normal 5 6 5" xfId="1772" xr:uid="{00000000-0005-0000-0000-0000B91B0000}"/>
    <cellStyle name="Normal 5 6 5 2" xfId="4002" xr:uid="{00000000-0005-0000-0000-0000BA1B0000}"/>
    <cellStyle name="Normal 5 6 5 2 2" xfId="8224" xr:uid="{00000000-0005-0000-0000-0000BB1B0000}"/>
    <cellStyle name="Normal 5 6 5 2 2 2" xfId="17550" xr:uid="{8EAE20B3-CD49-44E1-95D3-E3271227B69C}"/>
    <cellStyle name="Normal 5 6 5 2 2 3" xfId="25991" xr:uid="{F864CA50-5904-496E-BB3F-35947135DB24}"/>
    <cellStyle name="Normal 5 6 5 2 2 4" xfId="34431" xr:uid="{AE2D5079-BDFE-4513-8383-EC76703571F5}"/>
    <cellStyle name="Normal 5 6 5 2 3" xfId="13333" xr:uid="{62AF4EE8-9A6A-4BEF-9D55-981E7DCA8942}"/>
    <cellStyle name="Normal 5 6 5 2 4" xfId="21774" xr:uid="{A684B8D2-AFCE-4703-B56A-0E95B9E08715}"/>
    <cellStyle name="Normal 5 6 5 2 5" xfId="30214" xr:uid="{B023A71F-E7BD-40E4-9D29-F30AF78BDF22}"/>
    <cellStyle name="Normal 5 6 5 3" xfId="6079" xr:uid="{00000000-0005-0000-0000-0000BC1B0000}"/>
    <cellStyle name="Normal 5 6 5 3 2" xfId="15405" xr:uid="{F70000C5-C595-4BD1-9EB5-FEE2B26F02AD}"/>
    <cellStyle name="Normal 5 6 5 3 3" xfId="23846" xr:uid="{5CB0E5EB-A3AF-474F-97B1-56D374C2DDCC}"/>
    <cellStyle name="Normal 5 6 5 3 4" xfId="32286" xr:uid="{FCC59869-D66E-4C9E-9B79-FB53BF019426}"/>
    <cellStyle name="Normal 5 6 5 4" xfId="11188" xr:uid="{B6090F00-42F5-4A1A-A158-A4DEB0A382D2}"/>
    <cellStyle name="Normal 5 6 5 5" xfId="19629" xr:uid="{7416DDFA-1752-4208-9F4A-D645D71BFC33}"/>
    <cellStyle name="Normal 5 6 5 6" xfId="28069" xr:uid="{00C3109B-6BD5-4984-9B36-899C501AEDF8}"/>
    <cellStyle name="Normal 5 6 6" xfId="2186" xr:uid="{00000000-0005-0000-0000-0000BD1B0000}"/>
    <cellStyle name="Normal 5 6 6 2" xfId="4415" xr:uid="{00000000-0005-0000-0000-0000BE1B0000}"/>
    <cellStyle name="Normal 5 6 6 2 2" xfId="8637" xr:uid="{00000000-0005-0000-0000-0000BF1B0000}"/>
    <cellStyle name="Normal 5 6 6 2 2 2" xfId="17963" xr:uid="{6EE0E4DB-0C99-4F32-BDAE-7BB49237B87C}"/>
    <cellStyle name="Normal 5 6 6 2 2 3" xfId="26404" xr:uid="{BABED83D-E4FF-447E-8FBD-48F7717654F5}"/>
    <cellStyle name="Normal 5 6 6 2 2 4" xfId="34844" xr:uid="{02CAA983-7438-4722-BC60-B766911B73BC}"/>
    <cellStyle name="Normal 5 6 6 2 3" xfId="13746" xr:uid="{196F8C20-0E2C-49FA-AD2C-755D0DAF67A7}"/>
    <cellStyle name="Normal 5 6 6 2 4" xfId="22187" xr:uid="{33023F11-1C96-49CA-8091-2011065C884C}"/>
    <cellStyle name="Normal 5 6 6 2 5" xfId="30627" xr:uid="{53CC84D5-BB85-4CB4-BC57-1F9315652948}"/>
    <cellStyle name="Normal 5 6 6 3" xfId="6492" xr:uid="{00000000-0005-0000-0000-0000C01B0000}"/>
    <cellStyle name="Normal 5 6 6 3 2" xfId="15818" xr:uid="{A401C509-1AF1-49FE-94FB-6B8583C5ED14}"/>
    <cellStyle name="Normal 5 6 6 3 3" xfId="24259" xr:uid="{7DD07B6A-04A7-4F2C-9843-CC054C65D4E8}"/>
    <cellStyle name="Normal 5 6 6 3 4" xfId="32699" xr:uid="{56C3A3DB-5588-41CF-9FAD-6A6D6170C0E1}"/>
    <cellStyle name="Normal 5 6 6 4" xfId="11601" xr:uid="{017AC55E-688E-4D20-8F83-C6638FF21462}"/>
    <cellStyle name="Normal 5 6 6 5" xfId="20042" xr:uid="{3BA54FAB-FE7D-47DF-9CA9-68997969DAFE}"/>
    <cellStyle name="Normal 5 6 6 6" xfId="28482" xr:uid="{BE0962CF-AA01-4560-9A5E-754943B196D0}"/>
    <cellStyle name="Normal 5 6 7" xfId="2622" xr:uid="{00000000-0005-0000-0000-0000C11B0000}"/>
    <cellStyle name="Normal 5 6 7 2" xfId="6905" xr:uid="{00000000-0005-0000-0000-0000C21B0000}"/>
    <cellStyle name="Normal 5 6 7 2 2" xfId="16231" xr:uid="{21BD7DA1-039B-4204-91D3-44C4C71EB27C}"/>
    <cellStyle name="Normal 5 6 7 2 3" xfId="24672" xr:uid="{3057ECC7-70A9-452F-B37C-8D1C431EF220}"/>
    <cellStyle name="Normal 5 6 7 2 4" xfId="33112" xr:uid="{BE42A37F-B0D3-4B8D-8EAB-B1C40204F815}"/>
    <cellStyle name="Normal 5 6 7 3" xfId="12014" xr:uid="{1F26E7BF-F015-4154-921C-463685431D64}"/>
    <cellStyle name="Normal 5 6 7 4" xfId="20455" xr:uid="{E0274E40-D2C3-4FB1-AF52-83EA6D008C95}"/>
    <cellStyle name="Normal 5 6 7 5" xfId="28895" xr:uid="{E99D62A3-8E98-47C7-A08B-5E02C5793A65}"/>
    <cellStyle name="Normal 5 6 8" xfId="4840" xr:uid="{00000000-0005-0000-0000-0000C31B0000}"/>
    <cellStyle name="Normal 5 6 8 2" xfId="14166" xr:uid="{EC6E033F-9BD3-4679-A1EE-28801628681D}"/>
    <cellStyle name="Normal 5 6 8 3" xfId="22607" xr:uid="{DEF8E2EC-8908-4AA2-B182-915EDCDEB11C}"/>
    <cellStyle name="Normal 5 6 8 4" xfId="31047" xr:uid="{6971F1F8-66CD-4D95-816C-1C1932580C0D}"/>
    <cellStyle name="Normal 5 6 9" xfId="8844" xr:uid="{91B947E4-8FF0-409F-B157-688724766D9F}"/>
    <cellStyle name="Normal 5 7" xfId="470" xr:uid="{00000000-0005-0000-0000-0000C41B0000}"/>
    <cellStyle name="Normal 5 7 10" xfId="18392" xr:uid="{4190C841-2890-40E0-BF39-B532DD4468BC}"/>
    <cellStyle name="Normal 5 7 11" xfId="26832" xr:uid="{E1A9BF22-42BC-4DE7-8606-B0FCACC01332}"/>
    <cellStyle name="Normal 5 7 2" xfId="944" xr:uid="{00000000-0005-0000-0000-0000C51B0000}"/>
    <cellStyle name="Normal 5 7 2 2" xfId="3178" xr:uid="{00000000-0005-0000-0000-0000C61B0000}"/>
    <cellStyle name="Normal 5 7 2 2 2" xfId="7400" xr:uid="{00000000-0005-0000-0000-0000C71B0000}"/>
    <cellStyle name="Normal 5 7 2 2 2 2" xfId="16726" xr:uid="{7B87682F-7C1F-40FA-B0E1-C11BA4368EFB}"/>
    <cellStyle name="Normal 5 7 2 2 2 3" xfId="25167" xr:uid="{707DEEA3-3FD0-42EB-BBF4-F890338A2C3E}"/>
    <cellStyle name="Normal 5 7 2 2 2 4" xfId="33607" xr:uid="{0A401BA7-72AB-4B90-8CD6-F8E504084917}"/>
    <cellStyle name="Normal 5 7 2 2 3" xfId="12509" xr:uid="{790A57D3-EB50-41EA-8450-D4AF1B896A02}"/>
    <cellStyle name="Normal 5 7 2 2 4" xfId="20950" xr:uid="{C31730E2-067F-44B7-A85F-D60CA3A28880}"/>
    <cellStyle name="Normal 5 7 2 2 5" xfId="29390" xr:uid="{595B724B-7037-4563-9EA8-179AC5BBEE84}"/>
    <cellStyle name="Normal 5 7 2 3" xfId="5255" xr:uid="{00000000-0005-0000-0000-0000C81B0000}"/>
    <cellStyle name="Normal 5 7 2 3 2" xfId="14581" xr:uid="{E5F9819B-2AEB-41FF-A55A-381A75939D7E}"/>
    <cellStyle name="Normal 5 7 2 3 3" xfId="23022" xr:uid="{5A02815C-6C8C-49E4-AE13-2BE47F131C78}"/>
    <cellStyle name="Normal 5 7 2 3 4" xfId="31462" xr:uid="{E53160CF-82AA-485C-8D86-5D7ACBD6331C}"/>
    <cellStyle name="Normal 5 7 2 4" xfId="9385" xr:uid="{2E4A3B0A-2E42-41AC-9564-09D1598995A2}"/>
    <cellStyle name="Normal 5 7 2 5" xfId="10364" xr:uid="{B85EDF89-D8F2-477F-95B5-EECAA7751D19}"/>
    <cellStyle name="Normal 5 7 2 6" xfId="18805" xr:uid="{2459D8C2-B689-43FE-8A50-A1FA28894BD0}"/>
    <cellStyle name="Normal 5 7 2 7" xfId="27245" xr:uid="{3C7F4528-52B9-4C2F-B296-E07CA2425567}"/>
    <cellStyle name="Normal 5 7 3" xfId="1361" xr:uid="{00000000-0005-0000-0000-0000C91B0000}"/>
    <cellStyle name="Normal 5 7 3 2" xfId="3591" xr:uid="{00000000-0005-0000-0000-0000CA1B0000}"/>
    <cellStyle name="Normal 5 7 3 2 2" xfId="7813" xr:uid="{00000000-0005-0000-0000-0000CB1B0000}"/>
    <cellStyle name="Normal 5 7 3 2 2 2" xfId="17139" xr:uid="{BAEB0980-FBA6-4FDC-AC48-1EF79B430438}"/>
    <cellStyle name="Normal 5 7 3 2 2 3" xfId="25580" xr:uid="{A4A70584-6136-4882-8986-A2CCD116A91A}"/>
    <cellStyle name="Normal 5 7 3 2 2 4" xfId="34020" xr:uid="{28CBBAD0-AA17-489F-A441-0A76B3E5F2D9}"/>
    <cellStyle name="Normal 5 7 3 2 3" xfId="12922" xr:uid="{0D186A2B-7869-47D7-A6E4-7A7882845EA3}"/>
    <cellStyle name="Normal 5 7 3 2 4" xfId="21363" xr:uid="{19F4856E-2283-4224-9BFE-37F61D659B3A}"/>
    <cellStyle name="Normal 5 7 3 2 5" xfId="29803" xr:uid="{864C48F4-A763-417A-A70B-4FA0FA64A7DD}"/>
    <cellStyle name="Normal 5 7 3 3" xfId="5668" xr:uid="{00000000-0005-0000-0000-0000CC1B0000}"/>
    <cellStyle name="Normal 5 7 3 3 2" xfId="14994" xr:uid="{FA3A16A8-A9FA-41D7-9BFB-1017F4D70F3B}"/>
    <cellStyle name="Normal 5 7 3 3 3" xfId="23435" xr:uid="{FAC2B674-FCE6-4C0C-BEE0-B736CE6651B1}"/>
    <cellStyle name="Normal 5 7 3 3 4" xfId="31875" xr:uid="{DDABFDFB-A269-452C-B88F-FB99CC7476E2}"/>
    <cellStyle name="Normal 5 7 3 4" xfId="10777" xr:uid="{FB23D300-2543-4571-92F8-9B3BFD6CB618}"/>
    <cellStyle name="Normal 5 7 3 5" xfId="19218" xr:uid="{FC7858AA-5CB6-4519-B4EB-585D195B82BD}"/>
    <cellStyle name="Normal 5 7 3 6" xfId="27658" xr:uid="{7C2CA46F-AE79-454E-91FD-E7819B2E86E4}"/>
    <cellStyle name="Normal 5 7 4" xfId="1774" xr:uid="{00000000-0005-0000-0000-0000CD1B0000}"/>
    <cellStyle name="Normal 5 7 4 2" xfId="4004" xr:uid="{00000000-0005-0000-0000-0000CE1B0000}"/>
    <cellStyle name="Normal 5 7 4 2 2" xfId="8226" xr:uid="{00000000-0005-0000-0000-0000CF1B0000}"/>
    <cellStyle name="Normal 5 7 4 2 2 2" xfId="17552" xr:uid="{348C10A2-189C-4E4B-BBC9-D427A0E061D3}"/>
    <cellStyle name="Normal 5 7 4 2 2 3" xfId="25993" xr:uid="{0ACE51B6-54D9-437A-83F4-84D5B9DA7BE7}"/>
    <cellStyle name="Normal 5 7 4 2 2 4" xfId="34433" xr:uid="{61151438-FC4F-45D3-944B-BDAA08DED959}"/>
    <cellStyle name="Normal 5 7 4 2 3" xfId="13335" xr:uid="{87B9C397-E1EB-438F-9AC7-E970F97F6649}"/>
    <cellStyle name="Normal 5 7 4 2 4" xfId="21776" xr:uid="{1C8B0003-0D3D-43ED-B4EA-FD8BCDA41E02}"/>
    <cellStyle name="Normal 5 7 4 2 5" xfId="30216" xr:uid="{D9B1E006-21E2-43ED-B1D2-EB80746B71D9}"/>
    <cellStyle name="Normal 5 7 4 3" xfId="6081" xr:uid="{00000000-0005-0000-0000-0000D01B0000}"/>
    <cellStyle name="Normal 5 7 4 3 2" xfId="15407" xr:uid="{20970C9A-BCA8-41BB-95AA-142BC70589FE}"/>
    <cellStyle name="Normal 5 7 4 3 3" xfId="23848" xr:uid="{3C6223C1-F378-40C7-A027-DB9D194F7D66}"/>
    <cellStyle name="Normal 5 7 4 3 4" xfId="32288" xr:uid="{069ABBFF-73C8-4973-9A04-F23BC722F11B}"/>
    <cellStyle name="Normal 5 7 4 4" xfId="11190" xr:uid="{A39D41FD-EEAF-4290-A3AD-C84138F456BE}"/>
    <cellStyle name="Normal 5 7 4 5" xfId="19631" xr:uid="{F6C8ABB2-A92C-4DDC-82B4-1689C30FF309}"/>
    <cellStyle name="Normal 5 7 4 6" xfId="28071" xr:uid="{7F3314BF-8EE2-45F3-A188-1AA225D26189}"/>
    <cellStyle name="Normal 5 7 5" xfId="2188" xr:uid="{00000000-0005-0000-0000-0000D11B0000}"/>
    <cellStyle name="Normal 5 7 5 2" xfId="4417" xr:uid="{00000000-0005-0000-0000-0000D21B0000}"/>
    <cellStyle name="Normal 5 7 5 2 2" xfId="8639" xr:uid="{00000000-0005-0000-0000-0000D31B0000}"/>
    <cellStyle name="Normal 5 7 5 2 2 2" xfId="17965" xr:uid="{89AB1FD9-B9AC-41CF-9F6E-54A625F5EF03}"/>
    <cellStyle name="Normal 5 7 5 2 2 3" xfId="26406" xr:uid="{8591E60F-B459-4687-AACA-9654BCADE2B4}"/>
    <cellStyle name="Normal 5 7 5 2 2 4" xfId="34846" xr:uid="{D9F8D842-DB88-429E-A589-2FEA80FDF4AD}"/>
    <cellStyle name="Normal 5 7 5 2 3" xfId="13748" xr:uid="{3506B68C-4F1B-4CBF-8DAF-D52F62697221}"/>
    <cellStyle name="Normal 5 7 5 2 4" xfId="22189" xr:uid="{BCAC2090-D0AD-4D1A-89DD-ED5889493B3B}"/>
    <cellStyle name="Normal 5 7 5 2 5" xfId="30629" xr:uid="{E8F34294-8805-4F19-8F58-B583CEA10AB5}"/>
    <cellStyle name="Normal 5 7 5 3" xfId="6494" xr:uid="{00000000-0005-0000-0000-0000D41B0000}"/>
    <cellStyle name="Normal 5 7 5 3 2" xfId="15820" xr:uid="{D6FAE57F-4A0F-4271-BF2E-F20E01E16FED}"/>
    <cellStyle name="Normal 5 7 5 3 3" xfId="24261" xr:uid="{AB751AA6-3C20-4C44-91E7-628962698A53}"/>
    <cellStyle name="Normal 5 7 5 3 4" xfId="32701" xr:uid="{D243EAB4-B125-4DE8-AC59-501C8632788D}"/>
    <cellStyle name="Normal 5 7 5 4" xfId="11603" xr:uid="{5641027B-1A98-4DE1-866C-158159170C8D}"/>
    <cellStyle name="Normal 5 7 5 5" xfId="20044" xr:uid="{72EB7A0F-9C60-4BC4-B7AB-C8BEFA933639}"/>
    <cellStyle name="Normal 5 7 5 6" xfId="28484" xr:uid="{E1B500B8-C918-4234-A0FA-CCEC8CF2583E}"/>
    <cellStyle name="Normal 5 7 6" xfId="2624" xr:uid="{00000000-0005-0000-0000-0000D51B0000}"/>
    <cellStyle name="Normal 5 7 6 2" xfId="6907" xr:uid="{00000000-0005-0000-0000-0000D61B0000}"/>
    <cellStyle name="Normal 5 7 6 2 2" xfId="16233" xr:uid="{87677526-BE05-49B7-A8F1-F55D2FEE607B}"/>
    <cellStyle name="Normal 5 7 6 2 3" xfId="24674" xr:uid="{4D6290B6-C2EA-411C-8FDF-93DE009E5F8D}"/>
    <cellStyle name="Normal 5 7 6 2 4" xfId="33114" xr:uid="{6ABE6318-2FAE-4326-B67F-89A6BD666CC8}"/>
    <cellStyle name="Normal 5 7 6 3" xfId="12016" xr:uid="{3A2FC574-76C9-4234-8D7E-2A27048EEFE0}"/>
    <cellStyle name="Normal 5 7 6 4" xfId="20457" xr:uid="{1198ACE6-AEEA-44AC-9A40-F3B0D29A2FE2}"/>
    <cellStyle name="Normal 5 7 6 5" xfId="28897" xr:uid="{0E65851B-AD92-4097-AFAF-436C7963EA69}"/>
    <cellStyle name="Normal 5 7 7" xfId="4842" xr:uid="{00000000-0005-0000-0000-0000D71B0000}"/>
    <cellStyle name="Normal 5 7 7 2" xfId="14168" xr:uid="{8EFA9D87-D8AE-42FB-81AD-142E61F963CC}"/>
    <cellStyle name="Normal 5 7 7 3" xfId="22609" xr:uid="{68EE3EA2-3C56-4E9F-89A6-535B294E9D25}"/>
    <cellStyle name="Normal 5 7 7 4" xfId="31049" xr:uid="{CBEE4528-4CBD-4895-A99F-E27F76A32269}"/>
    <cellStyle name="Normal 5 7 8" xfId="8960" xr:uid="{F4BEC964-53C9-4393-B7F1-69B47FC1FF25}"/>
    <cellStyle name="Normal 5 7 9" xfId="9951" xr:uid="{0E87ECFF-927A-4D1E-AF05-68AADB5FE1E8}"/>
    <cellStyle name="Normal 5 8" xfId="880" xr:uid="{00000000-0005-0000-0000-0000D81B0000}"/>
    <cellStyle name="Normal 5 8 2" xfId="3115" xr:uid="{00000000-0005-0000-0000-0000D91B0000}"/>
    <cellStyle name="Normal 5 8 2 2" xfId="7337" xr:uid="{00000000-0005-0000-0000-0000DA1B0000}"/>
    <cellStyle name="Normal 5 8 2 2 2" xfId="16663" xr:uid="{87BDDD46-ED5A-4CED-91B4-31FEAD6704A5}"/>
    <cellStyle name="Normal 5 8 2 2 3" xfId="25104" xr:uid="{5711C670-A4CF-45A5-9ACB-A17FF5F81929}"/>
    <cellStyle name="Normal 5 8 2 2 4" xfId="33544" xr:uid="{1C41FB3B-1B9C-4AE3-B614-60EFCC7D78AA}"/>
    <cellStyle name="Normal 5 8 2 3" xfId="12446" xr:uid="{3AC2769E-8680-41E7-9C97-77523856B54B}"/>
    <cellStyle name="Normal 5 8 2 4" xfId="20887" xr:uid="{90E54BFD-3D66-49F4-B5E4-102809D511D4}"/>
    <cellStyle name="Normal 5 8 2 5" xfId="29327" xr:uid="{CEC568AE-87EA-418F-9898-125025201A85}"/>
    <cellStyle name="Normal 5 8 3" xfId="5192" xr:uid="{00000000-0005-0000-0000-0000DB1B0000}"/>
    <cellStyle name="Normal 5 8 3 2" xfId="14518" xr:uid="{FC756ABF-D2CF-415A-85E7-55427A6C6A83}"/>
    <cellStyle name="Normal 5 8 3 3" xfId="22959" xr:uid="{26BEB9A5-C2CF-4C0E-934D-6C87E64A5719}"/>
    <cellStyle name="Normal 5 8 3 4" xfId="31399" xr:uid="{6D3F8E04-0B05-486E-8A29-9BCAF3E88468}"/>
    <cellStyle name="Normal 5 8 4" xfId="9163" xr:uid="{44C7CAD4-DD7C-48E0-9142-8ED22123C662}"/>
    <cellStyle name="Normal 5 8 5" xfId="10301" xr:uid="{3BA9EBA0-F317-45C2-B31E-0683BC467423}"/>
    <cellStyle name="Normal 5 8 6" xfId="18742" xr:uid="{A8CB103A-BE3B-4283-A5B4-419709E5FF8E}"/>
    <cellStyle name="Normal 5 8 7" xfId="27182" xr:uid="{2501DE85-B0B7-4591-A999-186FCCCC85EC}"/>
    <cellStyle name="Normal 5 9" xfId="1298" xr:uid="{00000000-0005-0000-0000-0000DC1B0000}"/>
    <cellStyle name="Normal 5 9 2" xfId="3528" xr:uid="{00000000-0005-0000-0000-0000DD1B0000}"/>
    <cellStyle name="Normal 5 9 2 2" xfId="7750" xr:uid="{00000000-0005-0000-0000-0000DE1B0000}"/>
    <cellStyle name="Normal 5 9 2 2 2" xfId="17076" xr:uid="{9FCD9592-0CE3-4854-A722-02C3D89E5C5C}"/>
    <cellStyle name="Normal 5 9 2 2 3" xfId="25517" xr:uid="{08FF60E5-3945-4696-921C-645B171FC4AE}"/>
    <cellStyle name="Normal 5 9 2 2 4" xfId="33957" xr:uid="{A4091D95-FECB-4AB7-A456-04170E0C42BB}"/>
    <cellStyle name="Normal 5 9 2 3" xfId="12859" xr:uid="{7AA673A2-B78D-4766-8D7D-F18CCE3DBAB8}"/>
    <cellStyle name="Normal 5 9 2 4" xfId="21300" xr:uid="{B1D81520-E09F-4E43-ACCB-70D251E63B06}"/>
    <cellStyle name="Normal 5 9 2 5" xfId="29740" xr:uid="{38F06095-FE39-45C2-856B-0F940177F057}"/>
    <cellStyle name="Normal 5 9 3" xfId="5605" xr:uid="{00000000-0005-0000-0000-0000DF1B0000}"/>
    <cellStyle name="Normal 5 9 3 2" xfId="14931" xr:uid="{031BA101-C99F-4DFD-91E9-A187D7031C8B}"/>
    <cellStyle name="Normal 5 9 3 3" xfId="23372" xr:uid="{84D90FD5-9BC4-43A0-BA7A-F11D1F16CADD}"/>
    <cellStyle name="Normal 5 9 3 4" xfId="31812" xr:uid="{E3948F38-EBEA-46F2-93B2-17EA32F295B3}"/>
    <cellStyle name="Normal 5 9 4" xfId="10714" xr:uid="{8B3FCE07-09A3-47FC-ACAF-834C65CCDEAF}"/>
    <cellStyle name="Normal 5 9 5" xfId="19155" xr:uid="{2249CD1D-98EB-4CF6-9397-05FE2E129D32}"/>
    <cellStyle name="Normal 5 9 6" xfId="27595" xr:uid="{85A65366-9117-4F54-84CF-0795B58D4F08}"/>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F2FC133C-8938-49A8-AC85-0D7242AB48C2}"/>
    <cellStyle name="Normal 8 10 2 2 3" xfId="26407" xr:uid="{D7A188C9-5A5D-477C-A945-2C33F0D6E321}"/>
    <cellStyle name="Normal 8 10 2 2 4" xfId="34847" xr:uid="{F10144AD-777C-406A-88DC-E6F9899DB152}"/>
    <cellStyle name="Normal 8 10 2 3" xfId="13749" xr:uid="{9894BC4C-D8EC-429F-BE61-79664FF527ED}"/>
    <cellStyle name="Normal 8 10 2 4" xfId="22190" xr:uid="{94C1AA45-E4BC-4EED-905D-4FEDF4B3FB34}"/>
    <cellStyle name="Normal 8 10 2 5" xfId="30630" xr:uid="{92CA7264-BBB0-4C9F-BA25-F41402A4D16A}"/>
    <cellStyle name="Normal 8 10 3" xfId="6495" xr:uid="{00000000-0005-0000-0000-0000EB1B0000}"/>
    <cellStyle name="Normal 8 10 3 2" xfId="15821" xr:uid="{280C013C-134B-4213-8341-582044689DE4}"/>
    <cellStyle name="Normal 8 10 3 3" xfId="24262" xr:uid="{4826207B-8DEF-4439-A88B-2755E6009C53}"/>
    <cellStyle name="Normal 8 10 3 4" xfId="32702" xr:uid="{44E55C55-2D1E-49E4-8329-1FA4D49E200B}"/>
    <cellStyle name="Normal 8 10 4" xfId="11604" xr:uid="{F7CDD00C-4F58-460B-B097-BB1C1E1A595C}"/>
    <cellStyle name="Normal 8 10 5" xfId="20045" xr:uid="{309CA437-2A50-4CE3-B3EE-D0EF99F6988A}"/>
    <cellStyle name="Normal 8 10 6" xfId="28485" xr:uid="{72366AEE-7C0E-4B1D-A564-507042C085F4}"/>
    <cellStyle name="Normal 8 11" xfId="2625" xr:uid="{00000000-0005-0000-0000-0000EC1B0000}"/>
    <cellStyle name="Normal 8 11 2" xfId="6908" xr:uid="{00000000-0005-0000-0000-0000ED1B0000}"/>
    <cellStyle name="Normal 8 11 2 2" xfId="16234" xr:uid="{3A28AC49-7F97-4DAD-A9C3-B4715CAC7B00}"/>
    <cellStyle name="Normal 8 11 2 3" xfId="24675" xr:uid="{F78CF96E-D9F8-41C6-89F0-66ABE66A6FC8}"/>
    <cellStyle name="Normal 8 11 2 4" xfId="33115" xr:uid="{119E44CB-A719-4B15-A04E-1B6E5F29AE7F}"/>
    <cellStyle name="Normal 8 11 3" xfId="12017" xr:uid="{4D705D2E-6CA7-4EF7-9769-0125A52929F4}"/>
    <cellStyle name="Normal 8 11 4" xfId="20458" xr:uid="{0564D149-FF50-4DBB-8FDC-B1553621C1CB}"/>
    <cellStyle name="Normal 8 11 5" xfId="28898" xr:uid="{276178AC-D37E-4F2F-A3FE-B7C5067DA68A}"/>
    <cellStyle name="Normal 8 12" xfId="4843" xr:uid="{00000000-0005-0000-0000-0000EE1B0000}"/>
    <cellStyle name="Normal 8 12 2" xfId="14169" xr:uid="{2FBF7DF9-95B0-4E78-AE51-BD83C5367D85}"/>
    <cellStyle name="Normal 8 12 3" xfId="22610" xr:uid="{EEFB7179-662E-45BD-AA53-F4B69FE6864C}"/>
    <cellStyle name="Normal 8 12 4" xfId="31050" xr:uid="{3E3E8E2C-1696-45D5-9E3A-5E22233DA843}"/>
    <cellStyle name="Normal 8 13" xfId="8742" xr:uid="{AF36CBBC-3EEB-4AC8-923B-65C7C2418AB0}"/>
    <cellStyle name="Normal 8 14" xfId="9952" xr:uid="{06D0E311-5941-4AA6-A119-7C01009CCA6F}"/>
    <cellStyle name="Normal 8 15" xfId="18393" xr:uid="{E97A5321-21AC-402F-8542-B34296E71D5E}"/>
    <cellStyle name="Normal 8 16" xfId="26833" xr:uid="{4E9F6FEA-2C06-4AD2-B89E-F98334C83898}"/>
    <cellStyle name="Normal 8 2" xfId="479" xr:uid="{00000000-0005-0000-0000-0000EF1B0000}"/>
    <cellStyle name="Normal 8 2 10" xfId="2626" xr:uid="{00000000-0005-0000-0000-0000F01B0000}"/>
    <cellStyle name="Normal 8 2 10 2" xfId="6909" xr:uid="{00000000-0005-0000-0000-0000F11B0000}"/>
    <cellStyle name="Normal 8 2 10 2 2" xfId="16235" xr:uid="{7B3D6EAA-EDD7-415C-991C-3DF43FD35B53}"/>
    <cellStyle name="Normal 8 2 10 2 3" xfId="24676" xr:uid="{B27DA612-0849-4C97-8B70-5F0CAC72392A}"/>
    <cellStyle name="Normal 8 2 10 2 4" xfId="33116" xr:uid="{4B8DCC77-C700-4923-BD92-44047FF5A87D}"/>
    <cellStyle name="Normal 8 2 10 3" xfId="12018" xr:uid="{507CBB7C-6A5E-452E-8C2A-044F2A8659DC}"/>
    <cellStyle name="Normal 8 2 10 4" xfId="20459" xr:uid="{FE65D5BF-15C5-4E37-8DB6-496631C5B096}"/>
    <cellStyle name="Normal 8 2 10 5" xfId="28899" xr:uid="{64361159-9866-4CA4-9173-C4A7151CE9E6}"/>
    <cellStyle name="Normal 8 2 11" xfId="4844" xr:uid="{00000000-0005-0000-0000-0000F21B0000}"/>
    <cellStyle name="Normal 8 2 11 2" xfId="14170" xr:uid="{C9ED3735-7292-425A-B5AF-351F5598A685}"/>
    <cellStyle name="Normal 8 2 11 3" xfId="22611" xr:uid="{8DA596AE-F5E1-4C63-BD84-60F5E04798CD}"/>
    <cellStyle name="Normal 8 2 11 4" xfId="31051" xr:uid="{4DDF8A75-A27E-46AF-862F-16E3110CC1FA}"/>
    <cellStyle name="Normal 8 2 12" xfId="8751" xr:uid="{476D0553-3387-4D9F-B05B-56EC7A36F7A1}"/>
    <cellStyle name="Normal 8 2 13" xfId="9953" xr:uid="{A6D1242B-2C4E-445C-B2C6-DB22FD3E23E1}"/>
    <cellStyle name="Normal 8 2 14" xfId="18394" xr:uid="{FBE2625E-7D8D-4B0B-BE15-F469EA81119B}"/>
    <cellStyle name="Normal 8 2 15" xfId="26834" xr:uid="{8C6F2954-D777-46A4-9BBC-0F8B3E6F0283}"/>
    <cellStyle name="Normal 8 2 2" xfId="480" xr:uid="{00000000-0005-0000-0000-0000F31B0000}"/>
    <cellStyle name="Normal 8 2 2 10" xfId="4845" xr:uid="{00000000-0005-0000-0000-0000F41B0000}"/>
    <cellStyle name="Normal 8 2 2 10 2" xfId="14171" xr:uid="{EB98C63F-E646-4F3D-AD0D-B85D4D6E6AA2}"/>
    <cellStyle name="Normal 8 2 2 10 3" xfId="22612" xr:uid="{5A7A5F13-99C7-424A-B8E1-2B2D9B00BF48}"/>
    <cellStyle name="Normal 8 2 2 10 4" xfId="31052" xr:uid="{05EADBB9-10BC-4337-9CD7-C2AA39A7D1A6}"/>
    <cellStyle name="Normal 8 2 2 11" xfId="8783" xr:uid="{3C426022-C415-47DA-A8EF-1D6CE72527BD}"/>
    <cellStyle name="Normal 8 2 2 12" xfId="9954" xr:uid="{5A424FD9-F450-4847-9571-1A1257205AF3}"/>
    <cellStyle name="Normal 8 2 2 13" xfId="18395" xr:uid="{D8AD314E-41F3-44A3-A9CC-309E3E06D19B}"/>
    <cellStyle name="Normal 8 2 2 14" xfId="26835" xr:uid="{CF0B1A22-83E4-4234-AE16-D16F4E4EDB51}"/>
    <cellStyle name="Normal 8 2 2 2" xfId="481" xr:uid="{00000000-0005-0000-0000-0000F51B0000}"/>
    <cellStyle name="Normal 8 2 2 2 10" xfId="8836" xr:uid="{870E50AF-610D-4E0C-BDE0-389D6B32A0FA}"/>
    <cellStyle name="Normal 8 2 2 2 11" xfId="9955" xr:uid="{8BCCE942-D4DE-4376-A0FF-A1894CFA0453}"/>
    <cellStyle name="Normal 8 2 2 2 12" xfId="18396" xr:uid="{C14B8D3B-C5C6-4CE6-B3AB-8BE1B85A28AF}"/>
    <cellStyle name="Normal 8 2 2 2 13" xfId="26836" xr:uid="{3DD5A58E-AC7E-4905-B511-EBF6BF2C84F2}"/>
    <cellStyle name="Normal 8 2 2 2 2" xfId="482" xr:uid="{00000000-0005-0000-0000-0000F61B0000}"/>
    <cellStyle name="Normal 8 2 2 2 2 10" xfId="9956" xr:uid="{050F0DD7-283B-4CA1-B13F-7912DBFEF50C}"/>
    <cellStyle name="Normal 8 2 2 2 2 11" xfId="18397" xr:uid="{D1E7F465-B425-4FCB-9D42-49DF8925A447}"/>
    <cellStyle name="Normal 8 2 2 2 2 12" xfId="26837" xr:uid="{D724B822-3356-483A-8452-AC7880B4F0B3}"/>
    <cellStyle name="Normal 8 2 2 2 2 2" xfId="483" xr:uid="{00000000-0005-0000-0000-0000F71B0000}"/>
    <cellStyle name="Normal 8 2 2 2 2 2 10" xfId="18398" xr:uid="{0F69F8A6-826D-4C54-B00F-3686D689A664}"/>
    <cellStyle name="Normal 8 2 2 2 2 2 11" xfId="26838" xr:uid="{00231ABE-0A57-4B13-9D75-BE3AC492B15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A5C1283A-C72A-42BD-800D-9EAAFA0A4597}"/>
    <cellStyle name="Normal 8 2 2 2 2 2 2 2 2 3" xfId="25173" xr:uid="{E6350052-BDB1-4EAF-8D0B-D0A31F340A78}"/>
    <cellStyle name="Normal 8 2 2 2 2 2 2 2 2 4" xfId="33613" xr:uid="{04DA65B4-4821-45D2-B3B3-327D940F3D20}"/>
    <cellStyle name="Normal 8 2 2 2 2 2 2 2 3" xfId="12515" xr:uid="{CA6B9FFE-9DBE-4F3C-A0B8-871D184FF46F}"/>
    <cellStyle name="Normal 8 2 2 2 2 2 2 2 4" xfId="20956" xr:uid="{2F3F7056-BC5F-4424-B8E1-4D6677AD2424}"/>
    <cellStyle name="Normal 8 2 2 2 2 2 2 2 5" xfId="29396" xr:uid="{4EEE2B17-EDCB-4FFD-A41C-C49754DAE631}"/>
    <cellStyle name="Normal 8 2 2 2 2 2 2 3" xfId="5261" xr:uid="{00000000-0005-0000-0000-0000FB1B0000}"/>
    <cellStyle name="Normal 8 2 2 2 2 2 2 3 2" xfId="14587" xr:uid="{DF849B5E-487E-40B1-8089-52C7FF4204F4}"/>
    <cellStyle name="Normal 8 2 2 2 2 2 2 3 3" xfId="23028" xr:uid="{D386AB9E-F1BE-4C87-8726-D5D578AE55D5}"/>
    <cellStyle name="Normal 8 2 2 2 2 2 2 3 4" xfId="31468" xr:uid="{846C9D35-FFDD-46E0-897C-ADEA526FDC52}"/>
    <cellStyle name="Normal 8 2 2 2 2 2 2 4" xfId="9571" xr:uid="{B467C179-FE08-45F9-B1E6-E66379D80EBC}"/>
    <cellStyle name="Normal 8 2 2 2 2 2 2 5" xfId="10370" xr:uid="{B2EE1E1A-4F8A-411C-83B7-EA2AD4AD8AE1}"/>
    <cellStyle name="Normal 8 2 2 2 2 2 2 6" xfId="18811" xr:uid="{DA952A3E-3CE5-4CCD-9D96-2A12CA3515E4}"/>
    <cellStyle name="Normal 8 2 2 2 2 2 2 7" xfId="27251" xr:uid="{57CAB3A5-228D-4DB2-BE91-399112A95F28}"/>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057A635A-0886-46B1-8C57-0272D616FDB1}"/>
    <cellStyle name="Normal 8 2 2 2 2 2 3 2 2 3" xfId="25586" xr:uid="{6CFBB591-7BD2-4958-9E91-AB7A0A8A8F8C}"/>
    <cellStyle name="Normal 8 2 2 2 2 2 3 2 2 4" xfId="34026" xr:uid="{C7556C06-D21B-449F-A169-E9A9C1ED6071}"/>
    <cellStyle name="Normal 8 2 2 2 2 2 3 2 3" xfId="12928" xr:uid="{B39FFBF5-A605-409D-AF88-2A3B93382FB6}"/>
    <cellStyle name="Normal 8 2 2 2 2 2 3 2 4" xfId="21369" xr:uid="{E62D8BAB-D1A5-40DE-9F81-4E1210A6D326}"/>
    <cellStyle name="Normal 8 2 2 2 2 2 3 2 5" xfId="29809" xr:uid="{CD45A20E-AE5C-434F-BBD1-C0374037457C}"/>
    <cellStyle name="Normal 8 2 2 2 2 2 3 3" xfId="5674" xr:uid="{00000000-0005-0000-0000-0000FF1B0000}"/>
    <cellStyle name="Normal 8 2 2 2 2 2 3 3 2" xfId="15000" xr:uid="{8FBF21B7-644D-4619-8925-5910B245BACD}"/>
    <cellStyle name="Normal 8 2 2 2 2 2 3 3 3" xfId="23441" xr:uid="{333B2805-609B-4848-9B98-7A853BAFF932}"/>
    <cellStyle name="Normal 8 2 2 2 2 2 3 3 4" xfId="31881" xr:uid="{34186AD9-9148-473B-B137-A64507A03EA6}"/>
    <cellStyle name="Normal 8 2 2 2 2 2 3 4" xfId="10783" xr:uid="{E4CB637A-93BC-449D-896A-555861117E8A}"/>
    <cellStyle name="Normal 8 2 2 2 2 2 3 5" xfId="19224" xr:uid="{65C0BF50-730B-45EC-B829-9901F4F558A4}"/>
    <cellStyle name="Normal 8 2 2 2 2 2 3 6" xfId="27664" xr:uid="{C1C5E672-FE48-4F78-8F4E-7CDCD9511F01}"/>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D11356CC-1824-4A1F-9833-6E870A49A927}"/>
    <cellStyle name="Normal 8 2 2 2 2 2 4 2 2 3" xfId="25999" xr:uid="{36577CB9-985E-4C76-A6B9-9F16D1F0152F}"/>
    <cellStyle name="Normal 8 2 2 2 2 2 4 2 2 4" xfId="34439" xr:uid="{190BD8EA-75A8-4BD1-BDBA-CB20E2163FBC}"/>
    <cellStyle name="Normal 8 2 2 2 2 2 4 2 3" xfId="13341" xr:uid="{B4294200-A11B-424D-9F73-6CCBC54DA9E3}"/>
    <cellStyle name="Normal 8 2 2 2 2 2 4 2 4" xfId="21782" xr:uid="{6C0620DB-C518-4C6C-B0FC-A039D5EAFF4E}"/>
    <cellStyle name="Normal 8 2 2 2 2 2 4 2 5" xfId="30222" xr:uid="{4FC4B353-1CBC-484C-AED5-E776A9388E70}"/>
    <cellStyle name="Normal 8 2 2 2 2 2 4 3" xfId="6087" xr:uid="{00000000-0005-0000-0000-0000031C0000}"/>
    <cellStyle name="Normal 8 2 2 2 2 2 4 3 2" xfId="15413" xr:uid="{BB04D99C-71EF-4C6C-BC76-289D7C935D9F}"/>
    <cellStyle name="Normal 8 2 2 2 2 2 4 3 3" xfId="23854" xr:uid="{819A556C-DA46-4711-974A-52D830BEA291}"/>
    <cellStyle name="Normal 8 2 2 2 2 2 4 3 4" xfId="32294" xr:uid="{AE6342C5-94FD-4AE9-910D-5F96844FF928}"/>
    <cellStyle name="Normal 8 2 2 2 2 2 4 4" xfId="11196" xr:uid="{55893E79-F2C0-4BBE-9BBE-424E3A1F228B}"/>
    <cellStyle name="Normal 8 2 2 2 2 2 4 5" xfId="19637" xr:uid="{9A74E369-8692-4821-9E80-BDFD7CAAE5C8}"/>
    <cellStyle name="Normal 8 2 2 2 2 2 4 6" xfId="28077" xr:uid="{B64BC572-DBCC-4671-B4F2-792DC26F4F9E}"/>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B50C57E9-9961-4D3E-9C00-1C22F24D56F1}"/>
    <cellStyle name="Normal 8 2 2 2 2 2 5 2 2 3" xfId="26412" xr:uid="{004456BA-98E6-4917-85E0-C6B7ABA2B8B3}"/>
    <cellStyle name="Normal 8 2 2 2 2 2 5 2 2 4" xfId="34852" xr:uid="{155E5157-634B-472A-8715-007710E02C83}"/>
    <cellStyle name="Normal 8 2 2 2 2 2 5 2 3" xfId="13754" xr:uid="{BAD57BF7-5D36-40A4-8359-CC0516DC5292}"/>
    <cellStyle name="Normal 8 2 2 2 2 2 5 2 4" xfId="22195" xr:uid="{2874768B-01A2-4685-A4E1-D63CF4C2EAC6}"/>
    <cellStyle name="Normal 8 2 2 2 2 2 5 2 5" xfId="30635" xr:uid="{67205A81-E0CD-4392-BEFB-CE7A36E68CE7}"/>
    <cellStyle name="Normal 8 2 2 2 2 2 5 3" xfId="6500" xr:uid="{00000000-0005-0000-0000-0000071C0000}"/>
    <cellStyle name="Normal 8 2 2 2 2 2 5 3 2" xfId="15826" xr:uid="{BF119A88-8D71-42F6-850F-FDAD7ABB7BB6}"/>
    <cellStyle name="Normal 8 2 2 2 2 2 5 3 3" xfId="24267" xr:uid="{58660267-9925-426E-BCFF-8FE83A5210F5}"/>
    <cellStyle name="Normal 8 2 2 2 2 2 5 3 4" xfId="32707" xr:uid="{BCBE559D-4DBC-4852-8AE1-13DD780A2F12}"/>
    <cellStyle name="Normal 8 2 2 2 2 2 5 4" xfId="11609" xr:uid="{DE859644-0CC6-4A09-B120-84F93767E6B4}"/>
    <cellStyle name="Normal 8 2 2 2 2 2 5 5" xfId="20050" xr:uid="{1C0D7266-5EA4-4327-90D0-9FDC7A32A605}"/>
    <cellStyle name="Normal 8 2 2 2 2 2 5 6" xfId="28490" xr:uid="{B9EF77D9-89BC-461C-B4A2-B658B6C05352}"/>
    <cellStyle name="Normal 8 2 2 2 2 2 6" xfId="2630" xr:uid="{00000000-0005-0000-0000-0000081C0000}"/>
    <cellStyle name="Normal 8 2 2 2 2 2 6 2" xfId="6913" xr:uid="{00000000-0005-0000-0000-0000091C0000}"/>
    <cellStyle name="Normal 8 2 2 2 2 2 6 2 2" xfId="16239" xr:uid="{FF180B96-BA81-42E4-8116-C2124A66770F}"/>
    <cellStyle name="Normal 8 2 2 2 2 2 6 2 3" xfId="24680" xr:uid="{636F6655-BF55-4632-B2DE-D0AA9BBC0D59}"/>
    <cellStyle name="Normal 8 2 2 2 2 2 6 2 4" xfId="33120" xr:uid="{60E4DB23-E83D-497E-A545-38644C2CD072}"/>
    <cellStyle name="Normal 8 2 2 2 2 2 6 3" xfId="12022" xr:uid="{12E443C2-6E47-4992-AA61-DC682FFAA100}"/>
    <cellStyle name="Normal 8 2 2 2 2 2 6 4" xfId="20463" xr:uid="{7BC2FFD2-47E8-4F0F-8FA1-EB0FCECCB3C9}"/>
    <cellStyle name="Normal 8 2 2 2 2 2 6 5" xfId="28903" xr:uid="{6487DA71-1755-44FE-A1BF-EBB426521167}"/>
    <cellStyle name="Normal 8 2 2 2 2 2 7" xfId="4848" xr:uid="{00000000-0005-0000-0000-00000A1C0000}"/>
    <cellStyle name="Normal 8 2 2 2 2 2 7 2" xfId="14174" xr:uid="{BB518E3E-83A2-44DA-8234-08BB67113BA1}"/>
    <cellStyle name="Normal 8 2 2 2 2 2 7 3" xfId="22615" xr:uid="{56F79C58-6446-4AD5-A510-5F81F98EEC89}"/>
    <cellStyle name="Normal 8 2 2 2 2 2 7 4" xfId="31055" xr:uid="{07105A55-DD56-42EE-BC82-5374A30965DC}"/>
    <cellStyle name="Normal 8 2 2 2 2 2 8" xfId="9146" xr:uid="{0E570703-055D-406D-8BD9-575AF6037A75}"/>
    <cellStyle name="Normal 8 2 2 2 2 2 9" xfId="9957" xr:uid="{F8ABA4B8-0BAB-419C-BF32-7A7F59AD6E78}"/>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CBFD27D7-7CC8-4CAE-8196-36AA031845E1}"/>
    <cellStyle name="Normal 8 2 2 2 2 3 2 2 3" xfId="25172" xr:uid="{48ACDFC6-B4D8-4AED-8987-91D2E2CA6243}"/>
    <cellStyle name="Normal 8 2 2 2 2 3 2 2 4" xfId="33612" xr:uid="{BAFEE658-915A-412B-84D8-19669534AA39}"/>
    <cellStyle name="Normal 8 2 2 2 2 3 2 3" xfId="12514" xr:uid="{49B10C3E-F0D2-4C47-AAC4-9029FBF8911B}"/>
    <cellStyle name="Normal 8 2 2 2 2 3 2 4" xfId="20955" xr:uid="{7134A70A-E3F0-4626-B872-63501CDC9FE4}"/>
    <cellStyle name="Normal 8 2 2 2 2 3 2 5" xfId="29395" xr:uid="{B6D4C427-271F-44DB-B502-CB1852C42D34}"/>
    <cellStyle name="Normal 8 2 2 2 2 3 3" xfId="5260" xr:uid="{00000000-0005-0000-0000-00000E1C0000}"/>
    <cellStyle name="Normal 8 2 2 2 2 3 3 2" xfId="14586" xr:uid="{A159EE9E-753E-47E2-A8BF-81FA61336130}"/>
    <cellStyle name="Normal 8 2 2 2 2 3 3 3" xfId="23027" xr:uid="{ED1E53C7-BFBD-4981-A5FC-2C3949F8AE54}"/>
    <cellStyle name="Normal 8 2 2 2 2 3 3 4" xfId="31467" xr:uid="{C280BAD0-B4D0-41AC-8CEB-36C0A1F1CC8B}"/>
    <cellStyle name="Normal 8 2 2 2 2 3 4" xfId="9364" xr:uid="{21426B7C-FC96-483C-B560-AC4767107497}"/>
    <cellStyle name="Normal 8 2 2 2 2 3 5" xfId="10369" xr:uid="{4AE985E5-A799-45A4-A6BB-8EC9C662B073}"/>
    <cellStyle name="Normal 8 2 2 2 2 3 6" xfId="18810" xr:uid="{8674E527-D169-4C35-B652-EF329987D6A4}"/>
    <cellStyle name="Normal 8 2 2 2 2 3 7" xfId="27250" xr:uid="{8F989C12-1F42-4134-B0EE-E71E9C08E088}"/>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5492D469-AB77-40D3-9D6D-9018E9B832D6}"/>
    <cellStyle name="Normal 8 2 2 2 2 4 2 2 3" xfId="25585" xr:uid="{3E6FBEDE-97C6-4E2D-AEC6-7542739FEAC1}"/>
    <cellStyle name="Normal 8 2 2 2 2 4 2 2 4" xfId="34025" xr:uid="{CCAE4CEA-EBA2-4E6E-8E18-246767EE086A}"/>
    <cellStyle name="Normal 8 2 2 2 2 4 2 3" xfId="12927" xr:uid="{94B7B385-5FC1-4333-AFAF-BC14A7042571}"/>
    <cellStyle name="Normal 8 2 2 2 2 4 2 4" xfId="21368" xr:uid="{C99F010D-036F-4E22-B9D3-4DFAB0A205CF}"/>
    <cellStyle name="Normal 8 2 2 2 2 4 2 5" xfId="29808" xr:uid="{7DB4C9E7-C527-4136-AD3F-0C865F8FC7E9}"/>
    <cellStyle name="Normal 8 2 2 2 2 4 3" xfId="5673" xr:uid="{00000000-0005-0000-0000-0000121C0000}"/>
    <cellStyle name="Normal 8 2 2 2 2 4 3 2" xfId="14999" xr:uid="{95201513-36C9-459B-A9BA-FA68EB9A7935}"/>
    <cellStyle name="Normal 8 2 2 2 2 4 3 3" xfId="23440" xr:uid="{32388B06-F7AB-42CD-8AA1-00135E76B9AA}"/>
    <cellStyle name="Normal 8 2 2 2 2 4 3 4" xfId="31880" xr:uid="{635C985D-E38F-4EEA-B366-7CA4006CCBED}"/>
    <cellStyle name="Normal 8 2 2 2 2 4 4" xfId="10782" xr:uid="{D932D8D4-DC7D-490F-B9EA-F1C03BB01C1E}"/>
    <cellStyle name="Normal 8 2 2 2 2 4 5" xfId="19223" xr:uid="{1211F4D8-1200-4A1B-BEFA-DAB64DC9E1B4}"/>
    <cellStyle name="Normal 8 2 2 2 2 4 6" xfId="27663" xr:uid="{DC0B6C3F-A104-4B00-938D-21E52D82DA92}"/>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B778853E-11F0-4AA0-9860-A7692A8B41B9}"/>
    <cellStyle name="Normal 8 2 2 2 2 5 2 2 3" xfId="25998" xr:uid="{CACB1D1E-FD76-4199-8484-D32B7FAA85F5}"/>
    <cellStyle name="Normal 8 2 2 2 2 5 2 2 4" xfId="34438" xr:uid="{0DFFC44C-0774-4DAA-AAE7-057A6C28063C}"/>
    <cellStyle name="Normal 8 2 2 2 2 5 2 3" xfId="13340" xr:uid="{5A1D19F5-46EF-4BC7-A42C-983F7D0F9CE4}"/>
    <cellStyle name="Normal 8 2 2 2 2 5 2 4" xfId="21781" xr:uid="{7B27F4DE-3D5A-4D06-8468-C096C4318079}"/>
    <cellStyle name="Normal 8 2 2 2 2 5 2 5" xfId="30221" xr:uid="{672F7066-EA4F-4920-A748-C72075F72732}"/>
    <cellStyle name="Normal 8 2 2 2 2 5 3" xfId="6086" xr:uid="{00000000-0005-0000-0000-0000161C0000}"/>
    <cellStyle name="Normal 8 2 2 2 2 5 3 2" xfId="15412" xr:uid="{B4639BA3-C49E-4B6E-BBD9-B8CAE86F53B9}"/>
    <cellStyle name="Normal 8 2 2 2 2 5 3 3" xfId="23853" xr:uid="{5C25DB49-40E7-4DD3-BDC1-6ADAEA92E634}"/>
    <cellStyle name="Normal 8 2 2 2 2 5 3 4" xfId="32293" xr:uid="{50797A57-E0EE-402B-9F02-956F4FAC783F}"/>
    <cellStyle name="Normal 8 2 2 2 2 5 4" xfId="11195" xr:uid="{3B82C5C1-FC89-4618-BF45-501FF313DDE6}"/>
    <cellStyle name="Normal 8 2 2 2 2 5 5" xfId="19636" xr:uid="{402DFB93-DE9F-458F-8B2B-94DBC95AB269}"/>
    <cellStyle name="Normal 8 2 2 2 2 5 6" xfId="28076" xr:uid="{F76D786B-2C4B-4620-B082-D51573122EBD}"/>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08C0ACEE-8A50-442B-AE8C-9A98FF88A869}"/>
    <cellStyle name="Normal 8 2 2 2 2 6 2 2 3" xfId="26411" xr:uid="{E9612C35-6EE4-4338-9166-F3E24E80E9AC}"/>
    <cellStyle name="Normal 8 2 2 2 2 6 2 2 4" xfId="34851" xr:uid="{20B453E6-6E93-472A-B41E-F58EF497E74D}"/>
    <cellStyle name="Normal 8 2 2 2 2 6 2 3" xfId="13753" xr:uid="{7E9D026D-1670-4500-85FD-7D2313C06278}"/>
    <cellStyle name="Normal 8 2 2 2 2 6 2 4" xfId="22194" xr:uid="{3BDB78DC-64DE-4D3F-8C68-8629733A97DC}"/>
    <cellStyle name="Normal 8 2 2 2 2 6 2 5" xfId="30634" xr:uid="{DDCECD18-CDFF-4996-8E15-F8BD000A5D27}"/>
    <cellStyle name="Normal 8 2 2 2 2 6 3" xfId="6499" xr:uid="{00000000-0005-0000-0000-00001A1C0000}"/>
    <cellStyle name="Normal 8 2 2 2 2 6 3 2" xfId="15825" xr:uid="{369E2AD0-BA6E-44CF-B46E-220CE0CB3623}"/>
    <cellStyle name="Normal 8 2 2 2 2 6 3 3" xfId="24266" xr:uid="{96A6662D-4B34-44F0-87B9-BB0F69BCE5AE}"/>
    <cellStyle name="Normal 8 2 2 2 2 6 3 4" xfId="32706" xr:uid="{0557DE19-EBDA-47E2-897E-07657CB61F1D}"/>
    <cellStyle name="Normal 8 2 2 2 2 6 4" xfId="11608" xr:uid="{342A4100-6741-4367-A83C-EC145020A4A9}"/>
    <cellStyle name="Normal 8 2 2 2 2 6 5" xfId="20049" xr:uid="{6EBF1DBE-0D0B-4C95-94DC-71408EC5B4E9}"/>
    <cellStyle name="Normal 8 2 2 2 2 6 6" xfId="28489" xr:uid="{304F1929-777E-4646-B17A-6E439DD10642}"/>
    <cellStyle name="Normal 8 2 2 2 2 7" xfId="2629" xr:uid="{00000000-0005-0000-0000-00001B1C0000}"/>
    <cellStyle name="Normal 8 2 2 2 2 7 2" xfId="6912" xr:uid="{00000000-0005-0000-0000-00001C1C0000}"/>
    <cellStyle name="Normal 8 2 2 2 2 7 2 2" xfId="16238" xr:uid="{FD4D3272-1A67-45A8-ACA2-BA4FA24076A3}"/>
    <cellStyle name="Normal 8 2 2 2 2 7 2 3" xfId="24679" xr:uid="{C160C749-6EA0-469D-81A2-3437B75D7DC2}"/>
    <cellStyle name="Normal 8 2 2 2 2 7 2 4" xfId="33119" xr:uid="{1BAE8A44-0030-4987-8F1A-014227991857}"/>
    <cellStyle name="Normal 8 2 2 2 2 7 3" xfId="12021" xr:uid="{F5E9F174-C76B-4A02-9F8F-66C6F98DEC85}"/>
    <cellStyle name="Normal 8 2 2 2 2 7 4" xfId="20462" xr:uid="{E8F7DD43-CAE7-485C-9DDF-4F34A6F16923}"/>
    <cellStyle name="Normal 8 2 2 2 2 7 5" xfId="28902" xr:uid="{FA9E1888-674E-4982-AA9D-944325EEC4DA}"/>
    <cellStyle name="Normal 8 2 2 2 2 8" xfId="4847" xr:uid="{00000000-0005-0000-0000-00001D1C0000}"/>
    <cellStyle name="Normal 8 2 2 2 2 8 2" xfId="14173" xr:uid="{CEEF5A49-B57B-4B02-9860-212105FDE7FF}"/>
    <cellStyle name="Normal 8 2 2 2 2 8 3" xfId="22614" xr:uid="{CAE327ED-32E6-4779-A5ED-AE7E1858E67C}"/>
    <cellStyle name="Normal 8 2 2 2 2 8 4" xfId="31054" xr:uid="{4F79FA3C-EF0A-495F-B6C7-7D48DA2568F1}"/>
    <cellStyle name="Normal 8 2 2 2 2 9" xfId="8939" xr:uid="{385BAC75-25D1-414A-8E33-9B6DCCA130DE}"/>
    <cellStyle name="Normal 8 2 2 2 3" xfId="484" xr:uid="{00000000-0005-0000-0000-00001E1C0000}"/>
    <cellStyle name="Normal 8 2 2 2 3 10" xfId="18399" xr:uid="{F5284407-8C55-4C5B-8D57-AF7AB8021098}"/>
    <cellStyle name="Normal 8 2 2 2 3 11" xfId="26839" xr:uid="{8F986D2B-1725-4A7E-A713-EC671529A681}"/>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62047210-0A56-4793-B726-039BFA1F0AB0}"/>
    <cellStyle name="Normal 8 2 2 2 3 2 2 2 3" xfId="25174" xr:uid="{52106F89-026D-4D82-AD46-BD5A1B55FA82}"/>
    <cellStyle name="Normal 8 2 2 2 3 2 2 2 4" xfId="33614" xr:uid="{66C701A6-24BB-4E00-817C-4B73AEC91698}"/>
    <cellStyle name="Normal 8 2 2 2 3 2 2 3" xfId="12516" xr:uid="{D5144C3E-1ABB-4919-94A1-8F58FC6E2B1B}"/>
    <cellStyle name="Normal 8 2 2 2 3 2 2 4" xfId="20957" xr:uid="{8C5BBB96-24E0-431F-A87F-437F10F641E1}"/>
    <cellStyle name="Normal 8 2 2 2 3 2 2 5" xfId="29397" xr:uid="{454EC4BB-AB0F-4BE0-8AF3-4851C8799A63}"/>
    <cellStyle name="Normal 8 2 2 2 3 2 3" xfId="5262" xr:uid="{00000000-0005-0000-0000-0000221C0000}"/>
    <cellStyle name="Normal 8 2 2 2 3 2 3 2" xfId="14588" xr:uid="{EA6AE87E-F581-4B18-8B55-3DAE8672FAB5}"/>
    <cellStyle name="Normal 8 2 2 2 3 2 3 3" xfId="23029" xr:uid="{7FC55F9D-6DDE-4EFC-848B-901567E6B57B}"/>
    <cellStyle name="Normal 8 2 2 2 3 2 3 4" xfId="31469" xr:uid="{98EE3989-C4AE-4DF9-A247-E0C74158CD1D}"/>
    <cellStyle name="Normal 8 2 2 2 3 2 4" xfId="9468" xr:uid="{8CC4AD0E-72B4-4935-8967-B171D7B5EF8D}"/>
    <cellStyle name="Normal 8 2 2 2 3 2 5" xfId="10371" xr:uid="{ADB2D28C-0193-4FEE-B106-FEAB9EBA671E}"/>
    <cellStyle name="Normal 8 2 2 2 3 2 6" xfId="18812" xr:uid="{786637BA-ECEF-44BE-B884-1A3236FAC3FC}"/>
    <cellStyle name="Normal 8 2 2 2 3 2 7" xfId="27252" xr:uid="{5AF082D9-1647-48A0-9FA7-50795EE7A63F}"/>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59F7BCB2-437B-4F6A-B4AF-9621A746F7C0}"/>
    <cellStyle name="Normal 8 2 2 2 3 3 2 2 3" xfId="25587" xr:uid="{C6E0E8B8-D535-4C21-AB6C-F44E1DE61C3F}"/>
    <cellStyle name="Normal 8 2 2 2 3 3 2 2 4" xfId="34027" xr:uid="{4B5F920D-8E91-4405-BC11-0D1EC7E2DEA4}"/>
    <cellStyle name="Normal 8 2 2 2 3 3 2 3" xfId="12929" xr:uid="{F13D8BA5-46EA-4709-9C91-56BE4767B807}"/>
    <cellStyle name="Normal 8 2 2 2 3 3 2 4" xfId="21370" xr:uid="{55B32531-4430-47BE-9956-42CE609458FE}"/>
    <cellStyle name="Normal 8 2 2 2 3 3 2 5" xfId="29810" xr:uid="{2D331AB1-4D0D-425F-A964-14B3D4EBDEC2}"/>
    <cellStyle name="Normal 8 2 2 2 3 3 3" xfId="5675" xr:uid="{00000000-0005-0000-0000-0000261C0000}"/>
    <cellStyle name="Normal 8 2 2 2 3 3 3 2" xfId="15001" xr:uid="{854986AE-7F47-4F3D-97A9-9B2A347FBBE0}"/>
    <cellStyle name="Normal 8 2 2 2 3 3 3 3" xfId="23442" xr:uid="{9AD19CD6-7EDB-482A-87B1-26C1E2BEB4B1}"/>
    <cellStyle name="Normal 8 2 2 2 3 3 3 4" xfId="31882" xr:uid="{4DAB29BD-0D42-4A2B-982C-1129363B62EC}"/>
    <cellStyle name="Normal 8 2 2 2 3 3 4" xfId="10784" xr:uid="{6B1EBFF8-BE29-475F-824D-71564C170CDE}"/>
    <cellStyle name="Normal 8 2 2 2 3 3 5" xfId="19225" xr:uid="{DA5C61A1-A2BC-4176-9177-608A5C05F7EA}"/>
    <cellStyle name="Normal 8 2 2 2 3 3 6" xfId="27665" xr:uid="{4C551922-AA8C-4472-BEDD-632B37CD2DC2}"/>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8E8CDE64-34D7-4ABB-85DF-BDA8C27D9919}"/>
    <cellStyle name="Normal 8 2 2 2 3 4 2 2 3" xfId="26000" xr:uid="{64627F50-BBCE-41A1-B3B3-CBF93D3070BC}"/>
    <cellStyle name="Normal 8 2 2 2 3 4 2 2 4" xfId="34440" xr:uid="{CA936DB2-55D2-4EA7-AFE1-7B4A0FF91996}"/>
    <cellStyle name="Normal 8 2 2 2 3 4 2 3" xfId="13342" xr:uid="{62167FAA-BF41-4384-9953-653B51DF5839}"/>
    <cellStyle name="Normal 8 2 2 2 3 4 2 4" xfId="21783" xr:uid="{7EDE0960-A470-4DF0-BBB9-8F8836704F42}"/>
    <cellStyle name="Normal 8 2 2 2 3 4 2 5" xfId="30223" xr:uid="{2A6CC663-65E9-44FE-92F8-E84EB68A041A}"/>
    <cellStyle name="Normal 8 2 2 2 3 4 3" xfId="6088" xr:uid="{00000000-0005-0000-0000-00002A1C0000}"/>
    <cellStyle name="Normal 8 2 2 2 3 4 3 2" xfId="15414" xr:uid="{FF2E06D9-A25F-4600-9B11-6DAE718589E2}"/>
    <cellStyle name="Normal 8 2 2 2 3 4 3 3" xfId="23855" xr:uid="{C0B42FAB-092C-4725-8DE4-0DD87A76AD1E}"/>
    <cellStyle name="Normal 8 2 2 2 3 4 3 4" xfId="32295" xr:uid="{555ECC8A-6FA6-4ABB-BC8F-F4CD0065C961}"/>
    <cellStyle name="Normal 8 2 2 2 3 4 4" xfId="11197" xr:uid="{697E02E6-FF6E-4A47-A30C-3804B163D80C}"/>
    <cellStyle name="Normal 8 2 2 2 3 4 5" xfId="19638" xr:uid="{93EE7877-0AD3-4984-96EB-1453FDC61327}"/>
    <cellStyle name="Normal 8 2 2 2 3 4 6" xfId="28078" xr:uid="{0BBAA9EE-0EDB-4B6D-B741-724EB372BBA2}"/>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5236B852-9103-417C-9E77-769FA15A69FE}"/>
    <cellStyle name="Normal 8 2 2 2 3 5 2 2 3" xfId="26413" xr:uid="{F1169823-46DF-4AA0-922A-D8490B12EB22}"/>
    <cellStyle name="Normal 8 2 2 2 3 5 2 2 4" xfId="34853" xr:uid="{26ECAF98-B825-4220-8C50-0C24B8E5D375}"/>
    <cellStyle name="Normal 8 2 2 2 3 5 2 3" xfId="13755" xr:uid="{E6EDFAD3-E1D5-433F-9E70-B7E5B5A156F0}"/>
    <cellStyle name="Normal 8 2 2 2 3 5 2 4" xfId="22196" xr:uid="{B535B860-7C4C-4D13-91DF-9856633FDB8A}"/>
    <cellStyle name="Normal 8 2 2 2 3 5 2 5" xfId="30636" xr:uid="{916F6538-1C31-432E-B4E2-A7F494F4B097}"/>
    <cellStyle name="Normal 8 2 2 2 3 5 3" xfId="6501" xr:uid="{00000000-0005-0000-0000-00002E1C0000}"/>
    <cellStyle name="Normal 8 2 2 2 3 5 3 2" xfId="15827" xr:uid="{853D91AE-5915-4746-B934-EAAF0B6BA053}"/>
    <cellStyle name="Normal 8 2 2 2 3 5 3 3" xfId="24268" xr:uid="{48966303-46A7-4A9C-B024-728FA99DA229}"/>
    <cellStyle name="Normal 8 2 2 2 3 5 3 4" xfId="32708" xr:uid="{24145214-7184-4073-A961-7128157613BF}"/>
    <cellStyle name="Normal 8 2 2 2 3 5 4" xfId="11610" xr:uid="{72A1C98A-D404-40E8-894B-FBB1E75E87E6}"/>
    <cellStyle name="Normal 8 2 2 2 3 5 5" xfId="20051" xr:uid="{C4F7EFC6-7428-48F3-A7F4-CEB986D162CA}"/>
    <cellStyle name="Normal 8 2 2 2 3 5 6" xfId="28491" xr:uid="{A1EF7462-6A59-4147-90D4-BBE916EC1D1E}"/>
    <cellStyle name="Normal 8 2 2 2 3 6" xfId="2631" xr:uid="{00000000-0005-0000-0000-00002F1C0000}"/>
    <cellStyle name="Normal 8 2 2 2 3 6 2" xfId="6914" xr:uid="{00000000-0005-0000-0000-0000301C0000}"/>
    <cellStyle name="Normal 8 2 2 2 3 6 2 2" xfId="16240" xr:uid="{9D051760-9AD2-44F4-BF74-A7BCFD02F3D7}"/>
    <cellStyle name="Normal 8 2 2 2 3 6 2 3" xfId="24681" xr:uid="{76C56C5F-00A0-41E2-AC98-39B01D5AAAAC}"/>
    <cellStyle name="Normal 8 2 2 2 3 6 2 4" xfId="33121" xr:uid="{3DDBD606-C85E-4839-8879-037A980A372A}"/>
    <cellStyle name="Normal 8 2 2 2 3 6 3" xfId="12023" xr:uid="{35DFE587-A359-4099-ACC0-C1AA502C75E1}"/>
    <cellStyle name="Normal 8 2 2 2 3 6 4" xfId="20464" xr:uid="{9E1ADE9C-078E-4396-AA09-18839B40F2C9}"/>
    <cellStyle name="Normal 8 2 2 2 3 6 5" xfId="28904" xr:uid="{A892DBF3-3264-44E3-9C83-3F204CCC4C14}"/>
    <cellStyle name="Normal 8 2 2 2 3 7" xfId="4849" xr:uid="{00000000-0005-0000-0000-0000311C0000}"/>
    <cellStyle name="Normal 8 2 2 2 3 7 2" xfId="14175" xr:uid="{E0AD8FBF-9A50-4132-ADAF-4D093480A775}"/>
    <cellStyle name="Normal 8 2 2 2 3 7 3" xfId="22616" xr:uid="{290116B5-842C-4C83-A2E6-61753D6FF05B}"/>
    <cellStyle name="Normal 8 2 2 2 3 7 4" xfId="31056" xr:uid="{5190D8A6-9C89-4D48-B0E5-BDB498ADD38D}"/>
    <cellStyle name="Normal 8 2 2 2 3 8" xfId="9043" xr:uid="{BAC463DF-40A7-4F07-ADD3-7274E57F505C}"/>
    <cellStyle name="Normal 8 2 2 2 3 9" xfId="9958" xr:uid="{F42B26C6-5531-41D5-BD27-8250D4DBE253}"/>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2536372E-3B2E-4E29-A0A9-17EE6F624032}"/>
    <cellStyle name="Normal 8 2 2 2 4 2 2 3" xfId="25171" xr:uid="{594A8281-30A5-4E8E-A629-491DB3D80AEA}"/>
    <cellStyle name="Normal 8 2 2 2 4 2 2 4" xfId="33611" xr:uid="{A490752E-640E-4553-A9EA-7FE49420E345}"/>
    <cellStyle name="Normal 8 2 2 2 4 2 3" xfId="12513" xr:uid="{B633BAA7-CB0C-4925-B23F-60BB5062A807}"/>
    <cellStyle name="Normal 8 2 2 2 4 2 4" xfId="20954" xr:uid="{87A2CDA2-7D73-4A6C-B5B9-5E20497FC85E}"/>
    <cellStyle name="Normal 8 2 2 2 4 2 5" xfId="29394" xr:uid="{02DD851D-AE5F-4817-8315-2F0356587704}"/>
    <cellStyle name="Normal 8 2 2 2 4 3" xfId="5259" xr:uid="{00000000-0005-0000-0000-0000351C0000}"/>
    <cellStyle name="Normal 8 2 2 2 4 3 2" xfId="14585" xr:uid="{C8F8EA32-2A96-4FF8-BE8D-98628A92C3B5}"/>
    <cellStyle name="Normal 8 2 2 2 4 3 3" xfId="23026" xr:uid="{B7C33A0B-34C7-494D-9403-9C01A4F1704E}"/>
    <cellStyle name="Normal 8 2 2 2 4 3 4" xfId="31466" xr:uid="{59A402BF-3390-4E37-B968-693FBA9DE2CF}"/>
    <cellStyle name="Normal 8 2 2 2 4 4" xfId="9261" xr:uid="{70C29865-A6DE-4682-9EB1-83E4E07FD0A7}"/>
    <cellStyle name="Normal 8 2 2 2 4 5" xfId="10368" xr:uid="{9194175F-F9E0-4F79-B0AF-E489BA1F2639}"/>
    <cellStyle name="Normal 8 2 2 2 4 6" xfId="18809" xr:uid="{0B7AFDFF-A71D-4E54-90CA-8958FD585BE4}"/>
    <cellStyle name="Normal 8 2 2 2 4 7" xfId="27249" xr:uid="{E6AFDCC5-3056-49DC-9661-F6BBCC13210F}"/>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F7D6BA9A-D690-4481-BA24-4EF40505F8AD}"/>
    <cellStyle name="Normal 8 2 2 2 5 2 2 3" xfId="25584" xr:uid="{73C6586D-644C-4735-9C18-B5CEE602B30A}"/>
    <cellStyle name="Normal 8 2 2 2 5 2 2 4" xfId="34024" xr:uid="{A8DB163C-D055-4B99-85F8-33F94A0ABB07}"/>
    <cellStyle name="Normal 8 2 2 2 5 2 3" xfId="12926" xr:uid="{98B4E643-2DD4-4B17-BDB4-2DFB3C9F6203}"/>
    <cellStyle name="Normal 8 2 2 2 5 2 4" xfId="21367" xr:uid="{F2D4F328-FF9F-4735-A648-F08371D72BC8}"/>
    <cellStyle name="Normal 8 2 2 2 5 2 5" xfId="29807" xr:uid="{8DD1E522-09B2-4E27-AA3B-DCA28EBD8C11}"/>
    <cellStyle name="Normal 8 2 2 2 5 3" xfId="5672" xr:uid="{00000000-0005-0000-0000-0000391C0000}"/>
    <cellStyle name="Normal 8 2 2 2 5 3 2" xfId="14998" xr:uid="{B395449C-F082-4D87-BF23-26FD9ABA1629}"/>
    <cellStyle name="Normal 8 2 2 2 5 3 3" xfId="23439" xr:uid="{BADB91AE-F644-48BC-B5A0-F1C3FC3C3A11}"/>
    <cellStyle name="Normal 8 2 2 2 5 3 4" xfId="31879" xr:uid="{7E68CE06-EDBC-48D9-BFA7-A21B654A3BAA}"/>
    <cellStyle name="Normal 8 2 2 2 5 4" xfId="10781" xr:uid="{A5FACA0A-17DC-4F40-88AA-F1F541818E8B}"/>
    <cellStyle name="Normal 8 2 2 2 5 5" xfId="19222" xr:uid="{37B6D1C3-26BB-446B-B7DF-529F805E5C7F}"/>
    <cellStyle name="Normal 8 2 2 2 5 6" xfId="27662" xr:uid="{344F9D0D-9C14-40FA-A2EE-E36DFD8503FE}"/>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2ABE0A68-7662-477A-B14B-459470F14A1C}"/>
    <cellStyle name="Normal 8 2 2 2 6 2 2 3" xfId="25997" xr:uid="{EAB550FF-E28B-4378-95C8-3063D9E95628}"/>
    <cellStyle name="Normal 8 2 2 2 6 2 2 4" xfId="34437" xr:uid="{7353062B-C03E-4214-9057-1F90C4D0D546}"/>
    <cellStyle name="Normal 8 2 2 2 6 2 3" xfId="13339" xr:uid="{F0638A1E-960A-43B5-91C4-1346470887AB}"/>
    <cellStyle name="Normal 8 2 2 2 6 2 4" xfId="21780" xr:uid="{33013C36-39FF-4F75-A061-7B993137FD98}"/>
    <cellStyle name="Normal 8 2 2 2 6 2 5" xfId="30220" xr:uid="{867A38E7-0ED8-48DA-BF5F-BC1157C74CBF}"/>
    <cellStyle name="Normal 8 2 2 2 6 3" xfId="6085" xr:uid="{00000000-0005-0000-0000-00003D1C0000}"/>
    <cellStyle name="Normal 8 2 2 2 6 3 2" xfId="15411" xr:uid="{DAE7ED52-A43C-463D-9EA3-0221E9A98E1F}"/>
    <cellStyle name="Normal 8 2 2 2 6 3 3" xfId="23852" xr:uid="{790503B7-67CC-4274-8483-7B3E439D9871}"/>
    <cellStyle name="Normal 8 2 2 2 6 3 4" xfId="32292" xr:uid="{4B7BAA12-5CAE-4FC1-9F97-13A797805194}"/>
    <cellStyle name="Normal 8 2 2 2 6 4" xfId="11194" xr:uid="{117C7632-6F07-4A5C-BE6F-90819D57FB15}"/>
    <cellStyle name="Normal 8 2 2 2 6 5" xfId="19635" xr:uid="{876148A2-784F-4EB2-9C06-B6423498088F}"/>
    <cellStyle name="Normal 8 2 2 2 6 6" xfId="28075" xr:uid="{8DCB6715-82A4-4458-95D3-37CCF7D2251D}"/>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590AAA4F-0808-4E7C-8159-477D6BD724E9}"/>
    <cellStyle name="Normal 8 2 2 2 7 2 2 3" xfId="26410" xr:uid="{31CCB4F8-1E2E-4E89-A54F-08EFE5582354}"/>
    <cellStyle name="Normal 8 2 2 2 7 2 2 4" xfId="34850" xr:uid="{C9DF574F-CDE5-4C8F-8A24-015C3DC1495F}"/>
    <cellStyle name="Normal 8 2 2 2 7 2 3" xfId="13752" xr:uid="{64863618-0DE7-4890-91E0-760C69398891}"/>
    <cellStyle name="Normal 8 2 2 2 7 2 4" xfId="22193" xr:uid="{BF1BD35E-04D0-42AB-B5B0-B1C1BFFE0BA2}"/>
    <cellStyle name="Normal 8 2 2 2 7 2 5" xfId="30633" xr:uid="{92F9A503-0329-4F50-A8ED-1384080CD04E}"/>
    <cellStyle name="Normal 8 2 2 2 7 3" xfId="6498" xr:uid="{00000000-0005-0000-0000-0000411C0000}"/>
    <cellStyle name="Normal 8 2 2 2 7 3 2" xfId="15824" xr:uid="{71C8F8B9-5B2A-4AD7-B535-A66009102BC8}"/>
    <cellStyle name="Normal 8 2 2 2 7 3 3" xfId="24265" xr:uid="{97487E16-4202-4296-8047-82674220FE44}"/>
    <cellStyle name="Normal 8 2 2 2 7 3 4" xfId="32705" xr:uid="{556DE45F-FA5A-4586-8C0A-63B341872E5B}"/>
    <cellStyle name="Normal 8 2 2 2 7 4" xfId="11607" xr:uid="{508C6AA7-AA34-43B1-BFFC-E2A5FAF1B73D}"/>
    <cellStyle name="Normal 8 2 2 2 7 5" xfId="20048" xr:uid="{3B63E162-528C-42AD-BCFF-449C5C25F0DF}"/>
    <cellStyle name="Normal 8 2 2 2 7 6" xfId="28488" xr:uid="{175CC112-5A37-4E86-B031-7D9D93173C87}"/>
    <cellStyle name="Normal 8 2 2 2 8" xfId="2628" xr:uid="{00000000-0005-0000-0000-0000421C0000}"/>
    <cellStyle name="Normal 8 2 2 2 8 2" xfId="6911" xr:uid="{00000000-0005-0000-0000-0000431C0000}"/>
    <cellStyle name="Normal 8 2 2 2 8 2 2" xfId="16237" xr:uid="{B805DBF5-790E-43CA-8EA3-D2077C79924B}"/>
    <cellStyle name="Normal 8 2 2 2 8 2 3" xfId="24678" xr:uid="{5DBFD937-C8E3-4826-BC5D-6F025EAE2EFC}"/>
    <cellStyle name="Normal 8 2 2 2 8 2 4" xfId="33118" xr:uid="{A95C725A-FF8D-4B8E-9A1D-1AE3B794CC8D}"/>
    <cellStyle name="Normal 8 2 2 2 8 3" xfId="12020" xr:uid="{7C5FD37F-8004-4154-BD39-72866E16507E}"/>
    <cellStyle name="Normal 8 2 2 2 8 4" xfId="20461" xr:uid="{817C7C9E-F33A-48E6-8A19-4FC1BA1D0620}"/>
    <cellStyle name="Normal 8 2 2 2 8 5" xfId="28901" xr:uid="{25171C5E-F7E6-47F0-83FA-5F8DB9663F6F}"/>
    <cellStyle name="Normal 8 2 2 2 9" xfId="4846" xr:uid="{00000000-0005-0000-0000-0000441C0000}"/>
    <cellStyle name="Normal 8 2 2 2 9 2" xfId="14172" xr:uid="{D47A6172-B2B8-4739-AA10-477CA0E8808D}"/>
    <cellStyle name="Normal 8 2 2 2 9 3" xfId="22613" xr:uid="{A0C47128-394E-406A-B8CC-FD905363533D}"/>
    <cellStyle name="Normal 8 2 2 2 9 4" xfId="31053" xr:uid="{72022106-1ECB-4161-8BEA-C62B6D180EA8}"/>
    <cellStyle name="Normal 8 2 2 3" xfId="485" xr:uid="{00000000-0005-0000-0000-0000451C0000}"/>
    <cellStyle name="Normal 8 2 2 3 10" xfId="9959" xr:uid="{D57B98FA-2CCF-4D6A-A68F-28902BC6C515}"/>
    <cellStyle name="Normal 8 2 2 3 11" xfId="18400" xr:uid="{8F805AB6-BB6A-4B98-87FD-C887E966C1D4}"/>
    <cellStyle name="Normal 8 2 2 3 12" xfId="26840" xr:uid="{A6010274-45D7-455A-AB2F-EC83FC5AFA09}"/>
    <cellStyle name="Normal 8 2 2 3 2" xfId="486" xr:uid="{00000000-0005-0000-0000-0000461C0000}"/>
    <cellStyle name="Normal 8 2 2 3 2 10" xfId="18401" xr:uid="{48397F5B-AB17-4504-8B90-AE69A4B0BFA5}"/>
    <cellStyle name="Normal 8 2 2 3 2 11" xfId="26841" xr:uid="{16075CF1-DD50-4EFF-9218-6CA9F07902AE}"/>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C87A4CEC-CD87-4BA1-B6B0-D4ABA53A4958}"/>
    <cellStyle name="Normal 8 2 2 3 2 2 2 2 3" xfId="25176" xr:uid="{505A1F9E-876D-47AC-9F58-BB5B863AAB80}"/>
    <cellStyle name="Normal 8 2 2 3 2 2 2 2 4" xfId="33616" xr:uid="{556F2F0D-6F60-499B-A252-31E5D46C5FF3}"/>
    <cellStyle name="Normal 8 2 2 3 2 2 2 3" xfId="12518" xr:uid="{11CEA795-021E-4DD4-95A7-D178B11728B2}"/>
    <cellStyle name="Normal 8 2 2 3 2 2 2 4" xfId="20959" xr:uid="{808005EE-69B3-4F15-972D-531743BFC011}"/>
    <cellStyle name="Normal 8 2 2 3 2 2 2 5" xfId="29399" xr:uid="{0D4A545F-8ED8-41E2-BDFB-CC68AE4AA758}"/>
    <cellStyle name="Normal 8 2 2 3 2 2 3" xfId="5264" xr:uid="{00000000-0005-0000-0000-00004A1C0000}"/>
    <cellStyle name="Normal 8 2 2 3 2 2 3 2" xfId="14590" xr:uid="{34416284-D744-4ED2-8DC7-A1888E4A2C1D}"/>
    <cellStyle name="Normal 8 2 2 3 2 2 3 3" xfId="23031" xr:uid="{8ACFF229-3A74-48CA-A2C7-DD003B963AAB}"/>
    <cellStyle name="Normal 8 2 2 3 2 2 3 4" xfId="31471" xr:uid="{6A799F5F-559A-442C-B0A7-25E868887DE2}"/>
    <cellStyle name="Normal 8 2 2 3 2 2 4" xfId="9518" xr:uid="{FDE93D5E-A6D1-456B-8726-FC2AB8FD16A4}"/>
    <cellStyle name="Normal 8 2 2 3 2 2 5" xfId="10373" xr:uid="{634AA896-4D78-4F3A-942E-F96B4BA5ECBB}"/>
    <cellStyle name="Normal 8 2 2 3 2 2 6" xfId="18814" xr:uid="{8AE4C57C-DCCC-4F12-A907-6AEAE90D218F}"/>
    <cellStyle name="Normal 8 2 2 3 2 2 7" xfId="27254" xr:uid="{B4738ACE-8432-4C2A-B646-3A1B9A39CD6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B51691FF-B229-40E3-A5F9-9B0AD6F4270B}"/>
    <cellStyle name="Normal 8 2 2 3 2 3 2 2 3" xfId="25589" xr:uid="{82D6D3D3-EAC5-4082-A968-EFC36D0FD67B}"/>
    <cellStyle name="Normal 8 2 2 3 2 3 2 2 4" xfId="34029" xr:uid="{6AD3C417-2D6C-4784-AF01-6DBBE784D068}"/>
    <cellStyle name="Normal 8 2 2 3 2 3 2 3" xfId="12931" xr:uid="{ECEFA844-919B-4DDF-A65F-29A25F891EB4}"/>
    <cellStyle name="Normal 8 2 2 3 2 3 2 4" xfId="21372" xr:uid="{60AD11E4-01C5-4B44-9674-E8D3F2CCD8E1}"/>
    <cellStyle name="Normal 8 2 2 3 2 3 2 5" xfId="29812" xr:uid="{CECAA83A-B373-44D7-A239-31C0BBF6AB42}"/>
    <cellStyle name="Normal 8 2 2 3 2 3 3" xfId="5677" xr:uid="{00000000-0005-0000-0000-00004E1C0000}"/>
    <cellStyle name="Normal 8 2 2 3 2 3 3 2" xfId="15003" xr:uid="{DBB0835D-BEEE-4971-AAB8-4F7A929DCAF6}"/>
    <cellStyle name="Normal 8 2 2 3 2 3 3 3" xfId="23444" xr:uid="{D11F1BC0-D341-4D88-94AC-69461D78158E}"/>
    <cellStyle name="Normal 8 2 2 3 2 3 3 4" xfId="31884" xr:uid="{CFD3EF20-02C4-4341-85C9-7FCFA292F3AF}"/>
    <cellStyle name="Normal 8 2 2 3 2 3 4" xfId="10786" xr:uid="{DEBE9CF9-618F-4044-AE3D-EC2D6CD3375F}"/>
    <cellStyle name="Normal 8 2 2 3 2 3 5" xfId="19227" xr:uid="{01BFCEDB-4056-4D4F-90DD-2A8C119533EB}"/>
    <cellStyle name="Normal 8 2 2 3 2 3 6" xfId="27667" xr:uid="{0B002225-DEAA-4E30-8F11-BD47E265A2D3}"/>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BFBAA8B4-DACC-49A9-8071-20B4BC10E8BD}"/>
    <cellStyle name="Normal 8 2 2 3 2 4 2 2 3" xfId="26002" xr:uid="{8ADC3299-8215-4333-8BEF-969646F37FEE}"/>
    <cellStyle name="Normal 8 2 2 3 2 4 2 2 4" xfId="34442" xr:uid="{6C1CE0EB-BBC7-4198-94EC-C2D97CBD250D}"/>
    <cellStyle name="Normal 8 2 2 3 2 4 2 3" xfId="13344" xr:uid="{DE4E1A03-C53D-4443-8B5E-3814D52D9EEE}"/>
    <cellStyle name="Normal 8 2 2 3 2 4 2 4" xfId="21785" xr:uid="{47184B83-7576-4E10-B958-D3B2C2C190E0}"/>
    <cellStyle name="Normal 8 2 2 3 2 4 2 5" xfId="30225" xr:uid="{997B7FC2-CF45-4474-8392-C0C6E43D76B4}"/>
    <cellStyle name="Normal 8 2 2 3 2 4 3" xfId="6090" xr:uid="{00000000-0005-0000-0000-0000521C0000}"/>
    <cellStyle name="Normal 8 2 2 3 2 4 3 2" xfId="15416" xr:uid="{49212003-68E0-43F9-A5B5-7A0F9030A560}"/>
    <cellStyle name="Normal 8 2 2 3 2 4 3 3" xfId="23857" xr:uid="{02863312-E410-493C-B992-28A935C1CEA9}"/>
    <cellStyle name="Normal 8 2 2 3 2 4 3 4" xfId="32297" xr:uid="{598DD715-54E5-4AF6-B874-37EBB97D10C3}"/>
    <cellStyle name="Normal 8 2 2 3 2 4 4" xfId="11199" xr:uid="{206AA33F-6C6D-4FD6-B5C8-E383195BB3A5}"/>
    <cellStyle name="Normal 8 2 2 3 2 4 5" xfId="19640" xr:uid="{9613180E-DA2A-4206-8925-58B933C60020}"/>
    <cellStyle name="Normal 8 2 2 3 2 4 6" xfId="28080" xr:uid="{D1B4C6BB-1799-4C04-8C15-9C8131ECE7F6}"/>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05D84970-4B48-42BD-A5DB-73698E144D55}"/>
    <cellStyle name="Normal 8 2 2 3 2 5 2 2 3" xfId="26415" xr:uid="{638064FF-16E4-464D-B042-FEC5C2FB58BA}"/>
    <cellStyle name="Normal 8 2 2 3 2 5 2 2 4" xfId="34855" xr:uid="{EA8971D2-FCE6-4D48-A6E4-C2545F3213E9}"/>
    <cellStyle name="Normal 8 2 2 3 2 5 2 3" xfId="13757" xr:uid="{2C8099B9-5442-40AE-8372-414FF1B80B0D}"/>
    <cellStyle name="Normal 8 2 2 3 2 5 2 4" xfId="22198" xr:uid="{B6121A0A-60D8-408D-B032-B10FAA9F4024}"/>
    <cellStyle name="Normal 8 2 2 3 2 5 2 5" xfId="30638" xr:uid="{C0AFEFE9-4DA9-4066-A5FC-3571CE4FA0D6}"/>
    <cellStyle name="Normal 8 2 2 3 2 5 3" xfId="6503" xr:uid="{00000000-0005-0000-0000-0000561C0000}"/>
    <cellStyle name="Normal 8 2 2 3 2 5 3 2" xfId="15829" xr:uid="{9DA1A452-556B-4515-8BE9-D0893F831156}"/>
    <cellStyle name="Normal 8 2 2 3 2 5 3 3" xfId="24270" xr:uid="{ADA0B38E-A73D-425E-9BC0-8CD1DB5DC541}"/>
    <cellStyle name="Normal 8 2 2 3 2 5 3 4" xfId="32710" xr:uid="{87B3DE8D-AF03-4125-A112-CC80B9239EDD}"/>
    <cellStyle name="Normal 8 2 2 3 2 5 4" xfId="11612" xr:uid="{DD588FF6-376C-4C55-819A-4107D7E06ADD}"/>
    <cellStyle name="Normal 8 2 2 3 2 5 5" xfId="20053" xr:uid="{C17604D0-3858-4408-BBED-505938D7039F}"/>
    <cellStyle name="Normal 8 2 2 3 2 5 6" xfId="28493" xr:uid="{052647EB-9611-4F9A-A81F-19BBF905B729}"/>
    <cellStyle name="Normal 8 2 2 3 2 6" xfId="2633" xr:uid="{00000000-0005-0000-0000-0000571C0000}"/>
    <cellStyle name="Normal 8 2 2 3 2 6 2" xfId="6916" xr:uid="{00000000-0005-0000-0000-0000581C0000}"/>
    <cellStyle name="Normal 8 2 2 3 2 6 2 2" xfId="16242" xr:uid="{D93B2311-63BA-4FFB-A2CF-A910DB35BE7E}"/>
    <cellStyle name="Normal 8 2 2 3 2 6 2 3" xfId="24683" xr:uid="{A259C21A-B9DF-4133-A042-C4D16A0BDA14}"/>
    <cellStyle name="Normal 8 2 2 3 2 6 2 4" xfId="33123" xr:uid="{48790FDA-A59F-488B-84F0-477BF380043D}"/>
    <cellStyle name="Normal 8 2 2 3 2 6 3" xfId="12025" xr:uid="{09BD3612-8BE2-4D07-ADB6-6318E8177286}"/>
    <cellStyle name="Normal 8 2 2 3 2 6 4" xfId="20466" xr:uid="{7C5F8034-E43A-458D-97A3-EDE09E2264BC}"/>
    <cellStyle name="Normal 8 2 2 3 2 6 5" xfId="28906" xr:uid="{223E9F3B-016F-4A94-9D03-7FF7E7E999B0}"/>
    <cellStyle name="Normal 8 2 2 3 2 7" xfId="4851" xr:uid="{00000000-0005-0000-0000-0000591C0000}"/>
    <cellStyle name="Normal 8 2 2 3 2 7 2" xfId="14177" xr:uid="{21B3445B-0B08-4D9D-87D9-3E6E592B6C5C}"/>
    <cellStyle name="Normal 8 2 2 3 2 7 3" xfId="22618" xr:uid="{3669B7C8-67CC-493F-BAF5-FC99E62586EC}"/>
    <cellStyle name="Normal 8 2 2 3 2 7 4" xfId="31058" xr:uid="{B1533D0E-C1EF-49E5-8799-D6E2F19FD218}"/>
    <cellStyle name="Normal 8 2 2 3 2 8" xfId="9093" xr:uid="{ADE34C72-BCCB-477C-B66A-BE7159CEB281}"/>
    <cellStyle name="Normal 8 2 2 3 2 9" xfId="9960" xr:uid="{70F4DB1F-C872-4B99-831B-6ABCF4E40E3E}"/>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6ACA7445-3DB0-4631-8AA5-8789CEB35B76}"/>
    <cellStyle name="Normal 8 2 2 3 3 2 2 3" xfId="25175" xr:uid="{CE1586AB-6D04-47D6-B220-4CF72DB553DE}"/>
    <cellStyle name="Normal 8 2 2 3 3 2 2 4" xfId="33615" xr:uid="{ADAA3193-8693-4F25-9594-878A6DA0F893}"/>
    <cellStyle name="Normal 8 2 2 3 3 2 3" xfId="12517" xr:uid="{51454C32-D9EE-49C6-83EB-74A9EE281099}"/>
    <cellStyle name="Normal 8 2 2 3 3 2 4" xfId="20958" xr:uid="{C7DD5DFD-32AB-4102-B1AF-9952E175D413}"/>
    <cellStyle name="Normal 8 2 2 3 3 2 5" xfId="29398" xr:uid="{72916BA5-1DC2-4D41-81BD-B9C0886BEFBB}"/>
    <cellStyle name="Normal 8 2 2 3 3 3" xfId="5263" xr:uid="{00000000-0005-0000-0000-00005D1C0000}"/>
    <cellStyle name="Normal 8 2 2 3 3 3 2" xfId="14589" xr:uid="{67BE8958-D253-437D-8725-1F74F3ECA162}"/>
    <cellStyle name="Normal 8 2 2 3 3 3 3" xfId="23030" xr:uid="{6BB273A3-DAA2-4F40-B9DE-DDB46EBED47C}"/>
    <cellStyle name="Normal 8 2 2 3 3 3 4" xfId="31470" xr:uid="{94114A37-757A-497A-A575-7F74D5CDD262}"/>
    <cellStyle name="Normal 8 2 2 3 3 4" xfId="9311" xr:uid="{F4618F1E-1235-4269-B5C6-B09BE5034F6C}"/>
    <cellStyle name="Normal 8 2 2 3 3 5" xfId="10372" xr:uid="{0AC21AB4-D603-4B3F-A463-02C448EB18D7}"/>
    <cellStyle name="Normal 8 2 2 3 3 6" xfId="18813" xr:uid="{ADE07B67-55D7-4E77-9A9B-19D6AAE20195}"/>
    <cellStyle name="Normal 8 2 2 3 3 7" xfId="27253" xr:uid="{AD438B7C-A9CC-4887-9D55-08BD4C4023F7}"/>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15F9CF18-CD47-44AB-AD49-69343DBC21C5}"/>
    <cellStyle name="Normal 8 2 2 3 4 2 2 3" xfId="25588" xr:uid="{B7C349FF-C678-4233-9DE6-A83891652E3C}"/>
    <cellStyle name="Normal 8 2 2 3 4 2 2 4" xfId="34028" xr:uid="{D61644BB-F2E7-4BA2-AAB9-29E5D6669D06}"/>
    <cellStyle name="Normal 8 2 2 3 4 2 3" xfId="12930" xr:uid="{0D56634F-91A8-452B-899A-4E7730EC8971}"/>
    <cellStyle name="Normal 8 2 2 3 4 2 4" xfId="21371" xr:uid="{45366669-8E44-423E-8EEC-80788C41714D}"/>
    <cellStyle name="Normal 8 2 2 3 4 2 5" xfId="29811" xr:uid="{98B91661-1AB8-495E-A8A2-98E274746FD8}"/>
    <cellStyle name="Normal 8 2 2 3 4 3" xfId="5676" xr:uid="{00000000-0005-0000-0000-0000611C0000}"/>
    <cellStyle name="Normal 8 2 2 3 4 3 2" xfId="15002" xr:uid="{B44F4DD6-7734-4A83-93E5-5938F2F8CD39}"/>
    <cellStyle name="Normal 8 2 2 3 4 3 3" xfId="23443" xr:uid="{7D8D3FDE-7BAF-4455-B335-3881A9091FC2}"/>
    <cellStyle name="Normal 8 2 2 3 4 3 4" xfId="31883" xr:uid="{4745792B-30B0-47B0-8121-3A49F2A0744E}"/>
    <cellStyle name="Normal 8 2 2 3 4 4" xfId="10785" xr:uid="{F56EB0B2-6C25-42FA-987F-0B91ED7F4371}"/>
    <cellStyle name="Normal 8 2 2 3 4 5" xfId="19226" xr:uid="{B0513431-AB1B-43FD-A967-DBE915873AB1}"/>
    <cellStyle name="Normal 8 2 2 3 4 6" xfId="27666" xr:uid="{DE0772EA-8FB4-4F26-B96B-40D327653905}"/>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8E5A7F01-FA86-4871-996E-A498D1A26E94}"/>
    <cellStyle name="Normal 8 2 2 3 5 2 2 3" xfId="26001" xr:uid="{A8E83B7B-24F8-48F4-880B-E2D18A52C801}"/>
    <cellStyle name="Normal 8 2 2 3 5 2 2 4" xfId="34441" xr:uid="{31A60F96-78EA-406B-AB96-9110DBA704FE}"/>
    <cellStyle name="Normal 8 2 2 3 5 2 3" xfId="13343" xr:uid="{D20A2DAB-5A28-4627-9C86-4B7D0AA4375D}"/>
    <cellStyle name="Normal 8 2 2 3 5 2 4" xfId="21784" xr:uid="{50BCF0F7-2603-4241-B73E-7ACB1CE29D12}"/>
    <cellStyle name="Normal 8 2 2 3 5 2 5" xfId="30224" xr:uid="{FD93CA26-4588-438D-B676-982B8B83C1C4}"/>
    <cellStyle name="Normal 8 2 2 3 5 3" xfId="6089" xr:uid="{00000000-0005-0000-0000-0000651C0000}"/>
    <cellStyle name="Normal 8 2 2 3 5 3 2" xfId="15415" xr:uid="{09597D54-9406-4C04-9D9E-29609C446295}"/>
    <cellStyle name="Normal 8 2 2 3 5 3 3" xfId="23856" xr:uid="{69A5B530-0C0B-462F-95AD-8DAF27796746}"/>
    <cellStyle name="Normal 8 2 2 3 5 3 4" xfId="32296" xr:uid="{EDE1D47B-AEE0-4A9F-832C-0C3ECB74F6B0}"/>
    <cellStyle name="Normal 8 2 2 3 5 4" xfId="11198" xr:uid="{A73434C4-0252-46E9-9422-4A8D273EA0D1}"/>
    <cellStyle name="Normal 8 2 2 3 5 5" xfId="19639" xr:uid="{0E4FD6F2-E7EA-4083-9B67-254EF181C396}"/>
    <cellStyle name="Normal 8 2 2 3 5 6" xfId="28079" xr:uid="{1CF9FDEE-57EF-4CA4-826D-CB82581A58E3}"/>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AE5D4D83-56D6-462B-83B8-9E8C9BDCA520}"/>
    <cellStyle name="Normal 8 2 2 3 6 2 2 3" xfId="26414" xr:uid="{5B3CEE1B-405C-456B-8300-826080DD81AA}"/>
    <cellStyle name="Normal 8 2 2 3 6 2 2 4" xfId="34854" xr:uid="{49C18730-8C4D-474C-8EF0-64DC5B886BA3}"/>
    <cellStyle name="Normal 8 2 2 3 6 2 3" xfId="13756" xr:uid="{482851F4-4587-4B1F-9DD4-A1065C0CFF52}"/>
    <cellStyle name="Normal 8 2 2 3 6 2 4" xfId="22197" xr:uid="{E6C37B64-27BD-4DCA-8E80-524C603D5AA7}"/>
    <cellStyle name="Normal 8 2 2 3 6 2 5" xfId="30637" xr:uid="{5D6E0F94-0D7D-4890-BB64-4F85D97E239A}"/>
    <cellStyle name="Normal 8 2 2 3 6 3" xfId="6502" xr:uid="{00000000-0005-0000-0000-0000691C0000}"/>
    <cellStyle name="Normal 8 2 2 3 6 3 2" xfId="15828" xr:uid="{B19DBFE7-9063-49C7-B565-35A5C37151B0}"/>
    <cellStyle name="Normal 8 2 2 3 6 3 3" xfId="24269" xr:uid="{FC714583-5A4A-4122-B2BC-0259C8116AD5}"/>
    <cellStyle name="Normal 8 2 2 3 6 3 4" xfId="32709" xr:uid="{ADA40E00-EC31-497C-B93A-5709CC8C8B88}"/>
    <cellStyle name="Normal 8 2 2 3 6 4" xfId="11611" xr:uid="{4935FA79-118D-4F45-99E6-A60236D036A5}"/>
    <cellStyle name="Normal 8 2 2 3 6 5" xfId="20052" xr:uid="{4B2B2F61-3007-4668-8DC2-E1BD295FDF0D}"/>
    <cellStyle name="Normal 8 2 2 3 6 6" xfId="28492" xr:uid="{CAB4FF1D-ECC8-4ADA-9492-EB53F13FA7D6}"/>
    <cellStyle name="Normal 8 2 2 3 7" xfId="2632" xr:uid="{00000000-0005-0000-0000-00006A1C0000}"/>
    <cellStyle name="Normal 8 2 2 3 7 2" xfId="6915" xr:uid="{00000000-0005-0000-0000-00006B1C0000}"/>
    <cellStyle name="Normal 8 2 2 3 7 2 2" xfId="16241" xr:uid="{2B77FE20-8DDE-4ABE-BC19-38E5BACC9827}"/>
    <cellStyle name="Normal 8 2 2 3 7 2 3" xfId="24682" xr:uid="{6330A722-B28D-4891-8A8B-F3E894B4E4C3}"/>
    <cellStyle name="Normal 8 2 2 3 7 2 4" xfId="33122" xr:uid="{9A04C13F-9663-4316-8CC0-6F575D652B4C}"/>
    <cellStyle name="Normal 8 2 2 3 7 3" xfId="12024" xr:uid="{CE7CF7B3-925C-47C7-808D-1A2CB9F69D00}"/>
    <cellStyle name="Normal 8 2 2 3 7 4" xfId="20465" xr:uid="{BF666F68-7982-4784-B3E0-5CB08D5F3D0D}"/>
    <cellStyle name="Normal 8 2 2 3 7 5" xfId="28905" xr:uid="{781A4A5F-3AC5-4DD5-B0C0-D89E9AE7F5EF}"/>
    <cellStyle name="Normal 8 2 2 3 8" xfId="4850" xr:uid="{00000000-0005-0000-0000-00006C1C0000}"/>
    <cellStyle name="Normal 8 2 2 3 8 2" xfId="14176" xr:uid="{039FC6FA-8880-48A6-9623-EE0971F8B838}"/>
    <cellStyle name="Normal 8 2 2 3 8 3" xfId="22617" xr:uid="{C3F3CEB8-EF8F-4678-A6B6-17E08A8F05E0}"/>
    <cellStyle name="Normal 8 2 2 3 8 4" xfId="31057" xr:uid="{15F8164A-AFBA-4D5E-A58E-FC00112C077C}"/>
    <cellStyle name="Normal 8 2 2 3 9" xfId="8886" xr:uid="{B2A45ACA-2377-4A40-A818-E7106AD46E30}"/>
    <cellStyle name="Normal 8 2 2 4" xfId="487" xr:uid="{00000000-0005-0000-0000-00006D1C0000}"/>
    <cellStyle name="Normal 8 2 2 4 10" xfId="18402" xr:uid="{8F90F8D3-29CE-474E-97C3-0CF0C1427DE9}"/>
    <cellStyle name="Normal 8 2 2 4 11" xfId="26842" xr:uid="{9C201EEC-651D-4DB5-832C-33C0C8F49FF1}"/>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810ABC64-8177-4344-A704-815272E5B264}"/>
    <cellStyle name="Normal 8 2 2 4 2 2 2 3" xfId="25177" xr:uid="{7FF8A4CC-9FEC-47EF-AEF4-50D7A4766F00}"/>
    <cellStyle name="Normal 8 2 2 4 2 2 2 4" xfId="33617" xr:uid="{058523DD-F448-43E5-83EC-CE3950BF80A7}"/>
    <cellStyle name="Normal 8 2 2 4 2 2 3" xfId="12519" xr:uid="{564D5B95-AF4C-4905-84DE-92E9893BCF9A}"/>
    <cellStyle name="Normal 8 2 2 4 2 2 4" xfId="20960" xr:uid="{CDA99152-B198-4A48-A9F8-499270CD1F93}"/>
    <cellStyle name="Normal 8 2 2 4 2 2 5" xfId="29400" xr:uid="{7FD28428-8418-45F5-9818-E79D1447E071}"/>
    <cellStyle name="Normal 8 2 2 4 2 3" xfId="5265" xr:uid="{00000000-0005-0000-0000-0000711C0000}"/>
    <cellStyle name="Normal 8 2 2 4 2 3 2" xfId="14591" xr:uid="{E80CB34D-0C78-4235-9430-F8714271B757}"/>
    <cellStyle name="Normal 8 2 2 4 2 3 3" xfId="23032" xr:uid="{D76C599E-62D6-4AFA-906A-B45924FEDAF2}"/>
    <cellStyle name="Normal 8 2 2 4 2 3 4" xfId="31472" xr:uid="{EE89F338-CB88-484E-BCFC-0E1F98061D14}"/>
    <cellStyle name="Normal 8 2 2 4 2 4" xfId="9415" xr:uid="{88D7FF95-DEA9-4369-BE01-487FC7B2B7E8}"/>
    <cellStyle name="Normal 8 2 2 4 2 5" xfId="10374" xr:uid="{E8033227-3FB9-4F69-BB96-34A9A7D5D66F}"/>
    <cellStyle name="Normal 8 2 2 4 2 6" xfId="18815" xr:uid="{1D889EA8-57A1-42DB-8F25-7CD77E6EDF7C}"/>
    <cellStyle name="Normal 8 2 2 4 2 7" xfId="27255" xr:uid="{90BD8561-4FAB-4BC3-A9F3-2A40EEE14202}"/>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3954B74B-ED01-469C-8874-5584E219A31B}"/>
    <cellStyle name="Normal 8 2 2 4 3 2 2 3" xfId="25590" xr:uid="{4F2EDD1C-7B61-4A94-AD2A-611C3F217DAB}"/>
    <cellStyle name="Normal 8 2 2 4 3 2 2 4" xfId="34030" xr:uid="{711A1D2B-04EB-440C-AAD4-09DC73EEFB74}"/>
    <cellStyle name="Normal 8 2 2 4 3 2 3" xfId="12932" xr:uid="{8691C587-38FD-4B32-BAB6-61F539A971D2}"/>
    <cellStyle name="Normal 8 2 2 4 3 2 4" xfId="21373" xr:uid="{8E767E66-038D-401C-8A06-842654E3808B}"/>
    <cellStyle name="Normal 8 2 2 4 3 2 5" xfId="29813" xr:uid="{A72CBA95-16F3-4045-8F97-BEFE539B80FF}"/>
    <cellStyle name="Normal 8 2 2 4 3 3" xfId="5678" xr:uid="{00000000-0005-0000-0000-0000751C0000}"/>
    <cellStyle name="Normal 8 2 2 4 3 3 2" xfId="15004" xr:uid="{C194AB86-CD99-45DF-8832-74B52EB8250D}"/>
    <cellStyle name="Normal 8 2 2 4 3 3 3" xfId="23445" xr:uid="{A055B355-2091-47BD-B438-167C035AAA81}"/>
    <cellStyle name="Normal 8 2 2 4 3 3 4" xfId="31885" xr:uid="{6E9BFDAF-A862-465A-BA8E-3B4F37247FA4}"/>
    <cellStyle name="Normal 8 2 2 4 3 4" xfId="10787" xr:uid="{19472276-7609-4BD5-B861-200457BD6155}"/>
    <cellStyle name="Normal 8 2 2 4 3 5" xfId="19228" xr:uid="{0BC1DCBA-1F22-4C0C-B0D5-0E5C1A93EBB7}"/>
    <cellStyle name="Normal 8 2 2 4 3 6" xfId="27668" xr:uid="{C0A13BA2-6DC6-426C-AB8B-32D725A8615A}"/>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C41F17D5-E283-4D90-8D7D-4159A2BB9BA9}"/>
    <cellStyle name="Normal 8 2 2 4 4 2 2 3" xfId="26003" xr:uid="{4AB0D9C8-00C7-4ADC-9EC3-0522DA53CB5E}"/>
    <cellStyle name="Normal 8 2 2 4 4 2 2 4" xfId="34443" xr:uid="{9005FAB2-FD46-429B-B929-C30DEDD23D93}"/>
    <cellStyle name="Normal 8 2 2 4 4 2 3" xfId="13345" xr:uid="{217AC498-D215-4A66-BCF4-2475AF3B19E5}"/>
    <cellStyle name="Normal 8 2 2 4 4 2 4" xfId="21786" xr:uid="{EA8AA98C-F4AE-4AD7-8434-C9A7BE318DE2}"/>
    <cellStyle name="Normal 8 2 2 4 4 2 5" xfId="30226" xr:uid="{7002AEE3-BB13-4981-AE4C-75EE3805EE22}"/>
    <cellStyle name="Normal 8 2 2 4 4 3" xfId="6091" xr:uid="{00000000-0005-0000-0000-0000791C0000}"/>
    <cellStyle name="Normal 8 2 2 4 4 3 2" xfId="15417" xr:uid="{53E02F5D-CDDF-470E-A9A3-2AF4C971363F}"/>
    <cellStyle name="Normal 8 2 2 4 4 3 3" xfId="23858" xr:uid="{04EC0008-5145-4F39-B5DB-E8FC594AF382}"/>
    <cellStyle name="Normal 8 2 2 4 4 3 4" xfId="32298" xr:uid="{F9B36CC8-CEC6-41BE-9C4A-7921ED698B6F}"/>
    <cellStyle name="Normal 8 2 2 4 4 4" xfId="11200" xr:uid="{4103CEE8-B509-40FF-91F0-943E35923548}"/>
    <cellStyle name="Normal 8 2 2 4 4 5" xfId="19641" xr:uid="{50B49A48-54A9-438A-82A1-334BBD94E918}"/>
    <cellStyle name="Normal 8 2 2 4 4 6" xfId="28081" xr:uid="{C3F055F5-B934-4552-A4C9-A7AC59CA5699}"/>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654FAA1F-3971-43A7-A54F-A2ECE77DA2D3}"/>
    <cellStyle name="Normal 8 2 2 4 5 2 2 3" xfId="26416" xr:uid="{5388074F-7A5A-480B-8B2D-A03BDFF7A8CE}"/>
    <cellStyle name="Normal 8 2 2 4 5 2 2 4" xfId="34856" xr:uid="{A883EEBD-01AF-4123-BE30-2F8CB3EEE1C2}"/>
    <cellStyle name="Normal 8 2 2 4 5 2 3" xfId="13758" xr:uid="{34A3B11E-9B40-4786-83C5-F28FB38E51FD}"/>
    <cellStyle name="Normal 8 2 2 4 5 2 4" xfId="22199" xr:uid="{86441E0F-CBA8-4991-9814-3B394528B939}"/>
    <cellStyle name="Normal 8 2 2 4 5 2 5" xfId="30639" xr:uid="{A0F09F4E-CBD2-4AB3-9755-05FE603225CF}"/>
    <cellStyle name="Normal 8 2 2 4 5 3" xfId="6504" xr:uid="{00000000-0005-0000-0000-00007D1C0000}"/>
    <cellStyle name="Normal 8 2 2 4 5 3 2" xfId="15830" xr:uid="{359100C4-1F11-463B-86C0-211C978919AC}"/>
    <cellStyle name="Normal 8 2 2 4 5 3 3" xfId="24271" xr:uid="{49F86A8B-649F-4795-8E1F-A27CAA27EF0D}"/>
    <cellStyle name="Normal 8 2 2 4 5 3 4" xfId="32711" xr:uid="{637DFE20-A60A-4884-AE9B-0D8C6B15AEF1}"/>
    <cellStyle name="Normal 8 2 2 4 5 4" xfId="11613" xr:uid="{A67A7351-C3D3-4B25-B682-D253EA76C548}"/>
    <cellStyle name="Normal 8 2 2 4 5 5" xfId="20054" xr:uid="{36244923-30CD-477C-AAE4-2703AC2972E0}"/>
    <cellStyle name="Normal 8 2 2 4 5 6" xfId="28494" xr:uid="{BFEE8B96-0B49-4A64-86E6-D92903CDAB33}"/>
    <cellStyle name="Normal 8 2 2 4 6" xfId="2634" xr:uid="{00000000-0005-0000-0000-00007E1C0000}"/>
    <cellStyle name="Normal 8 2 2 4 6 2" xfId="6917" xr:uid="{00000000-0005-0000-0000-00007F1C0000}"/>
    <cellStyle name="Normal 8 2 2 4 6 2 2" xfId="16243" xr:uid="{723FF9DA-8119-41AB-B4B2-6F9F501A0180}"/>
    <cellStyle name="Normal 8 2 2 4 6 2 3" xfId="24684" xr:uid="{A2D7C862-DEE4-4B32-A724-754F069A621F}"/>
    <cellStyle name="Normal 8 2 2 4 6 2 4" xfId="33124" xr:uid="{54545FD0-0FFD-4E2E-AA10-016071B56916}"/>
    <cellStyle name="Normal 8 2 2 4 6 3" xfId="12026" xr:uid="{3062BEB6-3851-447F-9A32-9752FA0F03D5}"/>
    <cellStyle name="Normal 8 2 2 4 6 4" xfId="20467" xr:uid="{EA8F93EC-03FD-47D2-A7A4-F7ADDEE340D1}"/>
    <cellStyle name="Normal 8 2 2 4 6 5" xfId="28907" xr:uid="{70F9E8ED-1E8A-4010-AB3D-72D60F46A1E4}"/>
    <cellStyle name="Normal 8 2 2 4 7" xfId="4852" xr:uid="{00000000-0005-0000-0000-0000801C0000}"/>
    <cellStyle name="Normal 8 2 2 4 7 2" xfId="14178" xr:uid="{EC500D10-587E-45E1-9A51-E73827F0BE7B}"/>
    <cellStyle name="Normal 8 2 2 4 7 3" xfId="22619" xr:uid="{F3AFB658-079A-495F-8E48-2DCCF1FD5CC1}"/>
    <cellStyle name="Normal 8 2 2 4 7 4" xfId="31059" xr:uid="{E9978D42-168A-4B74-9E70-3C7D03FA4963}"/>
    <cellStyle name="Normal 8 2 2 4 8" xfId="8990" xr:uid="{F08D85C9-EB04-4227-BEA0-1B51DDB63DFA}"/>
    <cellStyle name="Normal 8 2 2 4 9" xfId="9961" xr:uid="{13FFA395-5409-4556-9364-351ECBD79DE6}"/>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044D7494-1700-44A6-A1AC-81961F21496F}"/>
    <cellStyle name="Normal 8 2 2 5 2 2 3" xfId="25170" xr:uid="{090C44CB-3D1E-49F0-8173-0599BB8B04B0}"/>
    <cellStyle name="Normal 8 2 2 5 2 2 4" xfId="33610" xr:uid="{5ED5C4E9-AE8A-4622-BBF1-3355758FFCD6}"/>
    <cellStyle name="Normal 8 2 2 5 2 3" xfId="12512" xr:uid="{E9FBAFCB-454B-4788-BFDE-28CFDE1A8ED1}"/>
    <cellStyle name="Normal 8 2 2 5 2 4" xfId="20953" xr:uid="{33B30F56-3B10-41D8-A70D-D25B5CA6B336}"/>
    <cellStyle name="Normal 8 2 2 5 2 5" xfId="29393" xr:uid="{79664E2C-53DD-4287-BD7A-4F6E0E9B0B9E}"/>
    <cellStyle name="Normal 8 2 2 5 3" xfId="5258" xr:uid="{00000000-0005-0000-0000-0000841C0000}"/>
    <cellStyle name="Normal 8 2 2 5 3 2" xfId="14584" xr:uid="{C241739D-1429-49CA-988D-3941D70EEF67}"/>
    <cellStyle name="Normal 8 2 2 5 3 3" xfId="23025" xr:uid="{A2E6E488-98EC-42FC-ABE7-22E397C0197C}"/>
    <cellStyle name="Normal 8 2 2 5 3 4" xfId="31465" xr:uid="{E01F07FF-8C11-43D1-9ECB-A2D8C1B796D2}"/>
    <cellStyle name="Normal 8 2 2 5 4" xfId="9207" xr:uid="{D4CDC4D2-5794-400F-B850-1B259D26C1FE}"/>
    <cellStyle name="Normal 8 2 2 5 5" xfId="10367" xr:uid="{D8EA68AF-A536-415D-BAFE-711C221065DF}"/>
    <cellStyle name="Normal 8 2 2 5 6" xfId="18808" xr:uid="{3A683333-68F3-421C-8490-EE3EBC650018}"/>
    <cellStyle name="Normal 8 2 2 5 7" xfId="27248" xr:uid="{CF7EB49C-CBCE-4059-86EA-F096387FD4A7}"/>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F0339728-7A9F-49A0-9E91-4A1D3032103E}"/>
    <cellStyle name="Normal 8 2 2 6 2 2 3" xfId="25583" xr:uid="{6C624AD3-8F92-4044-A4F4-117B810EA209}"/>
    <cellStyle name="Normal 8 2 2 6 2 2 4" xfId="34023" xr:uid="{590E7243-9978-47A2-97B6-A29816A14CD2}"/>
    <cellStyle name="Normal 8 2 2 6 2 3" xfId="12925" xr:uid="{CB29A5BE-AAB4-4839-B0B2-70A5DDB361AC}"/>
    <cellStyle name="Normal 8 2 2 6 2 4" xfId="21366" xr:uid="{2198BEDB-23AC-4EDC-A7B3-02B69EC6FC08}"/>
    <cellStyle name="Normal 8 2 2 6 2 5" xfId="29806" xr:uid="{2C88B5D2-060C-4C5C-BFEB-DE405920046B}"/>
    <cellStyle name="Normal 8 2 2 6 3" xfId="5671" xr:uid="{00000000-0005-0000-0000-0000881C0000}"/>
    <cellStyle name="Normal 8 2 2 6 3 2" xfId="14997" xr:uid="{61713058-4542-4E91-A10A-3CE23985E943}"/>
    <cellStyle name="Normal 8 2 2 6 3 3" xfId="23438" xr:uid="{A3B642D6-0112-4A18-AE9D-2C1E2F7F2597}"/>
    <cellStyle name="Normal 8 2 2 6 3 4" xfId="31878" xr:uid="{3C0A0D2A-957E-43ED-8DF5-20B30A63DA49}"/>
    <cellStyle name="Normal 8 2 2 6 4" xfId="10780" xr:uid="{F51B9AE9-07EA-435F-BA60-F14FD2DF0F5D}"/>
    <cellStyle name="Normal 8 2 2 6 5" xfId="19221" xr:uid="{8A74B623-7E1E-434E-B2A3-841DC46EC57D}"/>
    <cellStyle name="Normal 8 2 2 6 6" xfId="27661" xr:uid="{B1DC4A89-F630-42B6-8918-C92D9282FBCC}"/>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A3A7D62F-A6F9-4A86-9A6C-7F2C42E8C4E4}"/>
    <cellStyle name="Normal 8 2 2 7 2 2 3" xfId="25996" xr:uid="{B1C4454F-84D0-4480-95B7-3899DFF16CC6}"/>
    <cellStyle name="Normal 8 2 2 7 2 2 4" xfId="34436" xr:uid="{5E589F78-94E1-453D-B842-19A0F340B221}"/>
    <cellStyle name="Normal 8 2 2 7 2 3" xfId="13338" xr:uid="{5B76AB09-C8B9-4063-83BB-BACA36DB8E97}"/>
    <cellStyle name="Normal 8 2 2 7 2 4" xfId="21779" xr:uid="{8358A947-A6B7-4755-ADDE-4E285AF94727}"/>
    <cellStyle name="Normal 8 2 2 7 2 5" xfId="30219" xr:uid="{6964B0E6-170C-422D-B96F-FB24EADDAAA3}"/>
    <cellStyle name="Normal 8 2 2 7 3" xfId="6084" xr:uid="{00000000-0005-0000-0000-00008C1C0000}"/>
    <cellStyle name="Normal 8 2 2 7 3 2" xfId="15410" xr:uid="{5D2813FF-2FCC-4A6A-9C32-C3281B64108D}"/>
    <cellStyle name="Normal 8 2 2 7 3 3" xfId="23851" xr:uid="{34123E5C-E905-401F-90F0-5C4BB9A3D436}"/>
    <cellStyle name="Normal 8 2 2 7 3 4" xfId="32291" xr:uid="{EE05B40B-0F79-428D-A032-2858E148DD97}"/>
    <cellStyle name="Normal 8 2 2 7 4" xfId="11193" xr:uid="{C81D536A-14BE-47BC-A74C-4AA5E0D1616E}"/>
    <cellStyle name="Normal 8 2 2 7 5" xfId="19634" xr:uid="{4DB26C48-FE9D-4C43-A4AE-DA39593C0AB3}"/>
    <cellStyle name="Normal 8 2 2 7 6" xfId="28074" xr:uid="{BACD77F5-2777-4AF6-96D2-D02D949C37F5}"/>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E02DF77C-7314-4D66-8022-7C6B5D18AF6C}"/>
    <cellStyle name="Normal 8 2 2 8 2 2 3" xfId="26409" xr:uid="{7D7AD83F-E2B6-47B6-8DAA-BD662EFA225D}"/>
    <cellStyle name="Normal 8 2 2 8 2 2 4" xfId="34849" xr:uid="{9C2F7BEC-0A85-4D86-9290-AD883BACFC84}"/>
    <cellStyle name="Normal 8 2 2 8 2 3" xfId="13751" xr:uid="{470A07E1-0D05-4EAC-BB6C-345A7833712C}"/>
    <cellStyle name="Normal 8 2 2 8 2 4" xfId="22192" xr:uid="{4F41523A-7131-45C0-A246-72722F8A4134}"/>
    <cellStyle name="Normal 8 2 2 8 2 5" xfId="30632" xr:uid="{E1F26968-C6EA-4DD4-A6EC-32AC834B3F45}"/>
    <cellStyle name="Normal 8 2 2 8 3" xfId="6497" xr:uid="{00000000-0005-0000-0000-0000901C0000}"/>
    <cellStyle name="Normal 8 2 2 8 3 2" xfId="15823" xr:uid="{0B76C6A8-536E-4BE2-88D3-05A0A39A0977}"/>
    <cellStyle name="Normal 8 2 2 8 3 3" xfId="24264" xr:uid="{7C222CB4-1292-4D55-9759-01D7C1844D8B}"/>
    <cellStyle name="Normal 8 2 2 8 3 4" xfId="32704" xr:uid="{1DDB1403-F144-491E-8535-606A87F4BBAB}"/>
    <cellStyle name="Normal 8 2 2 8 4" xfId="11606" xr:uid="{AFD7CCCD-5361-4F72-A198-8FC216DD30EE}"/>
    <cellStyle name="Normal 8 2 2 8 5" xfId="20047" xr:uid="{6E1200D6-27B0-44DA-9705-45B5B3767A33}"/>
    <cellStyle name="Normal 8 2 2 8 6" xfId="28487" xr:uid="{1FD7B9A8-0360-4FEC-AD2D-4F28776D07F0}"/>
    <cellStyle name="Normal 8 2 2 9" xfId="2627" xr:uid="{00000000-0005-0000-0000-0000911C0000}"/>
    <cellStyle name="Normal 8 2 2 9 2" xfId="6910" xr:uid="{00000000-0005-0000-0000-0000921C0000}"/>
    <cellStyle name="Normal 8 2 2 9 2 2" xfId="16236" xr:uid="{080C3F9B-6C37-4CDD-8D26-14B905275F81}"/>
    <cellStyle name="Normal 8 2 2 9 2 3" xfId="24677" xr:uid="{16DCA44E-E20D-4833-8E27-F3B98C7D45FD}"/>
    <cellStyle name="Normal 8 2 2 9 2 4" xfId="33117" xr:uid="{B8F54572-D9A0-45A6-AB71-4AF6A559578A}"/>
    <cellStyle name="Normal 8 2 2 9 3" xfId="12019" xr:uid="{EEE83D30-D19F-40C6-B992-EFE9D9765E18}"/>
    <cellStyle name="Normal 8 2 2 9 4" xfId="20460" xr:uid="{6F30DFB0-52C9-4D71-A5FC-5C0006147179}"/>
    <cellStyle name="Normal 8 2 2 9 5" xfId="28900" xr:uid="{42DB5204-AFBE-4319-BF27-AEC883B933CE}"/>
    <cellStyle name="Normal 8 2 3" xfId="488" xr:uid="{00000000-0005-0000-0000-0000931C0000}"/>
    <cellStyle name="Normal 8 2 3 10" xfId="8835" xr:uid="{2F0FB8B3-D08B-41EB-93AB-2D83A1BD6036}"/>
    <cellStyle name="Normal 8 2 3 11" xfId="9962" xr:uid="{2A9218DC-8FB5-4582-A3C6-F5F937CEFFB6}"/>
    <cellStyle name="Normal 8 2 3 12" xfId="18403" xr:uid="{0AF873FD-8081-4110-9CF1-A1D129887D63}"/>
    <cellStyle name="Normal 8 2 3 13" xfId="26843" xr:uid="{F9D14AD3-E005-4414-B167-822CA10F348D}"/>
    <cellStyle name="Normal 8 2 3 2" xfId="489" xr:uid="{00000000-0005-0000-0000-0000941C0000}"/>
    <cellStyle name="Normal 8 2 3 2 10" xfId="9963" xr:uid="{1CF17476-1F3C-4692-96DE-8E7658F653FE}"/>
    <cellStyle name="Normal 8 2 3 2 11" xfId="18404" xr:uid="{8C0C2CA7-F972-47F2-9789-E75CFE8880F6}"/>
    <cellStyle name="Normal 8 2 3 2 12" xfId="26844" xr:uid="{9FA66DAE-D9B9-4E11-9254-61B1DB0B4633}"/>
    <cellStyle name="Normal 8 2 3 2 2" xfId="490" xr:uid="{00000000-0005-0000-0000-0000951C0000}"/>
    <cellStyle name="Normal 8 2 3 2 2 10" xfId="18405" xr:uid="{E9E94146-5768-4072-BBA8-234AB5656803}"/>
    <cellStyle name="Normal 8 2 3 2 2 11" xfId="26845" xr:uid="{E43B7C06-913D-4336-B9C8-46DCDD5F2122}"/>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D10589B1-2588-4D4E-B6AA-10378BFF7EA8}"/>
    <cellStyle name="Normal 8 2 3 2 2 2 2 2 3" xfId="25180" xr:uid="{F91AFDFB-A230-4EA5-8737-6D6F53C6E934}"/>
    <cellStyle name="Normal 8 2 3 2 2 2 2 2 4" xfId="33620" xr:uid="{5E200B10-11A3-4E61-BB07-64E244F9F999}"/>
    <cellStyle name="Normal 8 2 3 2 2 2 2 3" xfId="12522" xr:uid="{403EBFB9-AAF5-4053-941D-A8ED3DBDD979}"/>
    <cellStyle name="Normal 8 2 3 2 2 2 2 4" xfId="20963" xr:uid="{92943051-E2E1-4E4A-A8F9-115DEABAC273}"/>
    <cellStyle name="Normal 8 2 3 2 2 2 2 5" xfId="29403" xr:uid="{83DC376E-0EBB-4F19-85B2-5ED557321455}"/>
    <cellStyle name="Normal 8 2 3 2 2 2 3" xfId="5268" xr:uid="{00000000-0005-0000-0000-0000991C0000}"/>
    <cellStyle name="Normal 8 2 3 2 2 2 3 2" xfId="14594" xr:uid="{CA11672A-E7AA-4DF3-860E-F4F3548504B7}"/>
    <cellStyle name="Normal 8 2 3 2 2 2 3 3" xfId="23035" xr:uid="{656C1226-7790-4659-9F35-DA5D0837D5B9}"/>
    <cellStyle name="Normal 8 2 3 2 2 2 3 4" xfId="31475" xr:uid="{27DAED8A-4C18-4C32-A7C7-98CB327E48BC}"/>
    <cellStyle name="Normal 8 2 3 2 2 2 4" xfId="9570" xr:uid="{BA9732E0-D9E4-47DB-882D-D871A821FA55}"/>
    <cellStyle name="Normal 8 2 3 2 2 2 5" xfId="10377" xr:uid="{9493E0D3-5766-4AA7-A72F-FA90EA6C0E54}"/>
    <cellStyle name="Normal 8 2 3 2 2 2 6" xfId="18818" xr:uid="{11BBAD60-7E42-426F-B486-E544D6A2F2CD}"/>
    <cellStyle name="Normal 8 2 3 2 2 2 7" xfId="27258" xr:uid="{0BA6DAA3-846A-4062-9CFB-31787F4DEBD6}"/>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6CC2818C-546C-4D23-B0D9-3423F844B2F2}"/>
    <cellStyle name="Normal 8 2 3 2 2 3 2 2 3" xfId="25593" xr:uid="{19359D43-1513-4FE3-AF57-6A9B2485D824}"/>
    <cellStyle name="Normal 8 2 3 2 2 3 2 2 4" xfId="34033" xr:uid="{3C53F4C9-9B3E-46CA-8468-B46D597B6331}"/>
    <cellStyle name="Normal 8 2 3 2 2 3 2 3" xfId="12935" xr:uid="{9838C97D-E2FE-4064-9A70-F137B1A1369E}"/>
    <cellStyle name="Normal 8 2 3 2 2 3 2 4" xfId="21376" xr:uid="{48D9CB6A-4F68-432B-9E05-5E0BC1A97B9F}"/>
    <cellStyle name="Normal 8 2 3 2 2 3 2 5" xfId="29816" xr:uid="{D9A36BFE-23AD-4AC0-98F3-3C032BF61013}"/>
    <cellStyle name="Normal 8 2 3 2 2 3 3" xfId="5681" xr:uid="{00000000-0005-0000-0000-00009D1C0000}"/>
    <cellStyle name="Normal 8 2 3 2 2 3 3 2" xfId="15007" xr:uid="{24073A22-68D8-4CC7-B3FA-5097FB72B3C9}"/>
    <cellStyle name="Normal 8 2 3 2 2 3 3 3" xfId="23448" xr:uid="{84F2F6DA-8313-4B84-AC43-AC8609E44DE2}"/>
    <cellStyle name="Normal 8 2 3 2 2 3 3 4" xfId="31888" xr:uid="{E6A5C0FE-A025-4959-8E5D-0E56474C1CDB}"/>
    <cellStyle name="Normal 8 2 3 2 2 3 4" xfId="10790" xr:uid="{BED1099A-7672-4DC7-B6F6-87A31D9139AD}"/>
    <cellStyle name="Normal 8 2 3 2 2 3 5" xfId="19231" xr:uid="{8C1ED971-ED8C-4032-BED0-466C3F811C99}"/>
    <cellStyle name="Normal 8 2 3 2 2 3 6" xfId="27671" xr:uid="{B2B1798D-2822-4DD2-8A5C-048819A3BBFB}"/>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B1CA7E46-FBD4-44F2-9961-13B4C143A9D0}"/>
    <cellStyle name="Normal 8 2 3 2 2 4 2 2 3" xfId="26006" xr:uid="{92793997-5EC8-46BF-B4DE-279DB646D3B7}"/>
    <cellStyle name="Normal 8 2 3 2 2 4 2 2 4" xfId="34446" xr:uid="{53AF1DA0-4275-4708-83EB-5659330FAFDC}"/>
    <cellStyle name="Normal 8 2 3 2 2 4 2 3" xfId="13348" xr:uid="{1853C162-E059-4F8A-8A91-C70F989FF71C}"/>
    <cellStyle name="Normal 8 2 3 2 2 4 2 4" xfId="21789" xr:uid="{3EE3D746-6124-4FF5-99B8-7D3E8E15ADF8}"/>
    <cellStyle name="Normal 8 2 3 2 2 4 2 5" xfId="30229" xr:uid="{249FE1FB-3B6B-4AE5-B2CC-531D1DD5269F}"/>
    <cellStyle name="Normal 8 2 3 2 2 4 3" xfId="6094" xr:uid="{00000000-0005-0000-0000-0000A11C0000}"/>
    <cellStyle name="Normal 8 2 3 2 2 4 3 2" xfId="15420" xr:uid="{D5586F9A-9B5C-4456-8EFF-BB3E74F8BA4A}"/>
    <cellStyle name="Normal 8 2 3 2 2 4 3 3" xfId="23861" xr:uid="{68CA3411-84B9-4DF8-9126-85202D9629AF}"/>
    <cellStyle name="Normal 8 2 3 2 2 4 3 4" xfId="32301" xr:uid="{A63A10F0-27A6-4655-80B8-36A79EFF3B6C}"/>
    <cellStyle name="Normal 8 2 3 2 2 4 4" xfId="11203" xr:uid="{4DCD587C-4903-4D70-A8AD-06CAE34B1F1F}"/>
    <cellStyle name="Normal 8 2 3 2 2 4 5" xfId="19644" xr:uid="{AB30D39E-B7C7-4F46-8A47-0D158D2F70AD}"/>
    <cellStyle name="Normal 8 2 3 2 2 4 6" xfId="28084" xr:uid="{14661751-BFFA-4FCC-8C71-1BC963FD7C86}"/>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01A9802E-8EE2-49C3-A104-D1C35C072B2E}"/>
    <cellStyle name="Normal 8 2 3 2 2 5 2 2 3" xfId="26419" xr:uid="{320EE8EF-4DDA-495D-A34A-A7988C2E850D}"/>
    <cellStyle name="Normal 8 2 3 2 2 5 2 2 4" xfId="34859" xr:uid="{B04D58EE-F678-4704-87B8-9B54A438039F}"/>
    <cellStyle name="Normal 8 2 3 2 2 5 2 3" xfId="13761" xr:uid="{84167D5B-1BB4-4403-8157-F015D9382460}"/>
    <cellStyle name="Normal 8 2 3 2 2 5 2 4" xfId="22202" xr:uid="{336FF8C5-0C16-4A93-8470-FAB16F153076}"/>
    <cellStyle name="Normal 8 2 3 2 2 5 2 5" xfId="30642" xr:uid="{44969F32-D574-439F-AF82-E4A7AE7BB35F}"/>
    <cellStyle name="Normal 8 2 3 2 2 5 3" xfId="6507" xr:uid="{00000000-0005-0000-0000-0000A51C0000}"/>
    <cellStyle name="Normal 8 2 3 2 2 5 3 2" xfId="15833" xr:uid="{87D6AC72-33DA-48C9-B334-7404CE52D311}"/>
    <cellStyle name="Normal 8 2 3 2 2 5 3 3" xfId="24274" xr:uid="{2E73CD83-0165-4DFC-BD27-9739B8500D21}"/>
    <cellStyle name="Normal 8 2 3 2 2 5 3 4" xfId="32714" xr:uid="{471734C8-F478-487D-8789-A095618D4921}"/>
    <cellStyle name="Normal 8 2 3 2 2 5 4" xfId="11616" xr:uid="{615685DA-74D7-44CA-80F6-81AE66D6D475}"/>
    <cellStyle name="Normal 8 2 3 2 2 5 5" xfId="20057" xr:uid="{CDC19582-7939-4E29-A350-0A50C59E818E}"/>
    <cellStyle name="Normal 8 2 3 2 2 5 6" xfId="28497" xr:uid="{31F14978-398D-4BBC-84BE-2C6118C47DE8}"/>
    <cellStyle name="Normal 8 2 3 2 2 6" xfId="2637" xr:uid="{00000000-0005-0000-0000-0000A61C0000}"/>
    <cellStyle name="Normal 8 2 3 2 2 6 2" xfId="6920" xr:uid="{00000000-0005-0000-0000-0000A71C0000}"/>
    <cellStyle name="Normal 8 2 3 2 2 6 2 2" xfId="16246" xr:uid="{47DD904F-D3E5-4BB1-A859-75A0BBAAEC4E}"/>
    <cellStyle name="Normal 8 2 3 2 2 6 2 3" xfId="24687" xr:uid="{3E36F760-6DE3-426B-A934-7FE45A2742F4}"/>
    <cellStyle name="Normal 8 2 3 2 2 6 2 4" xfId="33127" xr:uid="{6EC8C556-7A8B-41AF-A6C5-0D17FC17B86F}"/>
    <cellStyle name="Normal 8 2 3 2 2 6 3" xfId="12029" xr:uid="{B9DC0D9F-63E1-4FBD-8ED2-6020EB3E1BF2}"/>
    <cellStyle name="Normal 8 2 3 2 2 6 4" xfId="20470" xr:uid="{38F4E623-89C0-410A-A65F-7EE6F4F12125}"/>
    <cellStyle name="Normal 8 2 3 2 2 6 5" xfId="28910" xr:uid="{511D8CE1-2D22-41A5-AFBD-EF5B7BA95F1A}"/>
    <cellStyle name="Normal 8 2 3 2 2 7" xfId="4855" xr:uid="{00000000-0005-0000-0000-0000A81C0000}"/>
    <cellStyle name="Normal 8 2 3 2 2 7 2" xfId="14181" xr:uid="{17AA8601-6145-4D47-89B9-B8DAFAE62FE3}"/>
    <cellStyle name="Normal 8 2 3 2 2 7 3" xfId="22622" xr:uid="{E9514420-7C3D-4140-B913-7B33A4317591}"/>
    <cellStyle name="Normal 8 2 3 2 2 7 4" xfId="31062" xr:uid="{41B91775-2441-4B56-A457-310C3C7AEC42}"/>
    <cellStyle name="Normal 8 2 3 2 2 8" xfId="9145" xr:uid="{C71E6005-187D-4837-92B4-619AF06B3A3B}"/>
    <cellStyle name="Normal 8 2 3 2 2 9" xfId="9964" xr:uid="{FCF7D66B-4871-4F98-8CDE-3168271A1A48}"/>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03961E24-F5F3-43BF-A705-6AD474166F57}"/>
    <cellStyle name="Normal 8 2 3 2 3 2 2 3" xfId="25179" xr:uid="{3975B87C-A692-4ABE-AC29-57A87C241130}"/>
    <cellStyle name="Normal 8 2 3 2 3 2 2 4" xfId="33619" xr:uid="{A73F103C-17B1-4F65-9F95-1F6A0B101851}"/>
    <cellStyle name="Normal 8 2 3 2 3 2 3" xfId="12521" xr:uid="{CE79319B-2504-4E1A-942B-D15DE52F7075}"/>
    <cellStyle name="Normal 8 2 3 2 3 2 4" xfId="20962" xr:uid="{70E3726F-CB5B-43C6-842A-16EC7EAFAE44}"/>
    <cellStyle name="Normal 8 2 3 2 3 2 5" xfId="29402" xr:uid="{E2805089-6C1F-4563-B401-FF0857BE7129}"/>
    <cellStyle name="Normal 8 2 3 2 3 3" xfId="5267" xr:uid="{00000000-0005-0000-0000-0000AC1C0000}"/>
    <cellStyle name="Normal 8 2 3 2 3 3 2" xfId="14593" xr:uid="{89223DE2-5F54-4A4F-BD9C-4CD1A9DABAF0}"/>
    <cellStyle name="Normal 8 2 3 2 3 3 3" xfId="23034" xr:uid="{4DFA7279-D603-4C1D-A74E-9AA8E1349BE7}"/>
    <cellStyle name="Normal 8 2 3 2 3 3 4" xfId="31474" xr:uid="{A8BB8A0A-491A-4D46-BC23-ABEC60A82A46}"/>
    <cellStyle name="Normal 8 2 3 2 3 4" xfId="9363" xr:uid="{C94C6C98-A8BC-4AC9-B084-0D2219E89AA8}"/>
    <cellStyle name="Normal 8 2 3 2 3 5" xfId="10376" xr:uid="{0778CC13-C6C5-4859-A57F-476C63D3FB53}"/>
    <cellStyle name="Normal 8 2 3 2 3 6" xfId="18817" xr:uid="{5CB0C351-85B0-4614-8BCF-D734262FD6ED}"/>
    <cellStyle name="Normal 8 2 3 2 3 7" xfId="27257" xr:uid="{75422738-C98F-4EFB-BA47-B7E154E50EAD}"/>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631DFD43-78A0-47C0-B281-9CF594187458}"/>
    <cellStyle name="Normal 8 2 3 2 4 2 2 3" xfId="25592" xr:uid="{5DA6C861-DA34-496B-89D0-4132B7785A98}"/>
    <cellStyle name="Normal 8 2 3 2 4 2 2 4" xfId="34032" xr:uid="{1D2C6817-158E-424E-B49B-2D4E38DF84FC}"/>
    <cellStyle name="Normal 8 2 3 2 4 2 3" xfId="12934" xr:uid="{ADD48B4C-1644-42E7-BA0F-F824D5C6C135}"/>
    <cellStyle name="Normal 8 2 3 2 4 2 4" xfId="21375" xr:uid="{1BC66A1A-EC3A-47B5-8A8F-9AC735581EF4}"/>
    <cellStyle name="Normal 8 2 3 2 4 2 5" xfId="29815" xr:uid="{601AAB03-4F21-46FF-BA6D-A826103A394D}"/>
    <cellStyle name="Normal 8 2 3 2 4 3" xfId="5680" xr:uid="{00000000-0005-0000-0000-0000B01C0000}"/>
    <cellStyle name="Normal 8 2 3 2 4 3 2" xfId="15006" xr:uid="{4D100AA6-5B54-4A12-B746-267960C0EE5D}"/>
    <cellStyle name="Normal 8 2 3 2 4 3 3" xfId="23447" xr:uid="{0059655B-F90D-4F5B-BB80-B33950629936}"/>
    <cellStyle name="Normal 8 2 3 2 4 3 4" xfId="31887" xr:uid="{60A5008D-8954-436E-B645-FDD36F265A53}"/>
    <cellStyle name="Normal 8 2 3 2 4 4" xfId="10789" xr:uid="{A1761438-9EC7-4EE5-99A0-F6E0F38C5327}"/>
    <cellStyle name="Normal 8 2 3 2 4 5" xfId="19230" xr:uid="{B3878872-76CB-429F-B641-C3E12D821725}"/>
    <cellStyle name="Normal 8 2 3 2 4 6" xfId="27670" xr:uid="{FD68BF30-C8CE-4533-A6D1-796F6D679345}"/>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3683604B-8271-4F5A-9B22-F471625E3DD4}"/>
    <cellStyle name="Normal 8 2 3 2 5 2 2 3" xfId="26005" xr:uid="{BF020548-0DBB-4D4B-A307-1C178731D771}"/>
    <cellStyle name="Normal 8 2 3 2 5 2 2 4" xfId="34445" xr:uid="{BE849543-C55B-4977-A409-4F4591372CB9}"/>
    <cellStyle name="Normal 8 2 3 2 5 2 3" xfId="13347" xr:uid="{EEB061D0-6365-497D-8989-A642027EB23D}"/>
    <cellStyle name="Normal 8 2 3 2 5 2 4" xfId="21788" xr:uid="{4D586363-DA4C-40AB-9888-F2089065D9F5}"/>
    <cellStyle name="Normal 8 2 3 2 5 2 5" xfId="30228" xr:uid="{42F4D6B3-74E5-41B3-82B5-F606EF103976}"/>
    <cellStyle name="Normal 8 2 3 2 5 3" xfId="6093" xr:uid="{00000000-0005-0000-0000-0000B41C0000}"/>
    <cellStyle name="Normal 8 2 3 2 5 3 2" xfId="15419" xr:uid="{1A6819E6-4069-4B0E-94E4-D11C75C9B9DC}"/>
    <cellStyle name="Normal 8 2 3 2 5 3 3" xfId="23860" xr:uid="{9AC29A1F-D3F2-4E17-BE26-29F8B5145E40}"/>
    <cellStyle name="Normal 8 2 3 2 5 3 4" xfId="32300" xr:uid="{B375AD30-2F77-4ECC-8ED8-F2F31A246CB2}"/>
    <cellStyle name="Normal 8 2 3 2 5 4" xfId="11202" xr:uid="{3E00C1ED-B37B-4023-BDE3-C8AA7589211D}"/>
    <cellStyle name="Normal 8 2 3 2 5 5" xfId="19643" xr:uid="{81322105-5383-41EF-AC32-2F424F3116CE}"/>
    <cellStyle name="Normal 8 2 3 2 5 6" xfId="28083" xr:uid="{F204AC7F-31CA-4ADF-8C81-4E1E61CF0180}"/>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62EF5FF5-226A-432E-B037-AC17C3111E23}"/>
    <cellStyle name="Normal 8 2 3 2 6 2 2 3" xfId="26418" xr:uid="{E8E66917-04D3-4665-862A-A0160824D853}"/>
    <cellStyle name="Normal 8 2 3 2 6 2 2 4" xfId="34858" xr:uid="{FF40B4C7-188E-4AEA-B01E-F7138B77A4E5}"/>
    <cellStyle name="Normal 8 2 3 2 6 2 3" xfId="13760" xr:uid="{E9C8A653-99FB-4614-A9C7-1FCB3237B779}"/>
    <cellStyle name="Normal 8 2 3 2 6 2 4" xfId="22201" xr:uid="{13D520F1-C2CB-4D89-9427-7899AF76E12C}"/>
    <cellStyle name="Normal 8 2 3 2 6 2 5" xfId="30641" xr:uid="{ABC6BBBF-EBC5-42E2-AADD-BEABD8C9FD5A}"/>
    <cellStyle name="Normal 8 2 3 2 6 3" xfId="6506" xr:uid="{00000000-0005-0000-0000-0000B81C0000}"/>
    <cellStyle name="Normal 8 2 3 2 6 3 2" xfId="15832" xr:uid="{89106B50-5468-443D-8B45-3E242AEAC96E}"/>
    <cellStyle name="Normal 8 2 3 2 6 3 3" xfId="24273" xr:uid="{243F30D5-9EB4-4D8E-96FC-B3CDFCA6E0FD}"/>
    <cellStyle name="Normal 8 2 3 2 6 3 4" xfId="32713" xr:uid="{FD0D7651-7187-4AE9-B148-48133DD291CB}"/>
    <cellStyle name="Normal 8 2 3 2 6 4" xfId="11615" xr:uid="{C336F2CA-61C1-436D-9A81-11694D44E3A2}"/>
    <cellStyle name="Normal 8 2 3 2 6 5" xfId="20056" xr:uid="{5F506767-1C07-41A5-872E-064AF8BCF973}"/>
    <cellStyle name="Normal 8 2 3 2 6 6" xfId="28496" xr:uid="{94182832-E71A-4F16-AF19-7E1052D55E78}"/>
    <cellStyle name="Normal 8 2 3 2 7" xfId="2636" xr:uid="{00000000-0005-0000-0000-0000B91C0000}"/>
    <cellStyle name="Normal 8 2 3 2 7 2" xfId="6919" xr:uid="{00000000-0005-0000-0000-0000BA1C0000}"/>
    <cellStyle name="Normal 8 2 3 2 7 2 2" xfId="16245" xr:uid="{72140759-E47A-463C-B2A1-DFC34C06149A}"/>
    <cellStyle name="Normal 8 2 3 2 7 2 3" xfId="24686" xr:uid="{C5E27694-B9F9-4DF6-9DF1-88E7FC905673}"/>
    <cellStyle name="Normal 8 2 3 2 7 2 4" xfId="33126" xr:uid="{6BC643BE-AF6A-40D8-999A-2F71B5E18A49}"/>
    <cellStyle name="Normal 8 2 3 2 7 3" xfId="12028" xr:uid="{E6FA9C16-8B26-4E6E-BFFA-926F959C6129}"/>
    <cellStyle name="Normal 8 2 3 2 7 4" xfId="20469" xr:uid="{FBA73FAB-7CCB-43D9-A5DA-AE57E1B086A6}"/>
    <cellStyle name="Normal 8 2 3 2 7 5" xfId="28909" xr:uid="{DA0B7EC1-368A-4735-8849-17EFFCB2DAE0}"/>
    <cellStyle name="Normal 8 2 3 2 8" xfId="4854" xr:uid="{00000000-0005-0000-0000-0000BB1C0000}"/>
    <cellStyle name="Normal 8 2 3 2 8 2" xfId="14180" xr:uid="{A242DDC1-5836-4C0B-BDB7-B87AF54AB42E}"/>
    <cellStyle name="Normal 8 2 3 2 8 3" xfId="22621" xr:uid="{E00E1BBE-1178-4643-A470-4D2EB37A0BAD}"/>
    <cellStyle name="Normal 8 2 3 2 8 4" xfId="31061" xr:uid="{80D69DE9-D445-477D-A005-D9A42378CD10}"/>
    <cellStyle name="Normal 8 2 3 2 9" xfId="8938" xr:uid="{1EAF77CE-4DC3-40DC-AA9D-31320D478EE9}"/>
    <cellStyle name="Normal 8 2 3 3" xfId="491" xr:uid="{00000000-0005-0000-0000-0000BC1C0000}"/>
    <cellStyle name="Normal 8 2 3 3 10" xfId="18406" xr:uid="{DF3BFAD6-55FD-477B-86C7-E0D7FE90E938}"/>
    <cellStyle name="Normal 8 2 3 3 11" xfId="26846" xr:uid="{4814C315-7471-4829-9601-BB0EEABB0B9E}"/>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3DB4AA3E-18C0-46B6-B762-EE06E6D02496}"/>
    <cellStyle name="Normal 8 2 3 3 2 2 2 3" xfId="25181" xr:uid="{F1181660-AB29-419A-AD80-F646FE02595C}"/>
    <cellStyle name="Normal 8 2 3 3 2 2 2 4" xfId="33621" xr:uid="{8B3FA2D7-867A-48BA-958C-23A25A4E0FB6}"/>
    <cellStyle name="Normal 8 2 3 3 2 2 3" xfId="12523" xr:uid="{F757AEC7-D7F4-4974-9E21-2C72C8B93B5F}"/>
    <cellStyle name="Normal 8 2 3 3 2 2 4" xfId="20964" xr:uid="{763CDE16-A087-40D1-A86B-2344835888FE}"/>
    <cellStyle name="Normal 8 2 3 3 2 2 5" xfId="29404" xr:uid="{5D7AFD1A-5FF8-4585-BD84-0DFA44F0EB9E}"/>
    <cellStyle name="Normal 8 2 3 3 2 3" xfId="5269" xr:uid="{00000000-0005-0000-0000-0000C01C0000}"/>
    <cellStyle name="Normal 8 2 3 3 2 3 2" xfId="14595" xr:uid="{6EFF5E48-8CF3-4EC7-AEB5-EABE8B59AA7C}"/>
    <cellStyle name="Normal 8 2 3 3 2 3 3" xfId="23036" xr:uid="{42DC6365-93F2-42CE-9DC7-1615231EF813}"/>
    <cellStyle name="Normal 8 2 3 3 2 3 4" xfId="31476" xr:uid="{DD3B053D-CEA8-4624-BAC5-5BE867DD53D0}"/>
    <cellStyle name="Normal 8 2 3 3 2 4" xfId="9467" xr:uid="{C16001D7-8508-4511-808F-E990F8EA0FE3}"/>
    <cellStyle name="Normal 8 2 3 3 2 5" xfId="10378" xr:uid="{4F84748C-60AD-4436-9954-6A4583D585AE}"/>
    <cellStyle name="Normal 8 2 3 3 2 6" xfId="18819" xr:uid="{0A7D3165-E157-4F56-A845-B65245D9449D}"/>
    <cellStyle name="Normal 8 2 3 3 2 7" xfId="27259" xr:uid="{463F460D-C8BB-4B2F-8EF8-BD0458A841E2}"/>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8C3DCDBA-C27C-40B2-8A95-EC645108920C}"/>
    <cellStyle name="Normal 8 2 3 3 3 2 2 3" xfId="25594" xr:uid="{18184B3A-3D25-4216-A8A7-1CDEC058B6F3}"/>
    <cellStyle name="Normal 8 2 3 3 3 2 2 4" xfId="34034" xr:uid="{901CD17B-7495-44CD-9884-79BD44947A0F}"/>
    <cellStyle name="Normal 8 2 3 3 3 2 3" xfId="12936" xr:uid="{226AC0FE-1778-4AED-9576-ED5C55675204}"/>
    <cellStyle name="Normal 8 2 3 3 3 2 4" xfId="21377" xr:uid="{3940C1E3-C94C-4C4B-BDD3-3B6814A1B537}"/>
    <cellStyle name="Normal 8 2 3 3 3 2 5" xfId="29817" xr:uid="{74BE3FC6-917A-42CA-9FE4-BB2D4A03FB72}"/>
    <cellStyle name="Normal 8 2 3 3 3 3" xfId="5682" xr:uid="{00000000-0005-0000-0000-0000C41C0000}"/>
    <cellStyle name="Normal 8 2 3 3 3 3 2" xfId="15008" xr:uid="{7D62D180-0128-4D9A-B7DB-B023B4ED23CB}"/>
    <cellStyle name="Normal 8 2 3 3 3 3 3" xfId="23449" xr:uid="{9526A0D3-EADB-4030-BD13-34EF2878CE3D}"/>
    <cellStyle name="Normal 8 2 3 3 3 3 4" xfId="31889" xr:uid="{208D7E44-FFE9-4D16-A713-CB7FC3FC49D9}"/>
    <cellStyle name="Normal 8 2 3 3 3 4" xfId="10791" xr:uid="{052EB041-D322-4B4C-BB89-5733753FA8E2}"/>
    <cellStyle name="Normal 8 2 3 3 3 5" xfId="19232" xr:uid="{0A6C10D1-3B0D-4DAF-B631-34CA9E60D0E0}"/>
    <cellStyle name="Normal 8 2 3 3 3 6" xfId="27672" xr:uid="{04752652-E132-4632-9179-91A5FBD3C979}"/>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F3EAEFAE-0FC3-45BF-B27D-1ED9835D2360}"/>
    <cellStyle name="Normal 8 2 3 3 4 2 2 3" xfId="26007" xr:uid="{7FDD3461-D3B3-4747-9A2F-C2768F00E3F5}"/>
    <cellStyle name="Normal 8 2 3 3 4 2 2 4" xfId="34447" xr:uid="{961D3A13-723D-4FD6-AB92-68DE24C4AC0E}"/>
    <cellStyle name="Normal 8 2 3 3 4 2 3" xfId="13349" xr:uid="{17985FAA-A9EB-418A-B853-A15099D8C511}"/>
    <cellStyle name="Normal 8 2 3 3 4 2 4" xfId="21790" xr:uid="{5DCC8129-2627-4C17-9809-138EF2781A88}"/>
    <cellStyle name="Normal 8 2 3 3 4 2 5" xfId="30230" xr:uid="{D38BBA1A-55CE-42D6-A981-343AE84B6DE4}"/>
    <cellStyle name="Normal 8 2 3 3 4 3" xfId="6095" xr:uid="{00000000-0005-0000-0000-0000C81C0000}"/>
    <cellStyle name="Normal 8 2 3 3 4 3 2" xfId="15421" xr:uid="{4DFD36F8-00A9-47D8-BB23-E2EE9F1C3A2A}"/>
    <cellStyle name="Normal 8 2 3 3 4 3 3" xfId="23862" xr:uid="{C1CA8B71-D7E7-42C1-BE36-6EF33919CEFA}"/>
    <cellStyle name="Normal 8 2 3 3 4 3 4" xfId="32302" xr:uid="{3FA3EB60-F516-4309-9B8D-64EE39A552EF}"/>
    <cellStyle name="Normal 8 2 3 3 4 4" xfId="11204" xr:uid="{7C6683F4-AD91-473C-A941-681DFC9666F8}"/>
    <cellStyle name="Normal 8 2 3 3 4 5" xfId="19645" xr:uid="{280EADE2-00C1-4839-A001-D68155098BC9}"/>
    <cellStyle name="Normal 8 2 3 3 4 6" xfId="28085" xr:uid="{BD01D034-C15C-4992-9D0C-ABF4D6950EC4}"/>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07B1446F-DBDA-4EC0-81B5-2B00EBA2C61B}"/>
    <cellStyle name="Normal 8 2 3 3 5 2 2 3" xfId="26420" xr:uid="{6AA7E27A-80F4-4AA4-9259-B389FB2C3059}"/>
    <cellStyle name="Normal 8 2 3 3 5 2 2 4" xfId="34860" xr:uid="{FC8D5A79-AE00-4276-8E16-CDC68C7B6FB6}"/>
    <cellStyle name="Normal 8 2 3 3 5 2 3" xfId="13762" xr:uid="{AC702432-2652-476E-89F3-2B3A3E54595C}"/>
    <cellStyle name="Normal 8 2 3 3 5 2 4" xfId="22203" xr:uid="{26903D1D-701C-4895-BEF6-1A1EBAAA67DB}"/>
    <cellStyle name="Normal 8 2 3 3 5 2 5" xfId="30643" xr:uid="{3A5192BC-30FD-4746-A078-5394C5CDE2F9}"/>
    <cellStyle name="Normal 8 2 3 3 5 3" xfId="6508" xr:uid="{00000000-0005-0000-0000-0000CC1C0000}"/>
    <cellStyle name="Normal 8 2 3 3 5 3 2" xfId="15834" xr:uid="{4DEA1F5D-2E2A-4456-ACE0-ACB5C4C4BF8C}"/>
    <cellStyle name="Normal 8 2 3 3 5 3 3" xfId="24275" xr:uid="{FEE510FB-F99A-429B-8DEB-FA0692002210}"/>
    <cellStyle name="Normal 8 2 3 3 5 3 4" xfId="32715" xr:uid="{0C35C0FF-3EBA-4C8A-9C52-4C01F6035AD9}"/>
    <cellStyle name="Normal 8 2 3 3 5 4" xfId="11617" xr:uid="{C6014229-986C-4A8D-92D3-5B3B70E3D0C3}"/>
    <cellStyle name="Normal 8 2 3 3 5 5" xfId="20058" xr:uid="{B506E6D4-72FB-4622-9190-B95D87A6AB44}"/>
    <cellStyle name="Normal 8 2 3 3 5 6" xfId="28498" xr:uid="{D23EADC5-7C08-4D51-9950-5D2F6C23094B}"/>
    <cellStyle name="Normal 8 2 3 3 6" xfId="2638" xr:uid="{00000000-0005-0000-0000-0000CD1C0000}"/>
    <cellStyle name="Normal 8 2 3 3 6 2" xfId="6921" xr:uid="{00000000-0005-0000-0000-0000CE1C0000}"/>
    <cellStyle name="Normal 8 2 3 3 6 2 2" xfId="16247" xr:uid="{4881F9F0-5292-439C-8729-505E2546324D}"/>
    <cellStyle name="Normal 8 2 3 3 6 2 3" xfId="24688" xr:uid="{E712D4B2-D753-4E92-9654-55ED53A4C568}"/>
    <cellStyle name="Normal 8 2 3 3 6 2 4" xfId="33128" xr:uid="{75003C7A-E7CB-4DB6-B45F-DFBF34888101}"/>
    <cellStyle name="Normal 8 2 3 3 6 3" xfId="12030" xr:uid="{ABE790E3-8B2F-49A0-A044-E4FF76509CF2}"/>
    <cellStyle name="Normal 8 2 3 3 6 4" xfId="20471" xr:uid="{D82A4D29-2C73-4A28-B2A2-A1ADDDB3AF4C}"/>
    <cellStyle name="Normal 8 2 3 3 6 5" xfId="28911" xr:uid="{6646C8A7-0452-45A5-85FB-9D60D675911B}"/>
    <cellStyle name="Normal 8 2 3 3 7" xfId="4856" xr:uid="{00000000-0005-0000-0000-0000CF1C0000}"/>
    <cellStyle name="Normal 8 2 3 3 7 2" xfId="14182" xr:uid="{A0AAE3CE-3EBB-435E-A0EE-82CC6C980C48}"/>
    <cellStyle name="Normal 8 2 3 3 7 3" xfId="22623" xr:uid="{4453F8C6-6231-406D-A211-63495F07242C}"/>
    <cellStyle name="Normal 8 2 3 3 7 4" xfId="31063" xr:uid="{669DE261-074F-4A5A-970B-CED6FBCBB5E7}"/>
    <cellStyle name="Normal 8 2 3 3 8" xfId="9042" xr:uid="{D820ED39-BAB1-48C1-A68D-2017E247E432}"/>
    <cellStyle name="Normal 8 2 3 3 9" xfId="9965" xr:uid="{37658602-AA68-446F-A894-87F5B9CC2191}"/>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6B34516A-8EDC-4021-9A92-C5829DAB5BC7}"/>
    <cellStyle name="Normal 8 2 3 4 2 2 3" xfId="25178" xr:uid="{968CBC9E-27E3-46F5-882C-FC6EFFC3FFBD}"/>
    <cellStyle name="Normal 8 2 3 4 2 2 4" xfId="33618" xr:uid="{B84D93EE-6DC2-4474-85E4-12D346A1B2FD}"/>
    <cellStyle name="Normal 8 2 3 4 2 3" xfId="12520" xr:uid="{51774178-E866-4526-8CD3-D8D8942D2D0A}"/>
    <cellStyle name="Normal 8 2 3 4 2 4" xfId="20961" xr:uid="{A114ED09-D5AF-493A-8AD2-77AA8A6CEA27}"/>
    <cellStyle name="Normal 8 2 3 4 2 5" xfId="29401" xr:uid="{20FE010F-B4D5-44EA-B121-09A934EFA73D}"/>
    <cellStyle name="Normal 8 2 3 4 3" xfId="5266" xr:uid="{00000000-0005-0000-0000-0000D31C0000}"/>
    <cellStyle name="Normal 8 2 3 4 3 2" xfId="14592" xr:uid="{C88B6F22-77D4-4496-9FC5-240C9728B7E7}"/>
    <cellStyle name="Normal 8 2 3 4 3 3" xfId="23033" xr:uid="{40909231-9690-4600-A656-752BBB425FEE}"/>
    <cellStyle name="Normal 8 2 3 4 3 4" xfId="31473" xr:uid="{323D4793-7C4D-41F3-B6F7-44A87DC23279}"/>
    <cellStyle name="Normal 8 2 3 4 4" xfId="9260" xr:uid="{70FF5A16-C89A-42B7-A603-E23A7C2F443C}"/>
    <cellStyle name="Normal 8 2 3 4 5" xfId="10375" xr:uid="{93F98C7F-2888-4C00-978A-2371FE17A1A6}"/>
    <cellStyle name="Normal 8 2 3 4 6" xfId="18816" xr:uid="{BB7E2F88-F5BE-4953-8EE0-EF6757CFA956}"/>
    <cellStyle name="Normal 8 2 3 4 7" xfId="27256" xr:uid="{C0E06FDF-9730-4C0C-82F8-38739606249F}"/>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990F491C-6D09-4584-845E-82A4E6541393}"/>
    <cellStyle name="Normal 8 2 3 5 2 2 3" xfId="25591" xr:uid="{BE22F051-6943-440E-A97A-B7170EECEF42}"/>
    <cellStyle name="Normal 8 2 3 5 2 2 4" xfId="34031" xr:uid="{BE5751B4-8DF1-407E-8ED2-2ADB1600C2F7}"/>
    <cellStyle name="Normal 8 2 3 5 2 3" xfId="12933" xr:uid="{CC1B794A-1037-42D0-A3A4-C278BEDDC9A5}"/>
    <cellStyle name="Normal 8 2 3 5 2 4" xfId="21374" xr:uid="{A5665E44-45C8-44F8-91FA-483DE2CCD9F0}"/>
    <cellStyle name="Normal 8 2 3 5 2 5" xfId="29814" xr:uid="{04BD3655-831C-462E-9A14-CE12C3049127}"/>
    <cellStyle name="Normal 8 2 3 5 3" xfId="5679" xr:uid="{00000000-0005-0000-0000-0000D71C0000}"/>
    <cellStyle name="Normal 8 2 3 5 3 2" xfId="15005" xr:uid="{76B4B063-3BE5-4008-8F25-0C0B20CEEDC3}"/>
    <cellStyle name="Normal 8 2 3 5 3 3" xfId="23446" xr:uid="{DB6FDE71-4BEC-467D-9130-8DF02623AFC9}"/>
    <cellStyle name="Normal 8 2 3 5 3 4" xfId="31886" xr:uid="{BDD3C4E4-DE70-43AC-9E90-340A90B4F0DA}"/>
    <cellStyle name="Normal 8 2 3 5 4" xfId="10788" xr:uid="{9EB9256A-CCA9-47ED-96A9-99E6113B4F32}"/>
    <cellStyle name="Normal 8 2 3 5 5" xfId="19229" xr:uid="{872287BC-5DC7-407A-BCDC-B2BCD502DF18}"/>
    <cellStyle name="Normal 8 2 3 5 6" xfId="27669" xr:uid="{8BE765C6-AB5A-4031-A101-82BDC8A8AB6F}"/>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61B478C6-4E35-404F-88FC-E647CB327E66}"/>
    <cellStyle name="Normal 8 2 3 6 2 2 3" xfId="26004" xr:uid="{53564240-D5FC-445C-95E7-275771570422}"/>
    <cellStyle name="Normal 8 2 3 6 2 2 4" xfId="34444" xr:uid="{227488BB-865F-4B27-B2F2-B2C207650815}"/>
    <cellStyle name="Normal 8 2 3 6 2 3" xfId="13346" xr:uid="{1EC40D47-4DDC-42CC-A967-C19AC2990507}"/>
    <cellStyle name="Normal 8 2 3 6 2 4" xfId="21787" xr:uid="{6BA14D02-C965-48D8-B53C-B058A630C6EF}"/>
    <cellStyle name="Normal 8 2 3 6 2 5" xfId="30227" xr:uid="{6FCE2DF0-E213-4964-8B27-B99951DC5385}"/>
    <cellStyle name="Normal 8 2 3 6 3" xfId="6092" xr:uid="{00000000-0005-0000-0000-0000DB1C0000}"/>
    <cellStyle name="Normal 8 2 3 6 3 2" xfId="15418" xr:uid="{AB112D01-22B9-41E1-BA26-548C4843C3B8}"/>
    <cellStyle name="Normal 8 2 3 6 3 3" xfId="23859" xr:uid="{ED56A3B4-37DC-4EA7-8347-B8CC7E3FC924}"/>
    <cellStyle name="Normal 8 2 3 6 3 4" xfId="32299" xr:uid="{53668637-F564-424B-B749-996FE146834B}"/>
    <cellStyle name="Normal 8 2 3 6 4" xfId="11201" xr:uid="{EA8BAD5D-8628-4512-BE46-78BC640E36B3}"/>
    <cellStyle name="Normal 8 2 3 6 5" xfId="19642" xr:uid="{ACF255E6-0A0B-41A1-97E3-DEFF80CAA934}"/>
    <cellStyle name="Normal 8 2 3 6 6" xfId="28082" xr:uid="{37DC8BB1-EEE2-4654-B0AA-50A26B8DBD25}"/>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88FCA4F1-EA62-4D1F-823D-D31472544BAF}"/>
    <cellStyle name="Normal 8 2 3 7 2 2 3" xfId="26417" xr:uid="{2069E927-3FBA-4C2E-AF1E-285D69E22996}"/>
    <cellStyle name="Normal 8 2 3 7 2 2 4" xfId="34857" xr:uid="{BE7F160E-53F7-46E6-B396-A76599257365}"/>
    <cellStyle name="Normal 8 2 3 7 2 3" xfId="13759" xr:uid="{14409C27-5050-4EAE-A79B-3CA1E721DEB3}"/>
    <cellStyle name="Normal 8 2 3 7 2 4" xfId="22200" xr:uid="{2292F5A2-E75F-4CAB-91EF-A867C4B4BAF5}"/>
    <cellStyle name="Normal 8 2 3 7 2 5" xfId="30640" xr:uid="{EE97C6B2-97E4-40F9-B45B-669B43A52BA5}"/>
    <cellStyle name="Normal 8 2 3 7 3" xfId="6505" xr:uid="{00000000-0005-0000-0000-0000DF1C0000}"/>
    <cellStyle name="Normal 8 2 3 7 3 2" xfId="15831" xr:uid="{9E673025-7779-4764-91AB-8016EF0843DE}"/>
    <cellStyle name="Normal 8 2 3 7 3 3" xfId="24272" xr:uid="{DA54A8D1-2723-43FC-81AE-4184EEA9E84B}"/>
    <cellStyle name="Normal 8 2 3 7 3 4" xfId="32712" xr:uid="{E973FB64-3A4A-4CD2-BB2A-7A42ED8D5FD0}"/>
    <cellStyle name="Normal 8 2 3 7 4" xfId="11614" xr:uid="{22B55D39-671B-4558-A514-BAF40CE4EC44}"/>
    <cellStyle name="Normal 8 2 3 7 5" xfId="20055" xr:uid="{2B787CDD-6AA9-443C-82C5-E6B1564E55AF}"/>
    <cellStyle name="Normal 8 2 3 7 6" xfId="28495" xr:uid="{17A17ACD-3666-44B3-99B9-A795C7E02034}"/>
    <cellStyle name="Normal 8 2 3 8" xfId="2635" xr:uid="{00000000-0005-0000-0000-0000E01C0000}"/>
    <cellStyle name="Normal 8 2 3 8 2" xfId="6918" xr:uid="{00000000-0005-0000-0000-0000E11C0000}"/>
    <cellStyle name="Normal 8 2 3 8 2 2" xfId="16244" xr:uid="{6598D05E-CBBD-4EE1-9B62-32BB94A5F580}"/>
    <cellStyle name="Normal 8 2 3 8 2 3" xfId="24685" xr:uid="{6EF4C0F3-F9D3-4D26-A8D4-CAF9A5622596}"/>
    <cellStyle name="Normal 8 2 3 8 2 4" xfId="33125" xr:uid="{30BFA261-CA50-4FAC-9F3C-87340751F72E}"/>
    <cellStyle name="Normal 8 2 3 8 3" xfId="12027" xr:uid="{DCA86647-2425-47B5-9BF5-3DB143D045B7}"/>
    <cellStyle name="Normal 8 2 3 8 4" xfId="20468" xr:uid="{DCDA8AFC-3885-4C30-96FC-AC5D00655187}"/>
    <cellStyle name="Normal 8 2 3 8 5" xfId="28908" xr:uid="{48F697AC-DA67-44C2-90DD-96823BCAAE96}"/>
    <cellStyle name="Normal 8 2 3 9" xfId="4853" xr:uid="{00000000-0005-0000-0000-0000E21C0000}"/>
    <cellStyle name="Normal 8 2 3 9 2" xfId="14179" xr:uid="{EE7F8CB6-3493-4C5B-86A7-34CC58118F81}"/>
    <cellStyle name="Normal 8 2 3 9 3" xfId="22620" xr:uid="{E13D01CE-6D27-409F-A188-DBCD24DBAB15}"/>
    <cellStyle name="Normal 8 2 3 9 4" xfId="31060" xr:uid="{399303A1-6990-4A91-93B7-F57127C4C520}"/>
    <cellStyle name="Normal 8 2 4" xfId="492" xr:uid="{00000000-0005-0000-0000-0000E31C0000}"/>
    <cellStyle name="Normal 8 2 4 10" xfId="9966" xr:uid="{EE484B1F-594E-4D73-AD8E-371F068491F8}"/>
    <cellStyle name="Normal 8 2 4 11" xfId="18407" xr:uid="{88523A19-62C6-49A7-A926-A76B848196C1}"/>
    <cellStyle name="Normal 8 2 4 12" xfId="26847" xr:uid="{DA7B7B8C-7F22-4916-B098-EDC6ED7A5F26}"/>
    <cellStyle name="Normal 8 2 4 2" xfId="493" xr:uid="{00000000-0005-0000-0000-0000E41C0000}"/>
    <cellStyle name="Normal 8 2 4 2 10" xfId="18408" xr:uid="{FBEE1602-E4BD-431F-AE8F-F7F1EBCE1C64}"/>
    <cellStyle name="Normal 8 2 4 2 11" xfId="26848" xr:uid="{6F33A8E2-BE47-49BD-919F-CC0DFE215D7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CBDE5D6B-9802-4A53-B6CE-DD6CE9668461}"/>
    <cellStyle name="Normal 8 2 4 2 2 2 2 3" xfId="25183" xr:uid="{A7B293A5-DCF7-4967-AA81-62E74FDE6F53}"/>
    <cellStyle name="Normal 8 2 4 2 2 2 2 4" xfId="33623" xr:uid="{7185841B-2999-405A-B946-34E1AF8A2ED4}"/>
    <cellStyle name="Normal 8 2 4 2 2 2 3" xfId="12525" xr:uid="{2BC7ACC5-4491-449D-96C6-313696FC3DB0}"/>
    <cellStyle name="Normal 8 2 4 2 2 2 4" xfId="20966" xr:uid="{634A6893-3BB4-46DB-BEF0-2C1456183DAE}"/>
    <cellStyle name="Normal 8 2 4 2 2 2 5" xfId="29406" xr:uid="{0D2FB0AF-8D9F-43D8-B23F-027B5A229734}"/>
    <cellStyle name="Normal 8 2 4 2 2 3" xfId="5271" xr:uid="{00000000-0005-0000-0000-0000E81C0000}"/>
    <cellStyle name="Normal 8 2 4 2 2 3 2" xfId="14597" xr:uid="{C14E57B0-9C05-417D-896A-7359FFA78C38}"/>
    <cellStyle name="Normal 8 2 4 2 2 3 3" xfId="23038" xr:uid="{FC986AE8-B7B5-4855-A14B-47F06D24E814}"/>
    <cellStyle name="Normal 8 2 4 2 2 3 4" xfId="31478" xr:uid="{7BB805D9-4E47-45C4-B1B1-50DA04B56CC6}"/>
    <cellStyle name="Normal 8 2 4 2 2 4" xfId="9486" xr:uid="{9F6EBE4C-F02F-43A6-A388-D5EACB1B3099}"/>
    <cellStyle name="Normal 8 2 4 2 2 5" xfId="10380" xr:uid="{5DD8C736-E895-4D3D-AEF2-823983018F8F}"/>
    <cellStyle name="Normal 8 2 4 2 2 6" xfId="18821" xr:uid="{8541D18B-73B7-49AB-B11B-8E93C8EAC7B3}"/>
    <cellStyle name="Normal 8 2 4 2 2 7" xfId="27261" xr:uid="{491B9EA2-1AEE-4314-9838-852CE6AEA77F}"/>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13815C9C-CFC5-47AC-ACAE-7F9F41FF0160}"/>
    <cellStyle name="Normal 8 2 4 2 3 2 2 3" xfId="25596" xr:uid="{135BDF92-A319-4FC5-B264-A2B681806267}"/>
    <cellStyle name="Normal 8 2 4 2 3 2 2 4" xfId="34036" xr:uid="{5D3C341D-C8BF-4F58-8C01-A870878782CE}"/>
    <cellStyle name="Normal 8 2 4 2 3 2 3" xfId="12938" xr:uid="{A61D9CC0-4489-4A3D-9720-72FADB1F89F6}"/>
    <cellStyle name="Normal 8 2 4 2 3 2 4" xfId="21379" xr:uid="{39B970AE-A7B7-4E48-9FC6-C99559EA2DB4}"/>
    <cellStyle name="Normal 8 2 4 2 3 2 5" xfId="29819" xr:uid="{295702C1-61F4-433A-8815-EF685B871219}"/>
    <cellStyle name="Normal 8 2 4 2 3 3" xfId="5684" xr:uid="{00000000-0005-0000-0000-0000EC1C0000}"/>
    <cellStyle name="Normal 8 2 4 2 3 3 2" xfId="15010" xr:uid="{262B15D8-3A6E-4201-934C-7D6DB70EB0CD}"/>
    <cellStyle name="Normal 8 2 4 2 3 3 3" xfId="23451" xr:uid="{464B816F-94FD-45B2-9187-17DEF2EC91FE}"/>
    <cellStyle name="Normal 8 2 4 2 3 3 4" xfId="31891" xr:uid="{6EE81D30-2B0B-48EE-9BB9-06938E42BEEB}"/>
    <cellStyle name="Normal 8 2 4 2 3 4" xfId="10793" xr:uid="{C44FFF22-9D80-4DEA-B8EC-96A9D2C3E91A}"/>
    <cellStyle name="Normal 8 2 4 2 3 5" xfId="19234" xr:uid="{0B2D88DE-BE50-4617-B91A-C5CF039836F2}"/>
    <cellStyle name="Normal 8 2 4 2 3 6" xfId="27674" xr:uid="{78818856-22D7-4771-BB90-DF57B81D0C07}"/>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F94D932F-A1E5-474F-BEBB-9B77B1EBBB4D}"/>
    <cellStyle name="Normal 8 2 4 2 4 2 2 3" xfId="26009" xr:uid="{733F9AA1-1190-4A86-A96D-8675310F6A32}"/>
    <cellStyle name="Normal 8 2 4 2 4 2 2 4" xfId="34449" xr:uid="{FFCF0EA6-F495-4863-A282-1131C7ECC740}"/>
    <cellStyle name="Normal 8 2 4 2 4 2 3" xfId="13351" xr:uid="{BAECAB99-AEF7-451C-AF90-C4C438C5F78F}"/>
    <cellStyle name="Normal 8 2 4 2 4 2 4" xfId="21792" xr:uid="{9CC3D421-F3DD-4446-9146-655E3C84D0F0}"/>
    <cellStyle name="Normal 8 2 4 2 4 2 5" xfId="30232" xr:uid="{72E56CD3-533A-4F95-B0FC-18ECD8E829EB}"/>
    <cellStyle name="Normal 8 2 4 2 4 3" xfId="6097" xr:uid="{00000000-0005-0000-0000-0000F01C0000}"/>
    <cellStyle name="Normal 8 2 4 2 4 3 2" xfId="15423" xr:uid="{BDEC0ECF-F875-4248-8033-65D80951B5C6}"/>
    <cellStyle name="Normal 8 2 4 2 4 3 3" xfId="23864" xr:uid="{BE416AD6-5F08-469B-8A2E-1FA33F1D9EA7}"/>
    <cellStyle name="Normal 8 2 4 2 4 3 4" xfId="32304" xr:uid="{84CAB3A0-ADC9-4F65-99C7-6FD6F5816744}"/>
    <cellStyle name="Normal 8 2 4 2 4 4" xfId="11206" xr:uid="{4603E5B0-713B-4A65-B3E3-0DCAB9C34D86}"/>
    <cellStyle name="Normal 8 2 4 2 4 5" xfId="19647" xr:uid="{733EB8C9-37CE-49FF-816D-9C41B9BADC45}"/>
    <cellStyle name="Normal 8 2 4 2 4 6" xfId="28087" xr:uid="{7CD933C9-94FF-4329-9AE3-69B4682C16E6}"/>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D6DE634A-198E-44A5-A250-9148C0514E16}"/>
    <cellStyle name="Normal 8 2 4 2 5 2 2 3" xfId="26422" xr:uid="{91B62593-1BEF-4817-85F6-5230C6CD6202}"/>
    <cellStyle name="Normal 8 2 4 2 5 2 2 4" xfId="34862" xr:uid="{051E7C99-E3DA-4967-AD52-38B72B0F83E9}"/>
    <cellStyle name="Normal 8 2 4 2 5 2 3" xfId="13764" xr:uid="{4AB49EF2-6442-470E-94DE-76B650A6CE5B}"/>
    <cellStyle name="Normal 8 2 4 2 5 2 4" xfId="22205" xr:uid="{6D056F64-358A-4313-9127-F4AA353E4135}"/>
    <cellStyle name="Normal 8 2 4 2 5 2 5" xfId="30645" xr:uid="{E53F399A-D52C-4973-A5A0-553A34AE0A67}"/>
    <cellStyle name="Normal 8 2 4 2 5 3" xfId="6510" xr:uid="{00000000-0005-0000-0000-0000F41C0000}"/>
    <cellStyle name="Normal 8 2 4 2 5 3 2" xfId="15836" xr:uid="{EA9426A8-8A2F-405B-A732-065960759023}"/>
    <cellStyle name="Normal 8 2 4 2 5 3 3" xfId="24277" xr:uid="{7EC5DB94-7816-40CD-A87D-EB4DBFCB4D39}"/>
    <cellStyle name="Normal 8 2 4 2 5 3 4" xfId="32717" xr:uid="{62A8762F-2604-4150-BBCE-CE4856DC4CC4}"/>
    <cellStyle name="Normal 8 2 4 2 5 4" xfId="11619" xr:uid="{31C5A034-EB22-49B4-A785-FC787F5B0E2E}"/>
    <cellStyle name="Normal 8 2 4 2 5 5" xfId="20060" xr:uid="{981B0CA9-5809-41EE-A9E9-4C3AE9C6D501}"/>
    <cellStyle name="Normal 8 2 4 2 5 6" xfId="28500" xr:uid="{13DF8436-235E-4D89-A10A-0E57881324E3}"/>
    <cellStyle name="Normal 8 2 4 2 6" xfId="2640" xr:uid="{00000000-0005-0000-0000-0000F51C0000}"/>
    <cellStyle name="Normal 8 2 4 2 6 2" xfId="6923" xr:uid="{00000000-0005-0000-0000-0000F61C0000}"/>
    <cellStyle name="Normal 8 2 4 2 6 2 2" xfId="16249" xr:uid="{D64B6DF2-9DFA-40B8-BAF3-282009689E60}"/>
    <cellStyle name="Normal 8 2 4 2 6 2 3" xfId="24690" xr:uid="{A489F178-017A-486B-B6A8-2A6D488C0810}"/>
    <cellStyle name="Normal 8 2 4 2 6 2 4" xfId="33130" xr:uid="{00E7A166-771B-4178-BC75-12AAB6C320C3}"/>
    <cellStyle name="Normal 8 2 4 2 6 3" xfId="12032" xr:uid="{FE15D473-DA20-4360-A0B1-793AC8A759A6}"/>
    <cellStyle name="Normal 8 2 4 2 6 4" xfId="20473" xr:uid="{DFCDD0F5-1675-422F-BC15-DD5908FC0D34}"/>
    <cellStyle name="Normal 8 2 4 2 6 5" xfId="28913" xr:uid="{9045BC72-F5D9-4915-986B-916E7DEC3A89}"/>
    <cellStyle name="Normal 8 2 4 2 7" xfId="4858" xr:uid="{00000000-0005-0000-0000-0000F71C0000}"/>
    <cellStyle name="Normal 8 2 4 2 7 2" xfId="14184" xr:uid="{D9E09B44-9F48-40CF-8FB3-B274677E1A37}"/>
    <cellStyle name="Normal 8 2 4 2 7 3" xfId="22625" xr:uid="{C85FFC1F-FE1C-48A0-A15B-DC99F4994BD4}"/>
    <cellStyle name="Normal 8 2 4 2 7 4" xfId="31065" xr:uid="{6A0C8EF5-2163-48BB-B46A-655537E1D0F2}"/>
    <cellStyle name="Normal 8 2 4 2 8" xfId="9061" xr:uid="{7295DB82-9441-436C-AA3E-91B68F6E59B3}"/>
    <cellStyle name="Normal 8 2 4 2 9" xfId="9967" xr:uid="{6FBFC6FC-B53B-4A61-A0D2-1533120E2146}"/>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B1287AF0-35EB-42F0-B2DF-A12115D2AC1A}"/>
    <cellStyle name="Normal 8 2 4 3 2 2 3" xfId="25182" xr:uid="{84658A71-8D88-4620-9911-5E3F0F589013}"/>
    <cellStyle name="Normal 8 2 4 3 2 2 4" xfId="33622" xr:uid="{708C41C8-F2BF-4796-9869-0B48B50082C1}"/>
    <cellStyle name="Normal 8 2 4 3 2 3" xfId="12524" xr:uid="{8A118E39-0107-4E3D-856D-3D3F7B1ABECD}"/>
    <cellStyle name="Normal 8 2 4 3 2 4" xfId="20965" xr:uid="{6FE44066-7288-4A27-B3BD-D5327452138D}"/>
    <cellStyle name="Normal 8 2 4 3 2 5" xfId="29405" xr:uid="{5FFC5D7C-A132-4645-9127-0C8411EC7CFB}"/>
    <cellStyle name="Normal 8 2 4 3 3" xfId="5270" xr:uid="{00000000-0005-0000-0000-0000FB1C0000}"/>
    <cellStyle name="Normal 8 2 4 3 3 2" xfId="14596" xr:uid="{AC84E9D3-BE68-4C1A-A56F-6A3946C2CB54}"/>
    <cellStyle name="Normal 8 2 4 3 3 3" xfId="23037" xr:uid="{7681EB1F-35C3-48A5-BF51-F1046121F008}"/>
    <cellStyle name="Normal 8 2 4 3 3 4" xfId="31477" xr:uid="{A58BC06C-1459-40DB-AD56-57902E5928BF}"/>
    <cellStyle name="Normal 8 2 4 3 4" xfId="9279" xr:uid="{BA09D30D-BEBA-4223-83E6-57FB46A1EFA8}"/>
    <cellStyle name="Normal 8 2 4 3 5" xfId="10379" xr:uid="{13E5C658-1143-4B95-89F7-93A574D05BE5}"/>
    <cellStyle name="Normal 8 2 4 3 6" xfId="18820" xr:uid="{5EF43821-9AA1-4936-8771-66F1E2DE7CC4}"/>
    <cellStyle name="Normal 8 2 4 3 7" xfId="27260" xr:uid="{D6DFA18B-1694-41AD-9AAF-BEE3FE2A11DE}"/>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B0A798BB-4D22-40C2-B350-2E53746CC5A2}"/>
    <cellStyle name="Normal 8 2 4 4 2 2 3" xfId="25595" xr:uid="{6E5A92CE-DEBC-4AE2-A868-9E7371900744}"/>
    <cellStyle name="Normal 8 2 4 4 2 2 4" xfId="34035" xr:uid="{F2A55924-0BA4-4720-A35E-3417B9228DC2}"/>
    <cellStyle name="Normal 8 2 4 4 2 3" xfId="12937" xr:uid="{9878D2A2-D810-460C-BD60-E1F6E4352BC1}"/>
    <cellStyle name="Normal 8 2 4 4 2 4" xfId="21378" xr:uid="{70308D6B-2F16-43B1-ABC6-A857CF27C391}"/>
    <cellStyle name="Normal 8 2 4 4 2 5" xfId="29818" xr:uid="{A25EB272-6CF5-48F7-8402-F9562BE62AE2}"/>
    <cellStyle name="Normal 8 2 4 4 3" xfId="5683" xr:uid="{00000000-0005-0000-0000-0000FF1C0000}"/>
    <cellStyle name="Normal 8 2 4 4 3 2" xfId="15009" xr:uid="{79E4D2E3-5CD7-4D2A-B752-23AA4AC0C04F}"/>
    <cellStyle name="Normal 8 2 4 4 3 3" xfId="23450" xr:uid="{F75077CB-F675-4398-9256-B86822AC3633}"/>
    <cellStyle name="Normal 8 2 4 4 3 4" xfId="31890" xr:uid="{AFF9E592-6098-4356-AAB9-BDADD5C40DFA}"/>
    <cellStyle name="Normal 8 2 4 4 4" xfId="10792" xr:uid="{256CAE82-2186-4242-A2AC-ECB472E47F39}"/>
    <cellStyle name="Normal 8 2 4 4 5" xfId="19233" xr:uid="{B1E64478-46A3-4068-B670-D3F18319B007}"/>
    <cellStyle name="Normal 8 2 4 4 6" xfId="27673" xr:uid="{FF561569-76C9-4FF0-81F8-C9A22DA41F1E}"/>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AF8B0E6A-17E6-4068-BC9F-A18BF0E6A4C2}"/>
    <cellStyle name="Normal 8 2 4 5 2 2 3" xfId="26008" xr:uid="{FB9C2040-6ABC-4367-B184-D6CC7F49DE17}"/>
    <cellStyle name="Normal 8 2 4 5 2 2 4" xfId="34448" xr:uid="{97E4064F-41C0-4E8B-A38A-63DD0EB76890}"/>
    <cellStyle name="Normal 8 2 4 5 2 3" xfId="13350" xr:uid="{725CCC04-FC40-40C0-B0EB-3074F02B9EB3}"/>
    <cellStyle name="Normal 8 2 4 5 2 4" xfId="21791" xr:uid="{D6B940D5-A2F9-4A4B-A87D-C74B7850512F}"/>
    <cellStyle name="Normal 8 2 4 5 2 5" xfId="30231" xr:uid="{0AEF78F6-AF7C-4603-9B2C-C31A79764AF3}"/>
    <cellStyle name="Normal 8 2 4 5 3" xfId="6096" xr:uid="{00000000-0005-0000-0000-0000031D0000}"/>
    <cellStyle name="Normal 8 2 4 5 3 2" xfId="15422" xr:uid="{0840A506-D6A1-407D-87E5-4D8A548410F1}"/>
    <cellStyle name="Normal 8 2 4 5 3 3" xfId="23863" xr:uid="{6A92090A-A2A7-4548-A99B-116781127DE1}"/>
    <cellStyle name="Normal 8 2 4 5 3 4" xfId="32303" xr:uid="{AA31EA60-C9B1-4F46-A119-D27082AC40D4}"/>
    <cellStyle name="Normal 8 2 4 5 4" xfId="11205" xr:uid="{CD000510-F83D-4937-802D-2733ED875C5B}"/>
    <cellStyle name="Normal 8 2 4 5 5" xfId="19646" xr:uid="{694DDA63-1A7B-4EFD-A098-B0C25AF985BA}"/>
    <cellStyle name="Normal 8 2 4 5 6" xfId="28086" xr:uid="{60B99630-EC0E-4BA0-B529-5D620C54BA89}"/>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F10ECA91-50A1-4AC4-B29E-9C27041C1DFA}"/>
    <cellStyle name="Normal 8 2 4 6 2 2 3" xfId="26421" xr:uid="{7CC4ECB9-E28D-43C9-839D-12F3CDFCB29B}"/>
    <cellStyle name="Normal 8 2 4 6 2 2 4" xfId="34861" xr:uid="{C5F93B7C-F10A-42E7-82FC-7269FC655443}"/>
    <cellStyle name="Normal 8 2 4 6 2 3" xfId="13763" xr:uid="{0A199A11-02D5-41B3-8F12-C9FA8B598A98}"/>
    <cellStyle name="Normal 8 2 4 6 2 4" xfId="22204" xr:uid="{8BC3AE0A-65A1-47C5-AD57-4721CA80867B}"/>
    <cellStyle name="Normal 8 2 4 6 2 5" xfId="30644" xr:uid="{BC2C2B24-32C0-4938-810B-C4A9D799AC01}"/>
    <cellStyle name="Normal 8 2 4 6 3" xfId="6509" xr:uid="{00000000-0005-0000-0000-0000071D0000}"/>
    <cellStyle name="Normal 8 2 4 6 3 2" xfId="15835" xr:uid="{14C2E6AD-2C20-45EC-90A1-E1861F2C7871}"/>
    <cellStyle name="Normal 8 2 4 6 3 3" xfId="24276" xr:uid="{8135764D-4596-4A30-8B3C-BDD51389C1B4}"/>
    <cellStyle name="Normal 8 2 4 6 3 4" xfId="32716" xr:uid="{14E7AC68-5ECF-4C39-BD64-025B1BC47C2B}"/>
    <cellStyle name="Normal 8 2 4 6 4" xfId="11618" xr:uid="{4378A650-2CB8-47A0-9E19-961C2CF97CBB}"/>
    <cellStyle name="Normal 8 2 4 6 5" xfId="20059" xr:uid="{E6E87855-878E-46ED-B603-43ED9CEE8738}"/>
    <cellStyle name="Normal 8 2 4 6 6" xfId="28499" xr:uid="{1EABB23A-08A4-4AD3-A9A9-41445D4FE204}"/>
    <cellStyle name="Normal 8 2 4 7" xfId="2639" xr:uid="{00000000-0005-0000-0000-0000081D0000}"/>
    <cellStyle name="Normal 8 2 4 7 2" xfId="6922" xr:uid="{00000000-0005-0000-0000-0000091D0000}"/>
    <cellStyle name="Normal 8 2 4 7 2 2" xfId="16248" xr:uid="{8DC84DEE-A324-4C9E-A862-E5617AAA3EB7}"/>
    <cellStyle name="Normal 8 2 4 7 2 3" xfId="24689" xr:uid="{CEC314C2-F5F2-4C69-8E5B-8667079B6FD0}"/>
    <cellStyle name="Normal 8 2 4 7 2 4" xfId="33129" xr:uid="{2CD5D50C-9645-40DD-841A-791E3A38B3B1}"/>
    <cellStyle name="Normal 8 2 4 7 3" xfId="12031" xr:uid="{11497FE2-4741-4272-B9B4-A70BC768C3D0}"/>
    <cellStyle name="Normal 8 2 4 7 4" xfId="20472" xr:uid="{B8A225B2-F1C9-46C6-AE23-E402F05FCB7A}"/>
    <cellStyle name="Normal 8 2 4 7 5" xfId="28912" xr:uid="{5B71C342-FB0B-4E44-B9DC-5A8D73B5108E}"/>
    <cellStyle name="Normal 8 2 4 8" xfId="4857" xr:uid="{00000000-0005-0000-0000-00000A1D0000}"/>
    <cellStyle name="Normal 8 2 4 8 2" xfId="14183" xr:uid="{33FCAFA5-10ED-44B9-9453-4E91214745AC}"/>
    <cellStyle name="Normal 8 2 4 8 3" xfId="22624" xr:uid="{1AAFCCF2-358E-41E3-87EC-6E70B5876E28}"/>
    <cellStyle name="Normal 8 2 4 8 4" xfId="31064" xr:uid="{BB4D350E-DCBA-46F3-9745-C86774A06978}"/>
    <cellStyle name="Normal 8 2 4 9" xfId="8854" xr:uid="{F1F9C500-F3E2-475A-983E-BD697F4BACD1}"/>
    <cellStyle name="Normal 8 2 5" xfId="494" xr:uid="{00000000-0005-0000-0000-00000B1D0000}"/>
    <cellStyle name="Normal 8 2 5 10" xfId="18409" xr:uid="{0283801E-601A-487C-ACA7-648A496EDE51}"/>
    <cellStyle name="Normal 8 2 5 11" xfId="26849" xr:uid="{4E4088AE-CF4A-45FC-A33E-AA91D7E3AA83}"/>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408DD1A5-8F9D-465C-8D4D-7523A62BCDB7}"/>
    <cellStyle name="Normal 8 2 5 2 2 2 3" xfId="25184" xr:uid="{7DCABFEF-E552-4D91-8C39-7A673F24C334}"/>
    <cellStyle name="Normal 8 2 5 2 2 2 4" xfId="33624" xr:uid="{D3024266-E2FD-4BB4-92FE-42888A6E6EF0}"/>
    <cellStyle name="Normal 8 2 5 2 2 3" xfId="12526" xr:uid="{0142D1A2-6B05-4E21-A666-F65FE04D21BB}"/>
    <cellStyle name="Normal 8 2 5 2 2 4" xfId="20967" xr:uid="{41B57215-9E75-40BA-82A5-0197A06D6246}"/>
    <cellStyle name="Normal 8 2 5 2 2 5" xfId="29407" xr:uid="{3BC6EE3B-26D1-40A6-A4EB-46CCBC8EF8C4}"/>
    <cellStyle name="Normal 8 2 5 2 3" xfId="5272" xr:uid="{00000000-0005-0000-0000-00000F1D0000}"/>
    <cellStyle name="Normal 8 2 5 2 3 2" xfId="14598" xr:uid="{145BDAC1-A8B6-4F76-B499-823883817A61}"/>
    <cellStyle name="Normal 8 2 5 2 3 3" xfId="23039" xr:uid="{C27D8318-B8CC-4945-9840-36A23784582A}"/>
    <cellStyle name="Normal 8 2 5 2 3 4" xfId="31479" xr:uid="{7870A61F-2F0E-4DB5-ABA2-F63C1E9B584D}"/>
    <cellStyle name="Normal 8 2 5 2 4" xfId="9395" xr:uid="{D5766EF3-6042-484F-B510-7448518CF571}"/>
    <cellStyle name="Normal 8 2 5 2 5" xfId="10381" xr:uid="{987F9DD7-DA09-45DB-A12F-05509E44CC15}"/>
    <cellStyle name="Normal 8 2 5 2 6" xfId="18822" xr:uid="{122B28EC-5E11-4932-A187-690511F78CDB}"/>
    <cellStyle name="Normal 8 2 5 2 7" xfId="27262" xr:uid="{28576EF0-F71E-4BF7-8C58-6245235E35ED}"/>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D2FECE2F-CB4C-4602-B2C9-28E8C252F76C}"/>
    <cellStyle name="Normal 8 2 5 3 2 2 3" xfId="25597" xr:uid="{DC6F2A57-4989-4F03-A923-9E0B687A654D}"/>
    <cellStyle name="Normal 8 2 5 3 2 2 4" xfId="34037" xr:uid="{995D192A-BED5-4B71-9D25-D2EBCA1A1E49}"/>
    <cellStyle name="Normal 8 2 5 3 2 3" xfId="12939" xr:uid="{83157C2C-A16D-4D6E-84CC-CB6C43888240}"/>
    <cellStyle name="Normal 8 2 5 3 2 4" xfId="21380" xr:uid="{A3D90D12-A4B4-466E-A7BB-E708A6814D0E}"/>
    <cellStyle name="Normal 8 2 5 3 2 5" xfId="29820" xr:uid="{0F816AFA-A0D8-426B-9EDA-ABB40CE98136}"/>
    <cellStyle name="Normal 8 2 5 3 3" xfId="5685" xr:uid="{00000000-0005-0000-0000-0000131D0000}"/>
    <cellStyle name="Normal 8 2 5 3 3 2" xfId="15011" xr:uid="{5E632082-6CED-4D18-9813-B49AF317A5DB}"/>
    <cellStyle name="Normal 8 2 5 3 3 3" xfId="23452" xr:uid="{56BF8E9A-4322-4B7B-ACEA-5D8932D1D2F8}"/>
    <cellStyle name="Normal 8 2 5 3 3 4" xfId="31892" xr:uid="{3A23582E-FBEB-4041-A155-D30E71B3649E}"/>
    <cellStyle name="Normal 8 2 5 3 4" xfId="10794" xr:uid="{180C6904-F71E-47FC-AE4C-56E032FF1B00}"/>
    <cellStyle name="Normal 8 2 5 3 5" xfId="19235" xr:uid="{D817988E-2EAC-4CDD-8AF4-BD78BC2BECD9}"/>
    <cellStyle name="Normal 8 2 5 3 6" xfId="27675" xr:uid="{FEA003F6-0A4D-468D-BF53-11EB03EF9798}"/>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B8764476-F46A-4752-89C9-907DE7F37CAA}"/>
    <cellStyle name="Normal 8 2 5 4 2 2 3" xfId="26010" xr:uid="{CE6C07FB-6269-4A1A-BA6D-E4AF64BEB6DE}"/>
    <cellStyle name="Normal 8 2 5 4 2 2 4" xfId="34450" xr:uid="{DF0E85B1-908E-4F61-9D6C-D98B6C83B8CE}"/>
    <cellStyle name="Normal 8 2 5 4 2 3" xfId="13352" xr:uid="{739D055F-291D-4EB5-A40D-FDCE42306B8F}"/>
    <cellStyle name="Normal 8 2 5 4 2 4" xfId="21793" xr:uid="{7A3CD508-88A2-4A96-90FC-BB0882366415}"/>
    <cellStyle name="Normal 8 2 5 4 2 5" xfId="30233" xr:uid="{08DFDC2D-C0C3-4B74-9616-1EA9E3D29F61}"/>
    <cellStyle name="Normal 8 2 5 4 3" xfId="6098" xr:uid="{00000000-0005-0000-0000-0000171D0000}"/>
    <cellStyle name="Normal 8 2 5 4 3 2" xfId="15424" xr:uid="{135B1CD0-6570-4540-8F86-746F16D4E057}"/>
    <cellStyle name="Normal 8 2 5 4 3 3" xfId="23865" xr:uid="{E2BAC704-0392-4AEA-AD1A-0653F60A2FBF}"/>
    <cellStyle name="Normal 8 2 5 4 3 4" xfId="32305" xr:uid="{6035D6B4-BFC5-4A7A-AA2B-6F12FC4EE2B3}"/>
    <cellStyle name="Normal 8 2 5 4 4" xfId="11207" xr:uid="{C3F3F38B-E428-4576-B926-7657BBA665F3}"/>
    <cellStyle name="Normal 8 2 5 4 5" xfId="19648" xr:uid="{E81BA64D-7455-4CB1-BE89-30795AEFB79D}"/>
    <cellStyle name="Normal 8 2 5 4 6" xfId="28088" xr:uid="{B33CD17C-E460-46AA-ACD0-A942D11F4AF8}"/>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561663FF-670A-408D-82F4-073ADC6B4362}"/>
    <cellStyle name="Normal 8 2 5 5 2 2 3" xfId="26423" xr:uid="{AEB65540-CCE7-4FEA-8883-174240AAE4EB}"/>
    <cellStyle name="Normal 8 2 5 5 2 2 4" xfId="34863" xr:uid="{DC982A55-23EC-480E-9C9C-405BC3311330}"/>
    <cellStyle name="Normal 8 2 5 5 2 3" xfId="13765" xr:uid="{8D00120E-9C67-42EE-81B8-8EF67057DB66}"/>
    <cellStyle name="Normal 8 2 5 5 2 4" xfId="22206" xr:uid="{346CC6E3-3F95-4442-940F-23D8859A58F7}"/>
    <cellStyle name="Normal 8 2 5 5 2 5" xfId="30646" xr:uid="{10CA0E6D-2CBB-40DC-8E05-D40F1DC6AF00}"/>
    <cellStyle name="Normal 8 2 5 5 3" xfId="6511" xr:uid="{00000000-0005-0000-0000-00001B1D0000}"/>
    <cellStyle name="Normal 8 2 5 5 3 2" xfId="15837" xr:uid="{F0BCB843-B846-4A69-8AF2-578DD56C187C}"/>
    <cellStyle name="Normal 8 2 5 5 3 3" xfId="24278" xr:uid="{37F2DA2F-1F1E-4C3B-9A6D-BE49E37B5649}"/>
    <cellStyle name="Normal 8 2 5 5 3 4" xfId="32718" xr:uid="{B83B54E9-0DAC-460F-A79B-EEBACDBD4D02}"/>
    <cellStyle name="Normal 8 2 5 5 4" xfId="11620" xr:uid="{3F1F00C2-D260-450C-AA49-B0E3E24875AB}"/>
    <cellStyle name="Normal 8 2 5 5 5" xfId="20061" xr:uid="{DA9518B2-20CD-42A5-9BFE-BEEC5ED954C4}"/>
    <cellStyle name="Normal 8 2 5 5 6" xfId="28501" xr:uid="{3C4D26DF-4392-4243-A8FF-56FB50942B00}"/>
    <cellStyle name="Normal 8 2 5 6" xfId="2641" xr:uid="{00000000-0005-0000-0000-00001C1D0000}"/>
    <cellStyle name="Normal 8 2 5 6 2" xfId="6924" xr:uid="{00000000-0005-0000-0000-00001D1D0000}"/>
    <cellStyle name="Normal 8 2 5 6 2 2" xfId="16250" xr:uid="{DC157289-1E74-4CBE-AD23-D3EE7CA5E6EF}"/>
    <cellStyle name="Normal 8 2 5 6 2 3" xfId="24691" xr:uid="{875AC2D9-4304-45DF-AD45-6C9AA0FE206B}"/>
    <cellStyle name="Normal 8 2 5 6 2 4" xfId="33131" xr:uid="{834CE9E9-1D6F-4D43-9657-DB57A7959FE8}"/>
    <cellStyle name="Normal 8 2 5 6 3" xfId="12033" xr:uid="{575EBA09-0AD2-4F03-9915-26432E1CD763}"/>
    <cellStyle name="Normal 8 2 5 6 4" xfId="20474" xr:uid="{78D10D27-6BC9-4166-8A7E-799541A9F430}"/>
    <cellStyle name="Normal 8 2 5 6 5" xfId="28914" xr:uid="{2E85D8CB-008C-484C-BA7E-4BA0AE0DAE25}"/>
    <cellStyle name="Normal 8 2 5 7" xfId="4859" xr:uid="{00000000-0005-0000-0000-00001E1D0000}"/>
    <cellStyle name="Normal 8 2 5 7 2" xfId="14185" xr:uid="{83E7539A-8E49-4A32-8229-D57A780CE2C6}"/>
    <cellStyle name="Normal 8 2 5 7 3" xfId="22626" xr:uid="{1F967DB1-8D53-4B86-AFFD-23FF5664A299}"/>
    <cellStyle name="Normal 8 2 5 7 4" xfId="31066" xr:uid="{99C8C892-C683-427A-AD7A-352C872F2216}"/>
    <cellStyle name="Normal 8 2 5 8" xfId="8970" xr:uid="{7E9ACEFF-1680-45D8-BC32-8CA9BA1D63D4}"/>
    <cellStyle name="Normal 8 2 5 9" xfId="9968" xr:uid="{278B39C8-5256-406F-B2FD-FE9074A1215E}"/>
    <cellStyle name="Normal 8 2 6" xfId="946" xr:uid="{00000000-0005-0000-0000-00001F1D0000}"/>
    <cellStyle name="Normal 8 2 6 2" xfId="3180" xr:uid="{00000000-0005-0000-0000-0000201D0000}"/>
    <cellStyle name="Normal 8 2 6 2 2" xfId="7402" xr:uid="{00000000-0005-0000-0000-0000211D0000}"/>
    <cellStyle name="Normal 8 2 6 2 2 2" xfId="16728" xr:uid="{81049AA2-0FBA-4EBB-90D2-43C2E6C6E6BD}"/>
    <cellStyle name="Normal 8 2 6 2 2 3" xfId="25169" xr:uid="{A1BB513D-85D4-4E93-BAD3-B17529C3C953}"/>
    <cellStyle name="Normal 8 2 6 2 2 4" xfId="33609" xr:uid="{2B060DA2-D027-47E8-9578-B010AE42F749}"/>
    <cellStyle name="Normal 8 2 6 2 3" xfId="12511" xr:uid="{42B5E786-4461-48EA-819E-B4FEE2228B98}"/>
    <cellStyle name="Normal 8 2 6 2 4" xfId="20952" xr:uid="{B2CC227F-9AB7-48C2-94F6-2BABAB5ACB8B}"/>
    <cellStyle name="Normal 8 2 6 2 5" xfId="29392" xr:uid="{C060428A-652A-44BA-B64D-FE61EBCF0814}"/>
    <cellStyle name="Normal 8 2 6 3" xfId="5257" xr:uid="{00000000-0005-0000-0000-0000221D0000}"/>
    <cellStyle name="Normal 8 2 6 3 2" xfId="14583" xr:uid="{B1BA6ADE-8DEB-4332-9AE2-6FE6502AB4E5}"/>
    <cellStyle name="Normal 8 2 6 3 3" xfId="23024" xr:uid="{FE437D42-EE16-4A52-81F4-E3A0ACFE15BE}"/>
    <cellStyle name="Normal 8 2 6 3 4" xfId="31464" xr:uid="{CE92A61C-37F9-4565-91F4-4B3AA06775C2}"/>
    <cellStyle name="Normal 8 2 6 4" xfId="9173" xr:uid="{C36295B3-E6F0-4A6D-AEE5-72C8177C13EE}"/>
    <cellStyle name="Normal 8 2 6 5" xfId="10366" xr:uid="{B3F9371E-3047-4C9B-8E83-FD86D1E22B69}"/>
    <cellStyle name="Normal 8 2 6 6" xfId="18807" xr:uid="{AC4CD253-394F-4F2E-B919-3906041C139A}"/>
    <cellStyle name="Normal 8 2 6 7" xfId="27247" xr:uid="{A651151B-0B7D-4AF5-8357-1C2ABCF16D11}"/>
    <cellStyle name="Normal 8 2 7" xfId="1363" xr:uid="{00000000-0005-0000-0000-0000231D0000}"/>
    <cellStyle name="Normal 8 2 7 2" xfId="3593" xr:uid="{00000000-0005-0000-0000-0000241D0000}"/>
    <cellStyle name="Normal 8 2 7 2 2" xfId="7815" xr:uid="{00000000-0005-0000-0000-0000251D0000}"/>
    <cellStyle name="Normal 8 2 7 2 2 2" xfId="17141" xr:uid="{E806AE33-7D3B-4E7D-9C03-38111CD4B5DB}"/>
    <cellStyle name="Normal 8 2 7 2 2 3" xfId="25582" xr:uid="{682F0341-550F-4375-9241-6541A882F946}"/>
    <cellStyle name="Normal 8 2 7 2 2 4" xfId="34022" xr:uid="{98E5842D-BC0E-40FD-BB6A-DF802C910297}"/>
    <cellStyle name="Normal 8 2 7 2 3" xfId="12924" xr:uid="{164E2082-95DC-4A9D-A415-BE00A370BF26}"/>
    <cellStyle name="Normal 8 2 7 2 4" xfId="21365" xr:uid="{7F25E8AC-535A-4241-AC38-7A8F99931C87}"/>
    <cellStyle name="Normal 8 2 7 2 5" xfId="29805" xr:uid="{C0506BD7-6547-4849-82AE-AC67C9C2D34D}"/>
    <cellStyle name="Normal 8 2 7 3" xfId="5670" xr:uid="{00000000-0005-0000-0000-0000261D0000}"/>
    <cellStyle name="Normal 8 2 7 3 2" xfId="14996" xr:uid="{741017F7-F49E-4D9D-AB3C-9D5BA596A1CC}"/>
    <cellStyle name="Normal 8 2 7 3 3" xfId="23437" xr:uid="{6EEBF837-FD49-40C7-9358-753F5DFF8A86}"/>
    <cellStyle name="Normal 8 2 7 3 4" xfId="31877" xr:uid="{FB58B118-872D-4CD7-B310-45B82555A9C2}"/>
    <cellStyle name="Normal 8 2 7 4" xfId="10779" xr:uid="{05A33814-08F2-487B-936E-4FFD5C2227A1}"/>
    <cellStyle name="Normal 8 2 7 5" xfId="19220" xr:uid="{8F8CE347-A535-44AD-91A2-7427A37A2C50}"/>
    <cellStyle name="Normal 8 2 7 6" xfId="27660" xr:uid="{6FA9162F-F95F-42A7-A2B3-AE6F835ABF2B}"/>
    <cellStyle name="Normal 8 2 8" xfId="1776" xr:uid="{00000000-0005-0000-0000-0000271D0000}"/>
    <cellStyle name="Normal 8 2 8 2" xfId="4006" xr:uid="{00000000-0005-0000-0000-0000281D0000}"/>
    <cellStyle name="Normal 8 2 8 2 2" xfId="8228" xr:uid="{00000000-0005-0000-0000-0000291D0000}"/>
    <cellStyle name="Normal 8 2 8 2 2 2" xfId="17554" xr:uid="{7FD22F62-F49E-46A9-A3F1-9C7342A85440}"/>
    <cellStyle name="Normal 8 2 8 2 2 3" xfId="25995" xr:uid="{4D6FAE0F-4134-4A3C-B47C-1FF1290698CA}"/>
    <cellStyle name="Normal 8 2 8 2 2 4" xfId="34435" xr:uid="{0BECD376-ABA4-4614-8A1B-D547927373A7}"/>
    <cellStyle name="Normal 8 2 8 2 3" xfId="13337" xr:uid="{6EFED1A4-6996-4AFA-915C-94A9A253969A}"/>
    <cellStyle name="Normal 8 2 8 2 4" xfId="21778" xr:uid="{82AEF0F7-C720-4F66-BFD7-A6828CAB0E3C}"/>
    <cellStyle name="Normal 8 2 8 2 5" xfId="30218" xr:uid="{655700F5-637D-41E3-8B7D-B9DB3DBA7D8A}"/>
    <cellStyle name="Normal 8 2 8 3" xfId="6083" xr:uid="{00000000-0005-0000-0000-00002A1D0000}"/>
    <cellStyle name="Normal 8 2 8 3 2" xfId="15409" xr:uid="{BE81C3EB-2E2B-414A-B532-71AA2A5DB1FB}"/>
    <cellStyle name="Normal 8 2 8 3 3" xfId="23850" xr:uid="{85E3CD33-1F1B-4616-91D4-6983395A7EAD}"/>
    <cellStyle name="Normal 8 2 8 3 4" xfId="32290" xr:uid="{4552BB6E-26F5-40CC-9FB6-C613D9FA6A79}"/>
    <cellStyle name="Normal 8 2 8 4" xfId="11192" xr:uid="{0C0FD2D5-4F75-41CB-8AA1-51CDFBD79DF2}"/>
    <cellStyle name="Normal 8 2 8 5" xfId="19633" xr:uid="{A62CC15A-6066-4003-994D-02D172B281CC}"/>
    <cellStyle name="Normal 8 2 8 6" xfId="28073" xr:uid="{979F51B7-C0B5-4551-865C-D0136691740F}"/>
    <cellStyle name="Normal 8 2 9" xfId="2190" xr:uid="{00000000-0005-0000-0000-00002B1D0000}"/>
    <cellStyle name="Normal 8 2 9 2" xfId="4419" xr:uid="{00000000-0005-0000-0000-00002C1D0000}"/>
    <cellStyle name="Normal 8 2 9 2 2" xfId="8641" xr:uid="{00000000-0005-0000-0000-00002D1D0000}"/>
    <cellStyle name="Normal 8 2 9 2 2 2" xfId="17967" xr:uid="{488428B4-9431-431C-9128-29EC1CA002F7}"/>
    <cellStyle name="Normal 8 2 9 2 2 3" xfId="26408" xr:uid="{FC479B35-EAC9-4437-B41A-21160B39807C}"/>
    <cellStyle name="Normal 8 2 9 2 2 4" xfId="34848" xr:uid="{82B74031-A49F-4019-83EC-1CDF96D16FEF}"/>
    <cellStyle name="Normal 8 2 9 2 3" xfId="13750" xr:uid="{4999562C-7053-4B8B-A709-C2E714D53D1E}"/>
    <cellStyle name="Normal 8 2 9 2 4" xfId="22191" xr:uid="{5C66C7A5-2648-4D34-999A-C34A807B7B34}"/>
    <cellStyle name="Normal 8 2 9 2 5" xfId="30631" xr:uid="{66C536B5-7FEB-4287-8BC6-F1619B11E3F5}"/>
    <cellStyle name="Normal 8 2 9 3" xfId="6496" xr:uid="{00000000-0005-0000-0000-00002E1D0000}"/>
    <cellStyle name="Normal 8 2 9 3 2" xfId="15822" xr:uid="{A372BFC7-8855-41DF-9BB7-487774AEEEF7}"/>
    <cellStyle name="Normal 8 2 9 3 3" xfId="24263" xr:uid="{AEA12960-764D-4207-A43D-A11653750BF7}"/>
    <cellStyle name="Normal 8 2 9 3 4" xfId="32703" xr:uid="{92A313A2-209A-455C-8500-274DCE77D95E}"/>
    <cellStyle name="Normal 8 2 9 4" xfId="11605" xr:uid="{A24F3C68-7681-4B94-8978-C7CB0ED6CD43}"/>
    <cellStyle name="Normal 8 2 9 5" xfId="20046" xr:uid="{240EB2C1-6CAB-4F93-9973-0B8C099E6A96}"/>
    <cellStyle name="Normal 8 2 9 6" xfId="28486" xr:uid="{51AF2DF0-20B3-40B3-802F-E9DF6DCA747E}"/>
    <cellStyle name="Normal 8 3" xfId="495" xr:uid="{00000000-0005-0000-0000-00002F1D0000}"/>
    <cellStyle name="Normal 8 3 10" xfId="4860" xr:uid="{00000000-0005-0000-0000-0000301D0000}"/>
    <cellStyle name="Normal 8 3 10 2" xfId="14186" xr:uid="{E2163657-2D35-411F-B6B7-C71CB3BC5AE3}"/>
    <cellStyle name="Normal 8 3 10 3" xfId="22627" xr:uid="{3BEA389C-1BE2-45F8-991E-33D3CCD7E1E6}"/>
    <cellStyle name="Normal 8 3 10 4" xfId="31067" xr:uid="{AF5E4487-3A02-44A7-8438-35F1A658F2DD}"/>
    <cellStyle name="Normal 8 3 11" xfId="8774" xr:uid="{81BDDADD-940D-4F3A-BD6C-7E4719C8A3D2}"/>
    <cellStyle name="Normal 8 3 12" xfId="9969" xr:uid="{881C1DC0-5818-428A-9C6D-56570F2D4A4A}"/>
    <cellStyle name="Normal 8 3 13" xfId="18410" xr:uid="{BAE10A65-570D-438C-93AD-E535D85E287C}"/>
    <cellStyle name="Normal 8 3 14" xfId="26850" xr:uid="{42E9E90C-96CC-46D0-864D-D6636F091507}"/>
    <cellStyle name="Normal 8 3 2" xfId="496" xr:uid="{00000000-0005-0000-0000-0000311D0000}"/>
    <cellStyle name="Normal 8 3 2 10" xfId="8837" xr:uid="{392842AA-84B1-4A71-AE94-A1B631487B7E}"/>
    <cellStyle name="Normal 8 3 2 11" xfId="9970" xr:uid="{E5BA0D0A-81D2-42AA-8C1F-268C147506B0}"/>
    <cellStyle name="Normal 8 3 2 12" xfId="18411" xr:uid="{C97BC0ED-02B4-493D-8D8C-3CD76B70A0CE}"/>
    <cellStyle name="Normal 8 3 2 13" xfId="26851" xr:uid="{A7ADDE5F-A78C-4936-A94A-A25276E9F4A7}"/>
    <cellStyle name="Normal 8 3 2 2" xfId="497" xr:uid="{00000000-0005-0000-0000-0000321D0000}"/>
    <cellStyle name="Normal 8 3 2 2 10" xfId="9971" xr:uid="{0B16ADC7-1CE5-47FC-BFD2-D9076652B33D}"/>
    <cellStyle name="Normal 8 3 2 2 11" xfId="18412" xr:uid="{5E14A6E9-B44F-4883-B592-93DF1A6A33EF}"/>
    <cellStyle name="Normal 8 3 2 2 12" xfId="26852" xr:uid="{285C39AB-CF0C-4122-AF8B-039A6039E861}"/>
    <cellStyle name="Normal 8 3 2 2 2" xfId="498" xr:uid="{00000000-0005-0000-0000-0000331D0000}"/>
    <cellStyle name="Normal 8 3 2 2 2 10" xfId="18413" xr:uid="{C1220638-7749-4B8E-BF7F-9F043A31936C}"/>
    <cellStyle name="Normal 8 3 2 2 2 11" xfId="26853" xr:uid="{48950DDE-07F7-43CC-9C36-E59BC48A1712}"/>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3FBB28FC-C178-4BAA-A15C-112445AC46EC}"/>
    <cellStyle name="Normal 8 3 2 2 2 2 2 2 3" xfId="25188" xr:uid="{049B8717-6E57-47B7-9ABF-DA93E417D46B}"/>
    <cellStyle name="Normal 8 3 2 2 2 2 2 2 4" xfId="33628" xr:uid="{83D49353-7316-48C1-941A-F9D83F228076}"/>
    <cellStyle name="Normal 8 3 2 2 2 2 2 3" xfId="12530" xr:uid="{AB932CDA-B8AD-4B45-AB83-C80C872B5D0E}"/>
    <cellStyle name="Normal 8 3 2 2 2 2 2 4" xfId="20971" xr:uid="{3B15559A-0F5F-4AAE-B228-82EC05AB99D6}"/>
    <cellStyle name="Normal 8 3 2 2 2 2 2 5" xfId="29411" xr:uid="{DA37961F-CD4C-45DB-8BEC-5F7C2D8A3DA1}"/>
    <cellStyle name="Normal 8 3 2 2 2 2 3" xfId="5276" xr:uid="{00000000-0005-0000-0000-0000371D0000}"/>
    <cellStyle name="Normal 8 3 2 2 2 2 3 2" xfId="14602" xr:uid="{98188E04-50ED-4131-8ADE-62DD40F44221}"/>
    <cellStyle name="Normal 8 3 2 2 2 2 3 3" xfId="23043" xr:uid="{4DD08883-F927-4C89-86AF-C424589C427F}"/>
    <cellStyle name="Normal 8 3 2 2 2 2 3 4" xfId="31483" xr:uid="{A4515CA2-29EB-46F1-B638-D9C96C7BB391}"/>
    <cellStyle name="Normal 8 3 2 2 2 2 4" xfId="9572" xr:uid="{83269435-2305-4677-BD8B-8CB801DC108A}"/>
    <cellStyle name="Normal 8 3 2 2 2 2 5" xfId="10385" xr:uid="{E9EE0A7E-FC67-4EA4-9CBC-F0FFB44284A2}"/>
    <cellStyle name="Normal 8 3 2 2 2 2 6" xfId="18826" xr:uid="{A5937FBA-2ABF-457F-8E1C-A11F9DF483E1}"/>
    <cellStyle name="Normal 8 3 2 2 2 2 7" xfId="27266" xr:uid="{3EDCD412-6C2A-440C-947C-CA339B977CDF}"/>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26BCBBB1-6CC2-41AF-B693-5418B998BA87}"/>
    <cellStyle name="Normal 8 3 2 2 2 3 2 2 3" xfId="25601" xr:uid="{1CE8CB4D-6727-4833-9932-3255A50D3200}"/>
    <cellStyle name="Normal 8 3 2 2 2 3 2 2 4" xfId="34041" xr:uid="{F4FC7AA7-42CC-47FD-A823-7A1611CAD74B}"/>
    <cellStyle name="Normal 8 3 2 2 2 3 2 3" xfId="12943" xr:uid="{7D514EAD-7B85-4834-827A-D46563C7AABC}"/>
    <cellStyle name="Normal 8 3 2 2 2 3 2 4" xfId="21384" xr:uid="{065DBFFF-C638-4184-85C4-74A6C5E02E64}"/>
    <cellStyle name="Normal 8 3 2 2 2 3 2 5" xfId="29824" xr:uid="{7D4F6F96-1FC0-4249-8594-421EC940A08E}"/>
    <cellStyle name="Normal 8 3 2 2 2 3 3" xfId="5689" xr:uid="{00000000-0005-0000-0000-00003B1D0000}"/>
    <cellStyle name="Normal 8 3 2 2 2 3 3 2" xfId="15015" xr:uid="{F3D7AF92-9E41-4DC7-84AF-4393DA8991D3}"/>
    <cellStyle name="Normal 8 3 2 2 2 3 3 3" xfId="23456" xr:uid="{AB08ED18-E15D-46A7-9DA2-B061A5809DE2}"/>
    <cellStyle name="Normal 8 3 2 2 2 3 3 4" xfId="31896" xr:uid="{CB904CE5-8097-4098-9CB0-F92AB1F69A56}"/>
    <cellStyle name="Normal 8 3 2 2 2 3 4" xfId="10798" xr:uid="{F4C644F9-8C27-40F3-AABC-7963732D9C48}"/>
    <cellStyle name="Normal 8 3 2 2 2 3 5" xfId="19239" xr:uid="{4853B16B-3D91-45DC-B90E-5EAE64CE05B8}"/>
    <cellStyle name="Normal 8 3 2 2 2 3 6" xfId="27679" xr:uid="{8F327AF9-D6BE-4940-AF26-6521CC872FFC}"/>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A7FEC446-98E2-48B0-8706-148DE08C622B}"/>
    <cellStyle name="Normal 8 3 2 2 2 4 2 2 3" xfId="26014" xr:uid="{E80CCC13-4481-4F73-8908-AFABD9F83B0D}"/>
    <cellStyle name="Normal 8 3 2 2 2 4 2 2 4" xfId="34454" xr:uid="{2411AC13-4D84-480A-BE94-4771E87CE4CB}"/>
    <cellStyle name="Normal 8 3 2 2 2 4 2 3" xfId="13356" xr:uid="{E909B338-624A-4C12-93B1-BCB98CC0A42A}"/>
    <cellStyle name="Normal 8 3 2 2 2 4 2 4" xfId="21797" xr:uid="{C49ECAF8-FA1C-4AE7-AF55-3806DBBAC1DB}"/>
    <cellStyle name="Normal 8 3 2 2 2 4 2 5" xfId="30237" xr:uid="{AB22EA2C-073C-4051-9821-113D25DFDCFD}"/>
    <cellStyle name="Normal 8 3 2 2 2 4 3" xfId="6102" xr:uid="{00000000-0005-0000-0000-00003F1D0000}"/>
    <cellStyle name="Normal 8 3 2 2 2 4 3 2" xfId="15428" xr:uid="{67240B50-ED5C-470A-ADA2-940E3ACD52E1}"/>
    <cellStyle name="Normal 8 3 2 2 2 4 3 3" xfId="23869" xr:uid="{EC46C54D-8C1F-4A78-9A57-56BE2A19F7BD}"/>
    <cellStyle name="Normal 8 3 2 2 2 4 3 4" xfId="32309" xr:uid="{21320966-5196-4F30-8943-ED89ADBCA955}"/>
    <cellStyle name="Normal 8 3 2 2 2 4 4" xfId="11211" xr:uid="{0A7EE341-DCC6-4778-AC99-6D5306EC85BB}"/>
    <cellStyle name="Normal 8 3 2 2 2 4 5" xfId="19652" xr:uid="{B904898A-23B1-4F69-8574-B6305B4BE0A6}"/>
    <cellStyle name="Normal 8 3 2 2 2 4 6" xfId="28092" xr:uid="{C2A59F48-8265-4F04-9E4F-FC1367E9EFDC}"/>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164DA204-B081-4FB0-9558-FE2901F7D2E2}"/>
    <cellStyle name="Normal 8 3 2 2 2 5 2 2 3" xfId="26427" xr:uid="{8F19D37E-5DE7-4DAA-975F-471789664E03}"/>
    <cellStyle name="Normal 8 3 2 2 2 5 2 2 4" xfId="34867" xr:uid="{B707206D-ACEC-451B-88AE-46219CC2D06A}"/>
    <cellStyle name="Normal 8 3 2 2 2 5 2 3" xfId="13769" xr:uid="{824185FF-318F-4E07-B124-9F088A73A0FF}"/>
    <cellStyle name="Normal 8 3 2 2 2 5 2 4" xfId="22210" xr:uid="{9BAA40F8-C751-494D-823A-DC4C4B0A3BAB}"/>
    <cellStyle name="Normal 8 3 2 2 2 5 2 5" xfId="30650" xr:uid="{39CEEEAF-0473-40C9-9C34-F650AFFFC7BF}"/>
    <cellStyle name="Normal 8 3 2 2 2 5 3" xfId="6515" xr:uid="{00000000-0005-0000-0000-0000431D0000}"/>
    <cellStyle name="Normal 8 3 2 2 2 5 3 2" xfId="15841" xr:uid="{1A862C57-F94B-4170-84CA-BC9F6D8C6F5D}"/>
    <cellStyle name="Normal 8 3 2 2 2 5 3 3" xfId="24282" xr:uid="{CBABC939-B606-4183-B18A-CD06FCADB0B8}"/>
    <cellStyle name="Normal 8 3 2 2 2 5 3 4" xfId="32722" xr:uid="{059BBC6C-A308-4C8C-A345-41F3BA50B49F}"/>
    <cellStyle name="Normal 8 3 2 2 2 5 4" xfId="11624" xr:uid="{13568899-1E8F-43B9-82AD-50C23F1643FC}"/>
    <cellStyle name="Normal 8 3 2 2 2 5 5" xfId="20065" xr:uid="{CB3AFAD7-03BF-42EE-96F5-F567E41838BE}"/>
    <cellStyle name="Normal 8 3 2 2 2 5 6" xfId="28505" xr:uid="{3739D00B-8B67-47FE-8F13-E00A9D316419}"/>
    <cellStyle name="Normal 8 3 2 2 2 6" xfId="2645" xr:uid="{00000000-0005-0000-0000-0000441D0000}"/>
    <cellStyle name="Normal 8 3 2 2 2 6 2" xfId="6928" xr:uid="{00000000-0005-0000-0000-0000451D0000}"/>
    <cellStyle name="Normal 8 3 2 2 2 6 2 2" xfId="16254" xr:uid="{19DE2408-7536-4F0A-BC0A-39DFCB42D57E}"/>
    <cellStyle name="Normal 8 3 2 2 2 6 2 3" xfId="24695" xr:uid="{C5DEF69D-58E3-4AE6-911D-618D7390A876}"/>
    <cellStyle name="Normal 8 3 2 2 2 6 2 4" xfId="33135" xr:uid="{3E646CC1-DE38-454B-8E08-DB30C8E8019E}"/>
    <cellStyle name="Normal 8 3 2 2 2 6 3" xfId="12037" xr:uid="{C32FA489-8AC9-4EB7-A815-81199CB22A39}"/>
    <cellStyle name="Normal 8 3 2 2 2 6 4" xfId="20478" xr:uid="{0A113A6C-C76B-426C-9C18-70691A04D9FE}"/>
    <cellStyle name="Normal 8 3 2 2 2 6 5" xfId="28918" xr:uid="{109D80B3-FAA6-4677-B3AA-397708012A5F}"/>
    <cellStyle name="Normal 8 3 2 2 2 7" xfId="4863" xr:uid="{00000000-0005-0000-0000-0000461D0000}"/>
    <cellStyle name="Normal 8 3 2 2 2 7 2" xfId="14189" xr:uid="{E98958AD-EBB0-4477-8C01-67A0AB723AE0}"/>
    <cellStyle name="Normal 8 3 2 2 2 7 3" xfId="22630" xr:uid="{7E89A4DE-8774-4C98-B41B-1DFDACFF588F}"/>
    <cellStyle name="Normal 8 3 2 2 2 7 4" xfId="31070" xr:uid="{52C2E893-FE65-4603-90E0-9BEE4F1AA10B}"/>
    <cellStyle name="Normal 8 3 2 2 2 8" xfId="9147" xr:uid="{16780743-13F5-44BF-919B-157B86988913}"/>
    <cellStyle name="Normal 8 3 2 2 2 9" xfId="9972" xr:uid="{33B35EA4-55FE-40CD-B665-571397C70295}"/>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A80FF4A1-8F18-44C2-9C5F-5D860F45A32E}"/>
    <cellStyle name="Normal 8 3 2 2 3 2 2 3" xfId="25187" xr:uid="{837002F1-6244-4BCF-A2EA-F6931A894E9D}"/>
    <cellStyle name="Normal 8 3 2 2 3 2 2 4" xfId="33627" xr:uid="{BE713A93-CC45-4203-9D34-D47F4AD64E8E}"/>
    <cellStyle name="Normal 8 3 2 2 3 2 3" xfId="12529" xr:uid="{B5240109-91AF-4480-98BB-EE879BE019FB}"/>
    <cellStyle name="Normal 8 3 2 2 3 2 4" xfId="20970" xr:uid="{327B3041-D782-410D-A492-95CE6D99086A}"/>
    <cellStyle name="Normal 8 3 2 2 3 2 5" xfId="29410" xr:uid="{DD3027BE-A9E6-43F9-9042-6224F8C8EAA5}"/>
    <cellStyle name="Normal 8 3 2 2 3 3" xfId="5275" xr:uid="{00000000-0005-0000-0000-00004A1D0000}"/>
    <cellStyle name="Normal 8 3 2 2 3 3 2" xfId="14601" xr:uid="{31B522C0-86C2-4F17-A979-8449F337927A}"/>
    <cellStyle name="Normal 8 3 2 2 3 3 3" xfId="23042" xr:uid="{AFA7B4FE-7061-4772-B9B2-47295133D606}"/>
    <cellStyle name="Normal 8 3 2 2 3 3 4" xfId="31482" xr:uid="{50F2A335-820E-4E5B-AD48-3AB06173AB06}"/>
    <cellStyle name="Normal 8 3 2 2 3 4" xfId="9365" xr:uid="{47FF7C14-7484-41B9-856F-11398F7B2C7C}"/>
    <cellStyle name="Normal 8 3 2 2 3 5" xfId="10384" xr:uid="{444622D6-10C7-4B1B-ADB4-8408EC969DD6}"/>
    <cellStyle name="Normal 8 3 2 2 3 6" xfId="18825" xr:uid="{47096540-71F3-4866-8897-D05EE08C534A}"/>
    <cellStyle name="Normal 8 3 2 2 3 7" xfId="27265" xr:uid="{B4521FC1-E94D-4CCE-A198-DA1DACB1B752}"/>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04CE3FE7-B151-48F2-82E7-09CA24FC51C3}"/>
    <cellStyle name="Normal 8 3 2 2 4 2 2 3" xfId="25600" xr:uid="{003EB2B5-70F8-4DD3-ADFE-FF505DE4E0DA}"/>
    <cellStyle name="Normal 8 3 2 2 4 2 2 4" xfId="34040" xr:uid="{2814F3F2-C84D-4802-8D4A-0D0EC681EF3C}"/>
    <cellStyle name="Normal 8 3 2 2 4 2 3" xfId="12942" xr:uid="{492E1EFB-C3E6-4130-8E56-B97792981240}"/>
    <cellStyle name="Normal 8 3 2 2 4 2 4" xfId="21383" xr:uid="{B78F734D-770B-4313-92FB-FDE46379238A}"/>
    <cellStyle name="Normal 8 3 2 2 4 2 5" xfId="29823" xr:uid="{7300E9EF-BF48-40A4-B5B0-4B5AE0007CFC}"/>
    <cellStyle name="Normal 8 3 2 2 4 3" xfId="5688" xr:uid="{00000000-0005-0000-0000-00004E1D0000}"/>
    <cellStyle name="Normal 8 3 2 2 4 3 2" xfId="15014" xr:uid="{60C97BC6-3CB8-4345-ACD5-08CBB78ABAFF}"/>
    <cellStyle name="Normal 8 3 2 2 4 3 3" xfId="23455" xr:uid="{ED245487-DE9E-44E1-835D-80536CC15E6F}"/>
    <cellStyle name="Normal 8 3 2 2 4 3 4" xfId="31895" xr:uid="{CA5CCD47-38DF-44D0-8CC3-A91D631F2D48}"/>
    <cellStyle name="Normal 8 3 2 2 4 4" xfId="10797" xr:uid="{EAAB2F7D-E1F8-4F86-9C22-3B69350866C1}"/>
    <cellStyle name="Normal 8 3 2 2 4 5" xfId="19238" xr:uid="{FF4C3672-12CE-49DA-B5DF-B74D12D5CDC2}"/>
    <cellStyle name="Normal 8 3 2 2 4 6" xfId="27678" xr:uid="{472665CC-3BA6-40BD-BDC8-8DFCD24A05AA}"/>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4076134C-CBC3-4CB6-896E-4321A7CA0759}"/>
    <cellStyle name="Normal 8 3 2 2 5 2 2 3" xfId="26013" xr:uid="{B31A7C7D-1518-4E12-81B5-55092C1ADB2C}"/>
    <cellStyle name="Normal 8 3 2 2 5 2 2 4" xfId="34453" xr:uid="{C2916213-62D9-492C-804E-45937034AB5D}"/>
    <cellStyle name="Normal 8 3 2 2 5 2 3" xfId="13355" xr:uid="{5D35E74D-AD8B-4BEC-AFA5-8257780255F8}"/>
    <cellStyle name="Normal 8 3 2 2 5 2 4" xfId="21796" xr:uid="{83FBEEE5-B102-4FF8-847B-8308FDA17630}"/>
    <cellStyle name="Normal 8 3 2 2 5 2 5" xfId="30236" xr:uid="{093FD801-9734-4ACD-904F-BE31A40AC765}"/>
    <cellStyle name="Normal 8 3 2 2 5 3" xfId="6101" xr:uid="{00000000-0005-0000-0000-0000521D0000}"/>
    <cellStyle name="Normal 8 3 2 2 5 3 2" xfId="15427" xr:uid="{E96600B5-C4F7-496B-BEB4-3DE0B95B11F5}"/>
    <cellStyle name="Normal 8 3 2 2 5 3 3" xfId="23868" xr:uid="{3EC02710-6D60-4C69-A334-248105E4A6C0}"/>
    <cellStyle name="Normal 8 3 2 2 5 3 4" xfId="32308" xr:uid="{409A6AE4-BA64-4973-9187-5FEBE0FE10C7}"/>
    <cellStyle name="Normal 8 3 2 2 5 4" xfId="11210" xr:uid="{B3C2443F-CD24-447B-A105-89FCBCEFCEB1}"/>
    <cellStyle name="Normal 8 3 2 2 5 5" xfId="19651" xr:uid="{F911155E-9951-4486-BC68-6906165DD1CD}"/>
    <cellStyle name="Normal 8 3 2 2 5 6" xfId="28091" xr:uid="{52E01BA9-41CC-4487-A40C-849A5A5EAAD7}"/>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6DE7281E-C8FA-49EF-A6A3-1C3AD43C445D}"/>
    <cellStyle name="Normal 8 3 2 2 6 2 2 3" xfId="26426" xr:uid="{6FA3AAAA-E03F-4013-8A81-0C2D691CE5B4}"/>
    <cellStyle name="Normal 8 3 2 2 6 2 2 4" xfId="34866" xr:uid="{7D173C72-8162-4335-89AA-7D0941F44844}"/>
    <cellStyle name="Normal 8 3 2 2 6 2 3" xfId="13768" xr:uid="{B37E89CF-D12C-4982-8FB7-2F531C726366}"/>
    <cellStyle name="Normal 8 3 2 2 6 2 4" xfId="22209" xr:uid="{55433BCB-1370-4224-AF55-824D70D41539}"/>
    <cellStyle name="Normal 8 3 2 2 6 2 5" xfId="30649" xr:uid="{8C32BAF2-6040-471D-AA78-76B5F4D05A53}"/>
    <cellStyle name="Normal 8 3 2 2 6 3" xfId="6514" xr:uid="{00000000-0005-0000-0000-0000561D0000}"/>
    <cellStyle name="Normal 8 3 2 2 6 3 2" xfId="15840" xr:uid="{4197240B-18B6-4AC8-90D9-BB62BD4A361C}"/>
    <cellStyle name="Normal 8 3 2 2 6 3 3" xfId="24281" xr:uid="{71266FB5-FC0E-424C-BA1B-67680673E71C}"/>
    <cellStyle name="Normal 8 3 2 2 6 3 4" xfId="32721" xr:uid="{4D23C5E5-BE2C-482A-BE5D-36A6135C9068}"/>
    <cellStyle name="Normal 8 3 2 2 6 4" xfId="11623" xr:uid="{5065F738-8C38-45B6-B537-D334872E6C6A}"/>
    <cellStyle name="Normal 8 3 2 2 6 5" xfId="20064" xr:uid="{4E69D4C8-8E27-49A6-9F81-80FBF4229E47}"/>
    <cellStyle name="Normal 8 3 2 2 6 6" xfId="28504" xr:uid="{766E05C9-3CF7-4AA2-AFE7-822FD69FB994}"/>
    <cellStyle name="Normal 8 3 2 2 7" xfId="2644" xr:uid="{00000000-0005-0000-0000-0000571D0000}"/>
    <cellStyle name="Normal 8 3 2 2 7 2" xfId="6927" xr:uid="{00000000-0005-0000-0000-0000581D0000}"/>
    <cellStyle name="Normal 8 3 2 2 7 2 2" xfId="16253" xr:uid="{399804AB-0964-407A-89C8-849BDC36F4C6}"/>
    <cellStyle name="Normal 8 3 2 2 7 2 3" xfId="24694" xr:uid="{8191308B-B7F8-41D3-AF6E-D8A9BC2687EF}"/>
    <cellStyle name="Normal 8 3 2 2 7 2 4" xfId="33134" xr:uid="{53674879-4FF4-4229-94EF-C4BAC0850731}"/>
    <cellStyle name="Normal 8 3 2 2 7 3" xfId="12036" xr:uid="{9E860EA1-48D4-46AD-8E6B-04A17754CB2E}"/>
    <cellStyle name="Normal 8 3 2 2 7 4" xfId="20477" xr:uid="{C54FB5ED-8527-4FCC-AF53-3E6A85004140}"/>
    <cellStyle name="Normal 8 3 2 2 7 5" xfId="28917" xr:uid="{EC32FA57-8846-4D5D-B40E-5EC3BEF5DC5E}"/>
    <cellStyle name="Normal 8 3 2 2 8" xfId="4862" xr:uid="{00000000-0005-0000-0000-0000591D0000}"/>
    <cellStyle name="Normal 8 3 2 2 8 2" xfId="14188" xr:uid="{99DAFD5C-3706-41F5-A64E-DE01EEBD4CE4}"/>
    <cellStyle name="Normal 8 3 2 2 8 3" xfId="22629" xr:uid="{F77C5EA6-B419-4222-A236-8063EC7C5BFF}"/>
    <cellStyle name="Normal 8 3 2 2 8 4" xfId="31069" xr:uid="{C405D9FD-69C8-4B96-8EA9-23B2F3F35E74}"/>
    <cellStyle name="Normal 8 3 2 2 9" xfId="8940" xr:uid="{63944EF0-E10A-4406-A758-3BD135650136}"/>
    <cellStyle name="Normal 8 3 2 3" xfId="499" xr:uid="{00000000-0005-0000-0000-00005A1D0000}"/>
    <cellStyle name="Normal 8 3 2 3 10" xfId="18414" xr:uid="{3D4C3F57-F24E-46A5-877B-6E8C435DA15D}"/>
    <cellStyle name="Normal 8 3 2 3 11" xfId="26854" xr:uid="{94274D4F-AA71-4BFB-A758-A264FB156481}"/>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63BEA4B1-6D91-4B99-A9DE-A005C5C0968A}"/>
    <cellStyle name="Normal 8 3 2 3 2 2 2 3" xfId="25189" xr:uid="{A03B822D-0AD6-4872-AB92-EE4EFFDC7412}"/>
    <cellStyle name="Normal 8 3 2 3 2 2 2 4" xfId="33629" xr:uid="{E8E62B31-63BE-4802-8124-D8BBF0EF52DC}"/>
    <cellStyle name="Normal 8 3 2 3 2 2 3" xfId="12531" xr:uid="{FFE7DE27-13BF-450B-9568-AEB2965CF33B}"/>
    <cellStyle name="Normal 8 3 2 3 2 2 4" xfId="20972" xr:uid="{70AFDE49-8F0D-4C98-9870-39624FEE883B}"/>
    <cellStyle name="Normal 8 3 2 3 2 2 5" xfId="29412" xr:uid="{BFA9D56D-1578-432B-A5E4-0161B520125B}"/>
    <cellStyle name="Normal 8 3 2 3 2 3" xfId="5277" xr:uid="{00000000-0005-0000-0000-00005E1D0000}"/>
    <cellStyle name="Normal 8 3 2 3 2 3 2" xfId="14603" xr:uid="{428BE85A-3CF2-4034-A9BD-614E54C9C88B}"/>
    <cellStyle name="Normal 8 3 2 3 2 3 3" xfId="23044" xr:uid="{C7E5AA2C-51EA-47D5-86F8-46045DB91B40}"/>
    <cellStyle name="Normal 8 3 2 3 2 3 4" xfId="31484" xr:uid="{CCD1871A-3744-4A4E-954E-CF3D49311F0E}"/>
    <cellStyle name="Normal 8 3 2 3 2 4" xfId="9469" xr:uid="{7CA6C380-A6E9-4AF4-A29A-E40C8E9B5B5F}"/>
    <cellStyle name="Normal 8 3 2 3 2 5" xfId="10386" xr:uid="{3DC08F12-D834-4791-B98A-0C72AB8EE1B1}"/>
    <cellStyle name="Normal 8 3 2 3 2 6" xfId="18827" xr:uid="{0EE1875D-244F-4DE0-A364-462086CBBC42}"/>
    <cellStyle name="Normal 8 3 2 3 2 7" xfId="27267" xr:uid="{8B395684-C10E-421C-A5C3-B7F57F93B43D}"/>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3D4C1D9B-283F-46F6-8AAF-8147A6574D16}"/>
    <cellStyle name="Normal 8 3 2 3 3 2 2 3" xfId="25602" xr:uid="{03DCE1B3-160C-4877-B670-A0625703F45E}"/>
    <cellStyle name="Normal 8 3 2 3 3 2 2 4" xfId="34042" xr:uid="{BCB5CDC2-2987-407D-AC99-BAEBFB1E4E79}"/>
    <cellStyle name="Normal 8 3 2 3 3 2 3" xfId="12944" xr:uid="{5A8877B6-48B3-4F1E-8995-C1F53EF892B5}"/>
    <cellStyle name="Normal 8 3 2 3 3 2 4" xfId="21385" xr:uid="{F0C5AA8F-A3D7-4D45-9FD0-48F18FC0CD82}"/>
    <cellStyle name="Normal 8 3 2 3 3 2 5" xfId="29825" xr:uid="{7883B258-3BDF-4716-AA8F-DBAC90F6B637}"/>
    <cellStyle name="Normal 8 3 2 3 3 3" xfId="5690" xr:uid="{00000000-0005-0000-0000-0000621D0000}"/>
    <cellStyle name="Normal 8 3 2 3 3 3 2" xfId="15016" xr:uid="{E3C3141F-1B70-471A-9587-66F38416ECDD}"/>
    <cellStyle name="Normal 8 3 2 3 3 3 3" xfId="23457" xr:uid="{4C34D9EA-9839-4870-A835-8BAD371BD68B}"/>
    <cellStyle name="Normal 8 3 2 3 3 3 4" xfId="31897" xr:uid="{0EF9FC22-6A66-43EF-9F28-07B511B0324B}"/>
    <cellStyle name="Normal 8 3 2 3 3 4" xfId="10799" xr:uid="{4A016EBF-4AE4-48C6-894E-86242364A09D}"/>
    <cellStyle name="Normal 8 3 2 3 3 5" xfId="19240" xr:uid="{E23FE53F-D29B-46BC-B0DC-3E53851E8379}"/>
    <cellStyle name="Normal 8 3 2 3 3 6" xfId="27680" xr:uid="{35E40825-D3C4-4212-A098-9718A2E06F92}"/>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FDEA5D93-D8FA-43DC-B51C-6231BEAD7705}"/>
    <cellStyle name="Normal 8 3 2 3 4 2 2 3" xfId="26015" xr:uid="{39028EC2-EC7F-41F9-B1B0-890A8D21C8CB}"/>
    <cellStyle name="Normal 8 3 2 3 4 2 2 4" xfId="34455" xr:uid="{DB810DE8-ED9C-4126-A3CF-8CFB8D7FE54F}"/>
    <cellStyle name="Normal 8 3 2 3 4 2 3" xfId="13357" xr:uid="{816180E2-7C75-4BA8-B7EE-3CA1DE5C496F}"/>
    <cellStyle name="Normal 8 3 2 3 4 2 4" xfId="21798" xr:uid="{E982057C-CB94-44E9-B660-5FC115606AED}"/>
    <cellStyle name="Normal 8 3 2 3 4 2 5" xfId="30238" xr:uid="{F9514491-CDDF-478E-B566-D6670B2C661A}"/>
    <cellStyle name="Normal 8 3 2 3 4 3" xfId="6103" xr:uid="{00000000-0005-0000-0000-0000661D0000}"/>
    <cellStyle name="Normal 8 3 2 3 4 3 2" xfId="15429" xr:uid="{BC9749A9-8DF7-4C29-A08F-662E038673C3}"/>
    <cellStyle name="Normal 8 3 2 3 4 3 3" xfId="23870" xr:uid="{615BD6F6-1894-4A8B-8F31-280A4FD6A487}"/>
    <cellStyle name="Normal 8 3 2 3 4 3 4" xfId="32310" xr:uid="{0D0C7157-46B9-4F43-B41D-43A89811E25B}"/>
    <cellStyle name="Normal 8 3 2 3 4 4" xfId="11212" xr:uid="{3928ACC5-CB7D-43C2-A5B2-95728A636253}"/>
    <cellStyle name="Normal 8 3 2 3 4 5" xfId="19653" xr:uid="{3E7D70D0-DAAA-403F-8D6E-48554CD7E998}"/>
    <cellStyle name="Normal 8 3 2 3 4 6" xfId="28093" xr:uid="{3C783C07-2062-44F5-93BA-EB3A3FA3DB5A}"/>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5CF44206-1799-41E3-BBFC-2432BF17E603}"/>
    <cellStyle name="Normal 8 3 2 3 5 2 2 3" xfId="26428" xr:uid="{59FF8C03-D0F9-459B-8FFC-883A6F432154}"/>
    <cellStyle name="Normal 8 3 2 3 5 2 2 4" xfId="34868" xr:uid="{87AC9567-9529-48C0-840F-3DFA3477BAAD}"/>
    <cellStyle name="Normal 8 3 2 3 5 2 3" xfId="13770" xr:uid="{1FB8E3E2-5B87-485F-82B0-FD61CD42011C}"/>
    <cellStyle name="Normal 8 3 2 3 5 2 4" xfId="22211" xr:uid="{16C546A2-07CF-4A58-8303-AFDF0B3913A1}"/>
    <cellStyle name="Normal 8 3 2 3 5 2 5" xfId="30651" xr:uid="{DE6525A1-6BB7-4B34-8255-3D89B0E75FFF}"/>
    <cellStyle name="Normal 8 3 2 3 5 3" xfId="6516" xr:uid="{00000000-0005-0000-0000-00006A1D0000}"/>
    <cellStyle name="Normal 8 3 2 3 5 3 2" xfId="15842" xr:uid="{D3D94F9B-9E59-4947-BC08-A6A53E9AA243}"/>
    <cellStyle name="Normal 8 3 2 3 5 3 3" xfId="24283" xr:uid="{EDDB99A7-13F8-421F-8492-26C707B6CE12}"/>
    <cellStyle name="Normal 8 3 2 3 5 3 4" xfId="32723" xr:uid="{9E122F4A-3EF6-4C5C-A9CC-9B74CB10B419}"/>
    <cellStyle name="Normal 8 3 2 3 5 4" xfId="11625" xr:uid="{D0B43731-A2E5-4AD8-9540-D189323E4A2A}"/>
    <cellStyle name="Normal 8 3 2 3 5 5" xfId="20066" xr:uid="{C4D5D7BF-C4B8-4A62-B04D-8AF82D9960BD}"/>
    <cellStyle name="Normal 8 3 2 3 5 6" xfId="28506" xr:uid="{4A499385-2130-4832-A7E7-5740DAB2DD7A}"/>
    <cellStyle name="Normal 8 3 2 3 6" xfId="2646" xr:uid="{00000000-0005-0000-0000-00006B1D0000}"/>
    <cellStyle name="Normal 8 3 2 3 6 2" xfId="6929" xr:uid="{00000000-0005-0000-0000-00006C1D0000}"/>
    <cellStyle name="Normal 8 3 2 3 6 2 2" xfId="16255" xr:uid="{EB5657EC-9FAA-4C5B-9CAE-B9924A17419A}"/>
    <cellStyle name="Normal 8 3 2 3 6 2 3" xfId="24696" xr:uid="{A1F894F3-84D4-45F0-9398-246221F09100}"/>
    <cellStyle name="Normal 8 3 2 3 6 2 4" xfId="33136" xr:uid="{F83330D2-8F4E-4B4F-9C5A-1371630E1586}"/>
    <cellStyle name="Normal 8 3 2 3 6 3" xfId="12038" xr:uid="{9F464003-E25C-4270-9984-B320CBA22E8B}"/>
    <cellStyle name="Normal 8 3 2 3 6 4" xfId="20479" xr:uid="{A4EB0FA8-ACE4-446B-A5EA-3F618979DC78}"/>
    <cellStyle name="Normal 8 3 2 3 6 5" xfId="28919" xr:uid="{31137314-B2BA-4BD5-8D4C-2F976AD5D0E9}"/>
    <cellStyle name="Normal 8 3 2 3 7" xfId="4864" xr:uid="{00000000-0005-0000-0000-00006D1D0000}"/>
    <cellStyle name="Normal 8 3 2 3 7 2" xfId="14190" xr:uid="{83A88845-7E3A-44B1-B8A6-C03AC2F863DB}"/>
    <cellStyle name="Normal 8 3 2 3 7 3" xfId="22631" xr:uid="{64275884-1F88-4CE7-B730-39FA68249743}"/>
    <cellStyle name="Normal 8 3 2 3 7 4" xfId="31071" xr:uid="{C8F780F5-AB6F-4172-8795-1423C33EF3F7}"/>
    <cellStyle name="Normal 8 3 2 3 8" xfId="9044" xr:uid="{5ED49706-9CA9-4EE9-B01D-112CD1DB587C}"/>
    <cellStyle name="Normal 8 3 2 3 9" xfId="9973" xr:uid="{7598D768-E96C-461C-BBE5-2C1BC017A5FB}"/>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3FB82800-626E-448C-A426-FCCC33D72B06}"/>
    <cellStyle name="Normal 8 3 2 4 2 2 3" xfId="25186" xr:uid="{B3DD55C4-38BF-4D7C-BD1A-40C5CCCAFC62}"/>
    <cellStyle name="Normal 8 3 2 4 2 2 4" xfId="33626" xr:uid="{9AC49377-C85D-4C64-9FEA-C4F406F6765C}"/>
    <cellStyle name="Normal 8 3 2 4 2 3" xfId="12528" xr:uid="{A9A56EC7-7D65-42B1-98AA-AD27E09D8594}"/>
    <cellStyle name="Normal 8 3 2 4 2 4" xfId="20969" xr:uid="{1F8B4C52-C9C4-41D1-BB0B-22D788EAF605}"/>
    <cellStyle name="Normal 8 3 2 4 2 5" xfId="29409" xr:uid="{94CD1EDB-0352-4476-9600-E48A4D2B5B1D}"/>
    <cellStyle name="Normal 8 3 2 4 3" xfId="5274" xr:uid="{00000000-0005-0000-0000-0000711D0000}"/>
    <cellStyle name="Normal 8 3 2 4 3 2" xfId="14600" xr:uid="{7F1EAC73-D8A5-4098-9285-47BA86BD0237}"/>
    <cellStyle name="Normal 8 3 2 4 3 3" xfId="23041" xr:uid="{1FD412E8-DBB1-4757-8A99-ABCAB8D6D471}"/>
    <cellStyle name="Normal 8 3 2 4 3 4" xfId="31481" xr:uid="{C818B3FF-8DD5-48CA-AFF4-4CB387BAA14F}"/>
    <cellStyle name="Normal 8 3 2 4 4" xfId="9262" xr:uid="{8842595C-CD28-4B10-9BE6-37883B4C2AA9}"/>
    <cellStyle name="Normal 8 3 2 4 5" xfId="10383" xr:uid="{AFEBAC69-EC4E-4FF1-9D9C-9DEA357ADF9D}"/>
    <cellStyle name="Normal 8 3 2 4 6" xfId="18824" xr:uid="{5EFDE5DC-6CD6-4D49-A7D6-700927F0376D}"/>
    <cellStyle name="Normal 8 3 2 4 7" xfId="27264" xr:uid="{1EFF05D5-DCB8-4CC6-9F07-7833D05CA273}"/>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ACD0C2AF-4711-467B-B316-B105F171673D}"/>
    <cellStyle name="Normal 8 3 2 5 2 2 3" xfId="25599" xr:uid="{F402DBE6-5381-4025-B903-0D5D9D57203D}"/>
    <cellStyle name="Normal 8 3 2 5 2 2 4" xfId="34039" xr:uid="{3D747DD6-85E2-42DA-A7C1-A151F52F4555}"/>
    <cellStyle name="Normal 8 3 2 5 2 3" xfId="12941" xr:uid="{A0064F62-6C11-41E3-8EFB-9B0829C6441B}"/>
    <cellStyle name="Normal 8 3 2 5 2 4" xfId="21382" xr:uid="{109FE239-94B1-4B36-A8FB-4AF4226E802F}"/>
    <cellStyle name="Normal 8 3 2 5 2 5" xfId="29822" xr:uid="{67FED192-C45C-4519-9288-B64085B7A93D}"/>
    <cellStyle name="Normal 8 3 2 5 3" xfId="5687" xr:uid="{00000000-0005-0000-0000-0000751D0000}"/>
    <cellStyle name="Normal 8 3 2 5 3 2" xfId="15013" xr:uid="{9B8B155B-A7D5-4FC6-8508-2C7F821C57F3}"/>
    <cellStyle name="Normal 8 3 2 5 3 3" xfId="23454" xr:uid="{B3F39C58-26A8-4243-B2D1-99C244BA7C57}"/>
    <cellStyle name="Normal 8 3 2 5 3 4" xfId="31894" xr:uid="{B417C823-EF3C-49ED-91E4-EFEE4147E967}"/>
    <cellStyle name="Normal 8 3 2 5 4" xfId="10796" xr:uid="{D6F200B6-0919-4BDD-9683-9E2320C41676}"/>
    <cellStyle name="Normal 8 3 2 5 5" xfId="19237" xr:uid="{D4FDD8D7-61B2-49E7-A5BB-C5B012CE562E}"/>
    <cellStyle name="Normal 8 3 2 5 6" xfId="27677" xr:uid="{112E7F0D-9204-4F35-87A5-BBE850A8E5B0}"/>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93502615-1D7F-4D83-9E59-9A1E12E07E0C}"/>
    <cellStyle name="Normal 8 3 2 6 2 2 3" xfId="26012" xr:uid="{821D1760-7308-4F9C-95EF-12D3FDBC0C91}"/>
    <cellStyle name="Normal 8 3 2 6 2 2 4" xfId="34452" xr:uid="{EDD11397-E0D9-4F85-BE1A-29D313EA47E9}"/>
    <cellStyle name="Normal 8 3 2 6 2 3" xfId="13354" xr:uid="{7AB81E1A-AF5E-4522-A50E-FF6E2E107461}"/>
    <cellStyle name="Normal 8 3 2 6 2 4" xfId="21795" xr:uid="{395813BB-0341-4F57-B179-5D7BE00FA97B}"/>
    <cellStyle name="Normal 8 3 2 6 2 5" xfId="30235" xr:uid="{9E0D2233-4031-4CB5-8191-7C0AB874F965}"/>
    <cellStyle name="Normal 8 3 2 6 3" xfId="6100" xr:uid="{00000000-0005-0000-0000-0000791D0000}"/>
    <cellStyle name="Normal 8 3 2 6 3 2" xfId="15426" xr:uid="{B67C0DA6-E5B3-45C7-B245-3ED1A1302875}"/>
    <cellStyle name="Normal 8 3 2 6 3 3" xfId="23867" xr:uid="{C3DB3621-0A2A-435A-A41D-F5BA305777AF}"/>
    <cellStyle name="Normal 8 3 2 6 3 4" xfId="32307" xr:uid="{398BD16D-CD8F-40D1-8969-3C24B5C8412C}"/>
    <cellStyle name="Normal 8 3 2 6 4" xfId="11209" xr:uid="{83FA9E38-19D5-41CC-BBEE-24D5EE0C7D19}"/>
    <cellStyle name="Normal 8 3 2 6 5" xfId="19650" xr:uid="{37D08224-E76B-4528-86C6-CC405C9B8948}"/>
    <cellStyle name="Normal 8 3 2 6 6" xfId="28090" xr:uid="{173DF9AE-A1D5-4DBF-9638-C7126086B282}"/>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A301ABA8-C105-4F86-A5AA-E2CDED4732A6}"/>
    <cellStyle name="Normal 8 3 2 7 2 2 3" xfId="26425" xr:uid="{1CC3C6A6-751C-4486-B3F6-A7CC37B061D8}"/>
    <cellStyle name="Normal 8 3 2 7 2 2 4" xfId="34865" xr:uid="{C18AB26A-55A1-4A53-AB2C-8313C08E2F5E}"/>
    <cellStyle name="Normal 8 3 2 7 2 3" xfId="13767" xr:uid="{BF3554D0-028A-421C-A590-B1513CBD7D04}"/>
    <cellStyle name="Normal 8 3 2 7 2 4" xfId="22208" xr:uid="{4BCA65F6-6CDC-4362-9E02-B04AAE3790BC}"/>
    <cellStyle name="Normal 8 3 2 7 2 5" xfId="30648" xr:uid="{FD0547F8-6265-4F07-9057-789FF7E9F648}"/>
    <cellStyle name="Normal 8 3 2 7 3" xfId="6513" xr:uid="{00000000-0005-0000-0000-00007D1D0000}"/>
    <cellStyle name="Normal 8 3 2 7 3 2" xfId="15839" xr:uid="{6CE3B7A3-7291-407B-9F3A-818F23AB809B}"/>
    <cellStyle name="Normal 8 3 2 7 3 3" xfId="24280" xr:uid="{CED67E5C-A11C-44DE-8798-3FE49C50DA05}"/>
    <cellStyle name="Normal 8 3 2 7 3 4" xfId="32720" xr:uid="{95EA0ADD-5EFE-4548-8D0B-2360549317E5}"/>
    <cellStyle name="Normal 8 3 2 7 4" xfId="11622" xr:uid="{B78CACE5-0DDA-45DB-9005-84FC8D7D71D7}"/>
    <cellStyle name="Normal 8 3 2 7 5" xfId="20063" xr:uid="{4A3A4D59-03CC-4D50-90BB-A515BA5B0CA7}"/>
    <cellStyle name="Normal 8 3 2 7 6" xfId="28503" xr:uid="{2E4F6F0D-027D-4CEB-8714-C09C47C0E9CA}"/>
    <cellStyle name="Normal 8 3 2 8" xfId="2643" xr:uid="{00000000-0005-0000-0000-00007E1D0000}"/>
    <cellStyle name="Normal 8 3 2 8 2" xfId="6926" xr:uid="{00000000-0005-0000-0000-00007F1D0000}"/>
    <cellStyle name="Normal 8 3 2 8 2 2" xfId="16252" xr:uid="{151C5789-E107-4800-ACEE-4D36EFC67A22}"/>
    <cellStyle name="Normal 8 3 2 8 2 3" xfId="24693" xr:uid="{42000843-C0CC-4334-AF36-3721EF5FA569}"/>
    <cellStyle name="Normal 8 3 2 8 2 4" xfId="33133" xr:uid="{55359BBA-F606-4D6E-946B-E64DFBF21F59}"/>
    <cellStyle name="Normal 8 3 2 8 3" xfId="12035" xr:uid="{5CACF94E-917E-4808-88E1-B47D3B4667F8}"/>
    <cellStyle name="Normal 8 3 2 8 4" xfId="20476" xr:uid="{438EDA93-609B-4460-94C5-55884E8A1178}"/>
    <cellStyle name="Normal 8 3 2 8 5" xfId="28916" xr:uid="{889CFFF8-BD98-4408-B571-6B4B0FEACB18}"/>
    <cellStyle name="Normal 8 3 2 9" xfId="4861" xr:uid="{00000000-0005-0000-0000-0000801D0000}"/>
    <cellStyle name="Normal 8 3 2 9 2" xfId="14187" xr:uid="{6A627328-6537-4DC2-91CA-C9E80993A64C}"/>
    <cellStyle name="Normal 8 3 2 9 3" xfId="22628" xr:uid="{46478F7D-2D81-450D-B6D2-B447DEDA3BEE}"/>
    <cellStyle name="Normal 8 3 2 9 4" xfId="31068" xr:uid="{AAF8AC7A-D7F8-415F-8AF2-3CAD637147E0}"/>
    <cellStyle name="Normal 8 3 3" xfId="500" xr:uid="{00000000-0005-0000-0000-0000811D0000}"/>
    <cellStyle name="Normal 8 3 3 10" xfId="9974" xr:uid="{6735CF62-41AF-403F-A7EC-E67AEF831C44}"/>
    <cellStyle name="Normal 8 3 3 11" xfId="18415" xr:uid="{4066C6F7-C43A-4593-8148-2E6F0DC04239}"/>
    <cellStyle name="Normal 8 3 3 12" xfId="26855" xr:uid="{8626C5A8-DC87-46FC-B393-4C291CFBF604}"/>
    <cellStyle name="Normal 8 3 3 2" xfId="501" xr:uid="{00000000-0005-0000-0000-0000821D0000}"/>
    <cellStyle name="Normal 8 3 3 2 10" xfId="18416" xr:uid="{4E007766-0D70-4506-9A45-A981D1454F64}"/>
    <cellStyle name="Normal 8 3 3 2 11" xfId="26856" xr:uid="{4FF496EC-B535-4BB6-B3E7-306B9052BDD8}"/>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283C8E8F-9D71-437E-85B1-C698A8C24FF0}"/>
    <cellStyle name="Normal 8 3 3 2 2 2 2 3" xfId="25191" xr:uid="{7A1579AE-8856-4879-84E6-0AF02CACA270}"/>
    <cellStyle name="Normal 8 3 3 2 2 2 2 4" xfId="33631" xr:uid="{42EE7C4E-7459-4272-808A-02AA04E2F05A}"/>
    <cellStyle name="Normal 8 3 3 2 2 2 3" xfId="12533" xr:uid="{4D807E37-4944-454D-B363-2B30F988516D}"/>
    <cellStyle name="Normal 8 3 3 2 2 2 4" xfId="20974" xr:uid="{824D6D07-5438-4CE6-B26E-32F521D9507D}"/>
    <cellStyle name="Normal 8 3 3 2 2 2 5" xfId="29414" xr:uid="{4D8FA112-A81C-4B77-8FD0-AB4BAEDCEB8E}"/>
    <cellStyle name="Normal 8 3 3 2 2 3" xfId="5279" xr:uid="{00000000-0005-0000-0000-0000861D0000}"/>
    <cellStyle name="Normal 8 3 3 2 2 3 2" xfId="14605" xr:uid="{80DAF70F-0E4E-4360-ACF4-0B687B1F4136}"/>
    <cellStyle name="Normal 8 3 3 2 2 3 3" xfId="23046" xr:uid="{7B4C26A2-4585-40AE-AA41-1FDA60FC7AC0}"/>
    <cellStyle name="Normal 8 3 3 2 2 3 4" xfId="31486" xr:uid="{DBDD3210-3114-4669-B931-E32E1F03D14E}"/>
    <cellStyle name="Normal 8 3 3 2 2 4" xfId="9509" xr:uid="{3B4378D3-7C51-4B91-822B-758528BFF352}"/>
    <cellStyle name="Normal 8 3 3 2 2 5" xfId="10388" xr:uid="{C8BE8F90-C99C-40BF-8677-4BB57788A420}"/>
    <cellStyle name="Normal 8 3 3 2 2 6" xfId="18829" xr:uid="{FE1AD95D-D015-418D-8840-05BF05B5B0D3}"/>
    <cellStyle name="Normal 8 3 3 2 2 7" xfId="27269" xr:uid="{50683453-E05F-44B7-A757-B22CCD05F8BF}"/>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26243985-6E53-4AE6-B77A-0DDF485B41E8}"/>
    <cellStyle name="Normal 8 3 3 2 3 2 2 3" xfId="25604" xr:uid="{88F108EE-1F74-4E69-81CC-A5F6495D94D5}"/>
    <cellStyle name="Normal 8 3 3 2 3 2 2 4" xfId="34044" xr:uid="{CFAB5640-C77B-43A5-B171-EA2DDED028D6}"/>
    <cellStyle name="Normal 8 3 3 2 3 2 3" xfId="12946" xr:uid="{91D1576D-2A53-4140-87F2-2DA2DDB08E31}"/>
    <cellStyle name="Normal 8 3 3 2 3 2 4" xfId="21387" xr:uid="{D7FD93BE-FCD8-40E2-874D-821143CE60C9}"/>
    <cellStyle name="Normal 8 3 3 2 3 2 5" xfId="29827" xr:uid="{CA2B9FB2-DB00-4195-A059-9F1626B0DE17}"/>
    <cellStyle name="Normal 8 3 3 2 3 3" xfId="5692" xr:uid="{00000000-0005-0000-0000-00008A1D0000}"/>
    <cellStyle name="Normal 8 3 3 2 3 3 2" xfId="15018" xr:uid="{196D4B49-C15E-4BA1-A488-C75DA06C923A}"/>
    <cellStyle name="Normal 8 3 3 2 3 3 3" xfId="23459" xr:uid="{4B7A70EE-4C0B-4353-BF72-6AD930AE2F52}"/>
    <cellStyle name="Normal 8 3 3 2 3 3 4" xfId="31899" xr:uid="{BD4C7715-FD05-4184-BD15-AE0056333C51}"/>
    <cellStyle name="Normal 8 3 3 2 3 4" xfId="10801" xr:uid="{A05095D4-6FFA-4E42-BA33-FF51B1319E36}"/>
    <cellStyle name="Normal 8 3 3 2 3 5" xfId="19242" xr:uid="{1CB05C2D-129D-4CF8-9F31-2C9A9162AD34}"/>
    <cellStyle name="Normal 8 3 3 2 3 6" xfId="27682" xr:uid="{A08E2558-4B77-4C59-9CCA-2D94A72E2230}"/>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D8A6DFB2-448E-478F-A77E-7F3345C791D2}"/>
    <cellStyle name="Normal 8 3 3 2 4 2 2 3" xfId="26017" xr:uid="{CD7E3912-3986-48B1-A79E-76B4DD4D771A}"/>
    <cellStyle name="Normal 8 3 3 2 4 2 2 4" xfId="34457" xr:uid="{27E9E3C8-8642-4267-B570-0396F5DFFAD9}"/>
    <cellStyle name="Normal 8 3 3 2 4 2 3" xfId="13359" xr:uid="{9B1E0B9E-856C-41A9-A466-797AECB04D40}"/>
    <cellStyle name="Normal 8 3 3 2 4 2 4" xfId="21800" xr:uid="{8FA005EA-6ACB-49B8-A4F8-1F59E66634D1}"/>
    <cellStyle name="Normal 8 3 3 2 4 2 5" xfId="30240" xr:uid="{F88B9708-D841-4AE2-AF57-11DDB283D874}"/>
    <cellStyle name="Normal 8 3 3 2 4 3" xfId="6105" xr:uid="{00000000-0005-0000-0000-00008E1D0000}"/>
    <cellStyle name="Normal 8 3 3 2 4 3 2" xfId="15431" xr:uid="{FFCCAAC0-3376-4777-8E09-9824763D5189}"/>
    <cellStyle name="Normal 8 3 3 2 4 3 3" xfId="23872" xr:uid="{99C77E80-FED5-4539-BD00-EC26CDC6445B}"/>
    <cellStyle name="Normal 8 3 3 2 4 3 4" xfId="32312" xr:uid="{CAB1F4BD-24A3-4557-A1C9-38C692A7D093}"/>
    <cellStyle name="Normal 8 3 3 2 4 4" xfId="11214" xr:uid="{9FF7A511-8ABC-4B70-AF98-69A6DAA065E6}"/>
    <cellStyle name="Normal 8 3 3 2 4 5" xfId="19655" xr:uid="{BFB7B69D-9A2B-49B1-AF9B-17D06C36ECEF}"/>
    <cellStyle name="Normal 8 3 3 2 4 6" xfId="28095" xr:uid="{F71AB067-ABF9-483B-B4F1-3E4C7C715339}"/>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4A56445C-1B11-4E45-A4CD-666AEA4430FA}"/>
    <cellStyle name="Normal 8 3 3 2 5 2 2 3" xfId="26430" xr:uid="{5C48DCF4-196F-4EC7-A549-030ECC44593C}"/>
    <cellStyle name="Normal 8 3 3 2 5 2 2 4" xfId="34870" xr:uid="{1833AAD6-4CC9-47C8-B28D-B18A15563678}"/>
    <cellStyle name="Normal 8 3 3 2 5 2 3" xfId="13772" xr:uid="{B2B957F4-0CF4-4C8A-A76E-84C3E3D486BC}"/>
    <cellStyle name="Normal 8 3 3 2 5 2 4" xfId="22213" xr:uid="{936E83AF-2A31-45BA-9BAD-146E12D8EFC9}"/>
    <cellStyle name="Normal 8 3 3 2 5 2 5" xfId="30653" xr:uid="{6E330B06-F655-4536-940E-06DC5E5C495F}"/>
    <cellStyle name="Normal 8 3 3 2 5 3" xfId="6518" xr:uid="{00000000-0005-0000-0000-0000921D0000}"/>
    <cellStyle name="Normal 8 3 3 2 5 3 2" xfId="15844" xr:uid="{DEDEBE94-0EAD-4555-8E71-6F27C553EFFE}"/>
    <cellStyle name="Normal 8 3 3 2 5 3 3" xfId="24285" xr:uid="{6B8A5446-B104-4F38-9634-BC89D9E868F6}"/>
    <cellStyle name="Normal 8 3 3 2 5 3 4" xfId="32725" xr:uid="{397EA700-A2AD-49A7-A8DF-2FF158CA505E}"/>
    <cellStyle name="Normal 8 3 3 2 5 4" xfId="11627" xr:uid="{4A0B0D38-1183-4B01-852B-6089472279AA}"/>
    <cellStyle name="Normal 8 3 3 2 5 5" xfId="20068" xr:uid="{8314C75E-DBC6-40A6-99D1-B89FE8E26C6E}"/>
    <cellStyle name="Normal 8 3 3 2 5 6" xfId="28508" xr:uid="{3D434062-7804-4A71-93C1-33BDEE4A58FF}"/>
    <cellStyle name="Normal 8 3 3 2 6" xfId="2648" xr:uid="{00000000-0005-0000-0000-0000931D0000}"/>
    <cellStyle name="Normal 8 3 3 2 6 2" xfId="6931" xr:uid="{00000000-0005-0000-0000-0000941D0000}"/>
    <cellStyle name="Normal 8 3 3 2 6 2 2" xfId="16257" xr:uid="{2E2F8207-8D65-42B8-80D6-54DC36F020DA}"/>
    <cellStyle name="Normal 8 3 3 2 6 2 3" xfId="24698" xr:uid="{6DBD2081-CA46-45D1-A20B-D2670984D7FA}"/>
    <cellStyle name="Normal 8 3 3 2 6 2 4" xfId="33138" xr:uid="{D0DC4780-7B8E-4A69-8105-F5F18D3A1308}"/>
    <cellStyle name="Normal 8 3 3 2 6 3" xfId="12040" xr:uid="{E10B3506-9B92-46AD-8726-2A1146E6E295}"/>
    <cellStyle name="Normal 8 3 3 2 6 4" xfId="20481" xr:uid="{0C9F0501-3E61-4FAC-BC9A-DCB8B553F9D6}"/>
    <cellStyle name="Normal 8 3 3 2 6 5" xfId="28921" xr:uid="{52FB2ACB-D1D9-48D5-A9F2-80852B3C3821}"/>
    <cellStyle name="Normal 8 3 3 2 7" xfId="4866" xr:uid="{00000000-0005-0000-0000-0000951D0000}"/>
    <cellStyle name="Normal 8 3 3 2 7 2" xfId="14192" xr:uid="{833312BB-8F09-4702-B7D9-C6B17D6477B4}"/>
    <cellStyle name="Normal 8 3 3 2 7 3" xfId="22633" xr:uid="{59EBA80D-6CF9-47BF-B476-3377554EADB7}"/>
    <cellStyle name="Normal 8 3 3 2 7 4" xfId="31073" xr:uid="{C6E4FC0D-7B8D-4B05-A4B7-587C9FAB9EB6}"/>
    <cellStyle name="Normal 8 3 3 2 8" xfId="9084" xr:uid="{94243AB7-0454-4C95-8E94-054E46718167}"/>
    <cellStyle name="Normal 8 3 3 2 9" xfId="9975" xr:uid="{9645E170-EE34-4B36-95EE-481016577C57}"/>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0A6C84F0-F761-4CDE-B2D5-314077036D41}"/>
    <cellStyle name="Normal 8 3 3 3 2 2 3" xfId="25190" xr:uid="{4D6F3A12-5B67-4E00-AA43-412883A1C485}"/>
    <cellStyle name="Normal 8 3 3 3 2 2 4" xfId="33630" xr:uid="{FDFAD7D3-2FF9-463E-A332-576B9FF1FB8E}"/>
    <cellStyle name="Normal 8 3 3 3 2 3" xfId="12532" xr:uid="{DFFDDC59-D9E9-41D8-A7B6-478D4064EA76}"/>
    <cellStyle name="Normal 8 3 3 3 2 4" xfId="20973" xr:uid="{E6183018-3FB8-4DDD-9050-136FEA4F8E29}"/>
    <cellStyle name="Normal 8 3 3 3 2 5" xfId="29413" xr:uid="{386D2B3F-99A2-4BDB-97B5-90727F8B88A8}"/>
    <cellStyle name="Normal 8 3 3 3 3" xfId="5278" xr:uid="{00000000-0005-0000-0000-0000991D0000}"/>
    <cellStyle name="Normal 8 3 3 3 3 2" xfId="14604" xr:uid="{91D6882E-91ED-4FB6-8921-F5E8D1BA3F5E}"/>
    <cellStyle name="Normal 8 3 3 3 3 3" xfId="23045" xr:uid="{E76A9A51-5416-4A0C-A496-56D96E6B9FF7}"/>
    <cellStyle name="Normal 8 3 3 3 3 4" xfId="31485" xr:uid="{A973501E-CAED-4B2B-88D0-ABD53C4E2609}"/>
    <cellStyle name="Normal 8 3 3 3 4" xfId="9302" xr:uid="{3985B908-2B56-4F9B-BEA3-8962926FD004}"/>
    <cellStyle name="Normal 8 3 3 3 5" xfId="10387" xr:uid="{0D8EA933-D4CF-4410-A150-CE80488A2E12}"/>
    <cellStyle name="Normal 8 3 3 3 6" xfId="18828" xr:uid="{907EFD2E-AF29-41A3-881A-7BAFF624A842}"/>
    <cellStyle name="Normal 8 3 3 3 7" xfId="27268" xr:uid="{8695AB4A-BE55-4D36-9FD1-19CB6742CAE5}"/>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800834AE-ADCA-428D-B525-7E770270C8EF}"/>
    <cellStyle name="Normal 8 3 3 4 2 2 3" xfId="25603" xr:uid="{7318071E-525E-4A25-8B0B-31415A268275}"/>
    <cellStyle name="Normal 8 3 3 4 2 2 4" xfId="34043" xr:uid="{31C63118-037D-4C3E-99FD-EED4017220CC}"/>
    <cellStyle name="Normal 8 3 3 4 2 3" xfId="12945" xr:uid="{14F938A3-45E3-4159-AACD-541CF03D3711}"/>
    <cellStyle name="Normal 8 3 3 4 2 4" xfId="21386" xr:uid="{DE3E5389-24AC-40A1-9093-BD4382FC924F}"/>
    <cellStyle name="Normal 8 3 3 4 2 5" xfId="29826" xr:uid="{F0ADA0AA-FFBA-4647-B325-1ABCD386C1C3}"/>
    <cellStyle name="Normal 8 3 3 4 3" xfId="5691" xr:uid="{00000000-0005-0000-0000-00009D1D0000}"/>
    <cellStyle name="Normal 8 3 3 4 3 2" xfId="15017" xr:uid="{403187F7-507B-47A7-AA5E-A0400D48F80B}"/>
    <cellStyle name="Normal 8 3 3 4 3 3" xfId="23458" xr:uid="{C21B1C29-033E-4D8C-8645-3FEDE852BC01}"/>
    <cellStyle name="Normal 8 3 3 4 3 4" xfId="31898" xr:uid="{088B37A6-9F31-4237-8E43-D5481ABB7EF0}"/>
    <cellStyle name="Normal 8 3 3 4 4" xfId="10800" xr:uid="{1978CBE5-1094-4EE9-BE42-49A4C8F8C277}"/>
    <cellStyle name="Normal 8 3 3 4 5" xfId="19241" xr:uid="{331F112F-C6AF-46AE-B279-B615A90C8BA9}"/>
    <cellStyle name="Normal 8 3 3 4 6" xfId="27681" xr:uid="{7A5903EA-9921-44B6-9C10-108C353A2C54}"/>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FB78C4D3-E5F5-4E5F-8887-1BA44C07207C}"/>
    <cellStyle name="Normal 8 3 3 5 2 2 3" xfId="26016" xr:uid="{834E2AA9-4C40-4F6F-A075-678C9D993E1D}"/>
    <cellStyle name="Normal 8 3 3 5 2 2 4" xfId="34456" xr:uid="{E1382B89-3EE7-44C9-8BE3-1CCDFEEF459A}"/>
    <cellStyle name="Normal 8 3 3 5 2 3" xfId="13358" xr:uid="{D3920F1A-4039-440F-B77D-15663C073BB3}"/>
    <cellStyle name="Normal 8 3 3 5 2 4" xfId="21799" xr:uid="{D16EBEE3-75EF-4444-8C61-0505879A0E29}"/>
    <cellStyle name="Normal 8 3 3 5 2 5" xfId="30239" xr:uid="{3F1BC213-F693-4FD2-9A88-3EC66E271A8E}"/>
    <cellStyle name="Normal 8 3 3 5 3" xfId="6104" xr:uid="{00000000-0005-0000-0000-0000A11D0000}"/>
    <cellStyle name="Normal 8 3 3 5 3 2" xfId="15430" xr:uid="{B126DE53-69F6-4E10-BED8-D9286395760B}"/>
    <cellStyle name="Normal 8 3 3 5 3 3" xfId="23871" xr:uid="{952CFB90-11A1-45BE-8E56-26DEE2DCDB26}"/>
    <cellStyle name="Normal 8 3 3 5 3 4" xfId="32311" xr:uid="{333793C4-E6C2-4FAF-8376-5BF1E9433EE5}"/>
    <cellStyle name="Normal 8 3 3 5 4" xfId="11213" xr:uid="{3E3BFDF5-2016-49A6-A418-913322D36141}"/>
    <cellStyle name="Normal 8 3 3 5 5" xfId="19654" xr:uid="{58FB5233-57F1-4B80-A135-9FD75DE80320}"/>
    <cellStyle name="Normal 8 3 3 5 6" xfId="28094" xr:uid="{D37E2816-63B8-4E2B-B8DD-79E750435FF0}"/>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170C2E1E-9E03-496E-8334-EBD6D4897B0F}"/>
    <cellStyle name="Normal 8 3 3 6 2 2 3" xfId="26429" xr:uid="{2604B954-79AD-4118-993C-D9937586DA27}"/>
    <cellStyle name="Normal 8 3 3 6 2 2 4" xfId="34869" xr:uid="{FD1BA35F-5273-41EC-A8EC-FB375B977B63}"/>
    <cellStyle name="Normal 8 3 3 6 2 3" xfId="13771" xr:uid="{BC0F0136-B8D9-4FE8-8DED-5B6EE0D3F565}"/>
    <cellStyle name="Normal 8 3 3 6 2 4" xfId="22212" xr:uid="{8280B195-39A0-4502-905F-6E03A739723F}"/>
    <cellStyle name="Normal 8 3 3 6 2 5" xfId="30652" xr:uid="{DC9453D9-5AAE-4B0E-BF93-22939942C34C}"/>
    <cellStyle name="Normal 8 3 3 6 3" xfId="6517" xr:uid="{00000000-0005-0000-0000-0000A51D0000}"/>
    <cellStyle name="Normal 8 3 3 6 3 2" xfId="15843" xr:uid="{3B1E4B3D-1582-42BA-A85B-A10E2D1FB78C}"/>
    <cellStyle name="Normal 8 3 3 6 3 3" xfId="24284" xr:uid="{2C8DB239-BEEF-478A-B084-A304A1B01B2A}"/>
    <cellStyle name="Normal 8 3 3 6 3 4" xfId="32724" xr:uid="{C911D6A9-8D59-4DCE-A917-56204119A560}"/>
    <cellStyle name="Normal 8 3 3 6 4" xfId="11626" xr:uid="{1E9E5639-A233-4311-8CC9-B8F234AC38B1}"/>
    <cellStyle name="Normal 8 3 3 6 5" xfId="20067" xr:uid="{9D6F775D-E871-4996-915D-38BB0CF74376}"/>
    <cellStyle name="Normal 8 3 3 6 6" xfId="28507" xr:uid="{B2E1AD3B-6C36-49C3-A666-D360B78779EE}"/>
    <cellStyle name="Normal 8 3 3 7" xfId="2647" xr:uid="{00000000-0005-0000-0000-0000A61D0000}"/>
    <cellStyle name="Normal 8 3 3 7 2" xfId="6930" xr:uid="{00000000-0005-0000-0000-0000A71D0000}"/>
    <cellStyle name="Normal 8 3 3 7 2 2" xfId="16256" xr:uid="{1F071CA9-13C7-4CF8-8DF7-F2948AFAE180}"/>
    <cellStyle name="Normal 8 3 3 7 2 3" xfId="24697" xr:uid="{BF30F865-FDCA-485B-B799-0B3614DDA11F}"/>
    <cellStyle name="Normal 8 3 3 7 2 4" xfId="33137" xr:uid="{7868A6D6-5DB5-4339-B5FA-E05DED78DC70}"/>
    <cellStyle name="Normal 8 3 3 7 3" xfId="12039" xr:uid="{25DA5A80-78BC-4948-BEF6-529B11F08714}"/>
    <cellStyle name="Normal 8 3 3 7 4" xfId="20480" xr:uid="{DFE15DF9-5C48-4252-9E74-7857902C411E}"/>
    <cellStyle name="Normal 8 3 3 7 5" xfId="28920" xr:uid="{FA09597F-D709-438A-9845-1912D85B401B}"/>
    <cellStyle name="Normal 8 3 3 8" xfId="4865" xr:uid="{00000000-0005-0000-0000-0000A81D0000}"/>
    <cellStyle name="Normal 8 3 3 8 2" xfId="14191" xr:uid="{F4B6283D-1CAD-4FA7-A154-184B197B5A06}"/>
    <cellStyle name="Normal 8 3 3 8 3" xfId="22632" xr:uid="{C9C4A9CC-0023-441D-9BC5-4D7ACEB93639}"/>
    <cellStyle name="Normal 8 3 3 8 4" xfId="31072" xr:uid="{9854F6B9-F407-4C76-9D9F-48B3A3F775E3}"/>
    <cellStyle name="Normal 8 3 3 9" xfId="8877" xr:uid="{4F8231E3-800E-43E7-B1B6-9633EBFFFFE1}"/>
    <cellStyle name="Normal 8 3 4" xfId="502" xr:uid="{00000000-0005-0000-0000-0000A91D0000}"/>
    <cellStyle name="Normal 8 3 4 10" xfId="18417" xr:uid="{02E800E8-EC32-4479-874E-F141B92704AB}"/>
    <cellStyle name="Normal 8 3 4 11" xfId="26857" xr:uid="{268F0A62-DD76-43AE-8465-69BDB73BCBCD}"/>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35A2F8D6-CEA7-4DD6-9BBA-61D504FA2944}"/>
    <cellStyle name="Normal 8 3 4 2 2 2 3" xfId="25192" xr:uid="{B3040F16-A849-49F4-B916-A75C2F0A62DC}"/>
    <cellStyle name="Normal 8 3 4 2 2 2 4" xfId="33632" xr:uid="{EC58C825-2DAF-4B22-AC9D-5D2448389C4B}"/>
    <cellStyle name="Normal 8 3 4 2 2 3" xfId="12534" xr:uid="{75D3EA1D-4EA2-4331-B722-10C8FC64A353}"/>
    <cellStyle name="Normal 8 3 4 2 2 4" xfId="20975" xr:uid="{AC98306D-9133-4879-BFCF-7D6CA3E04CA4}"/>
    <cellStyle name="Normal 8 3 4 2 2 5" xfId="29415" xr:uid="{DEB62BB9-E86E-4CB6-BE26-327CF16FAF1B}"/>
    <cellStyle name="Normal 8 3 4 2 3" xfId="5280" xr:uid="{00000000-0005-0000-0000-0000AD1D0000}"/>
    <cellStyle name="Normal 8 3 4 2 3 2" xfId="14606" xr:uid="{2D97261E-8EEB-46ED-81E2-4EC0811A19EA}"/>
    <cellStyle name="Normal 8 3 4 2 3 3" xfId="23047" xr:uid="{778B69F1-8B99-4889-BADE-9AD7411ED8CD}"/>
    <cellStyle name="Normal 8 3 4 2 3 4" xfId="31487" xr:uid="{56EFFAB0-BC2F-4727-94B0-B7403906DE0E}"/>
    <cellStyle name="Normal 8 3 4 2 4" xfId="9406" xr:uid="{8751BE45-E47B-4A0A-B0DE-04C14FAEA88D}"/>
    <cellStyle name="Normal 8 3 4 2 5" xfId="10389" xr:uid="{A0F2FE1D-BCBE-4049-B79A-FEBCE5A9549C}"/>
    <cellStyle name="Normal 8 3 4 2 6" xfId="18830" xr:uid="{3C9E33C0-ABAF-4745-AC52-BBB8D42B8DBB}"/>
    <cellStyle name="Normal 8 3 4 2 7" xfId="27270" xr:uid="{F839C622-F764-4918-A532-338CDA8436B6}"/>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6228A0A8-E927-4C07-80CE-6DCBDC343412}"/>
    <cellStyle name="Normal 8 3 4 3 2 2 3" xfId="25605" xr:uid="{443F6F0B-3ED6-4BBD-8FF7-FEA1E7E7C7A3}"/>
    <cellStyle name="Normal 8 3 4 3 2 2 4" xfId="34045" xr:uid="{BDE7EDFA-D0C9-4CA6-8243-B019F8F5E4E8}"/>
    <cellStyle name="Normal 8 3 4 3 2 3" xfId="12947" xr:uid="{E857FE0F-4A46-4A1E-8429-AC4B1C17A723}"/>
    <cellStyle name="Normal 8 3 4 3 2 4" xfId="21388" xr:uid="{0CDF3AE9-23D4-4BCA-AD25-9E215B3971FF}"/>
    <cellStyle name="Normal 8 3 4 3 2 5" xfId="29828" xr:uid="{8202F0A2-7832-4847-B41F-48FA5C300EBB}"/>
    <cellStyle name="Normal 8 3 4 3 3" xfId="5693" xr:uid="{00000000-0005-0000-0000-0000B11D0000}"/>
    <cellStyle name="Normal 8 3 4 3 3 2" xfId="15019" xr:uid="{BD92D0F8-D8F8-4AA7-88CD-A8DA4AFAAFC9}"/>
    <cellStyle name="Normal 8 3 4 3 3 3" xfId="23460" xr:uid="{D95E3492-31C4-4FF6-8F0C-69A3A9EBCC7C}"/>
    <cellStyle name="Normal 8 3 4 3 3 4" xfId="31900" xr:uid="{C35E6962-38D5-46FE-8324-A9FB15270C98}"/>
    <cellStyle name="Normal 8 3 4 3 4" xfId="10802" xr:uid="{3A6D6C12-6F62-4B0D-8C60-CDCE50B0AD90}"/>
    <cellStyle name="Normal 8 3 4 3 5" xfId="19243" xr:uid="{BB0D14D2-F330-4FAA-8E43-F9045B3E2626}"/>
    <cellStyle name="Normal 8 3 4 3 6" xfId="27683" xr:uid="{D6F59E64-0938-4CB6-AEC4-902BD20EEF3F}"/>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3A315EDE-CDAD-4B10-8F0A-E4A667B40AD7}"/>
    <cellStyle name="Normal 8 3 4 4 2 2 3" xfId="26018" xr:uid="{4B2D5A4F-36E4-4E32-8715-355345ECE6D8}"/>
    <cellStyle name="Normal 8 3 4 4 2 2 4" xfId="34458" xr:uid="{67726E9B-8694-4F31-A953-D33CE71F4159}"/>
    <cellStyle name="Normal 8 3 4 4 2 3" xfId="13360" xr:uid="{9EF664FA-2879-4A0D-94C5-9DB3FEBCF67B}"/>
    <cellStyle name="Normal 8 3 4 4 2 4" xfId="21801" xr:uid="{71C13E6C-272A-4FCE-A791-2F930F99A50A}"/>
    <cellStyle name="Normal 8 3 4 4 2 5" xfId="30241" xr:uid="{A38D1F19-464E-4E7F-A930-D06391C0EB4A}"/>
    <cellStyle name="Normal 8 3 4 4 3" xfId="6106" xr:uid="{00000000-0005-0000-0000-0000B51D0000}"/>
    <cellStyle name="Normal 8 3 4 4 3 2" xfId="15432" xr:uid="{0154E020-FA2E-4635-8A6F-EF02ED4C6808}"/>
    <cellStyle name="Normal 8 3 4 4 3 3" xfId="23873" xr:uid="{FBBDBBA0-C76E-43FD-B44A-CCB2BA461E30}"/>
    <cellStyle name="Normal 8 3 4 4 3 4" xfId="32313" xr:uid="{6B191934-06D9-426B-9B86-86D4E47FA4FC}"/>
    <cellStyle name="Normal 8 3 4 4 4" xfId="11215" xr:uid="{358452A4-0262-4755-8D6C-21ACDA20E245}"/>
    <cellStyle name="Normal 8 3 4 4 5" xfId="19656" xr:uid="{66A7D69E-7CF2-464F-B9B7-690D69EED4C4}"/>
    <cellStyle name="Normal 8 3 4 4 6" xfId="28096" xr:uid="{34FF11B6-2B02-4D38-8E6E-BCC7D880C895}"/>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58044E0E-DE11-46C8-B27F-ADFC56642B5A}"/>
    <cellStyle name="Normal 8 3 4 5 2 2 3" xfId="26431" xr:uid="{BD1A86F0-0A47-41CE-ADBD-8E49031AE01F}"/>
    <cellStyle name="Normal 8 3 4 5 2 2 4" xfId="34871" xr:uid="{D2C415F5-867A-4896-ADCA-3974E6FEE6DD}"/>
    <cellStyle name="Normal 8 3 4 5 2 3" xfId="13773" xr:uid="{8FCE0C95-7554-486C-8196-418D08D55F13}"/>
    <cellStyle name="Normal 8 3 4 5 2 4" xfId="22214" xr:uid="{B6BB0A34-030A-4EE5-9A26-B642BF892C1C}"/>
    <cellStyle name="Normal 8 3 4 5 2 5" xfId="30654" xr:uid="{D869333A-6E07-4663-8CE9-781FBB1C7B7D}"/>
    <cellStyle name="Normal 8 3 4 5 3" xfId="6519" xr:uid="{00000000-0005-0000-0000-0000B91D0000}"/>
    <cellStyle name="Normal 8 3 4 5 3 2" xfId="15845" xr:uid="{FA5A1979-0E7E-4E5A-80A0-6A2DD276769D}"/>
    <cellStyle name="Normal 8 3 4 5 3 3" xfId="24286" xr:uid="{E6B664F4-4AF2-45AC-831F-5C044C01C6B6}"/>
    <cellStyle name="Normal 8 3 4 5 3 4" xfId="32726" xr:uid="{BDFAA3C3-8BE5-4A76-BDB8-C34174BEB482}"/>
    <cellStyle name="Normal 8 3 4 5 4" xfId="11628" xr:uid="{90132E05-6EA0-449B-819C-42F4591880CA}"/>
    <cellStyle name="Normal 8 3 4 5 5" xfId="20069" xr:uid="{5D12D39C-55D3-4B60-A188-BEB5E28E70D6}"/>
    <cellStyle name="Normal 8 3 4 5 6" xfId="28509" xr:uid="{F918EC65-16DB-45FE-A5C5-DE0FEDD22FAD}"/>
    <cellStyle name="Normal 8 3 4 6" xfId="2649" xr:uid="{00000000-0005-0000-0000-0000BA1D0000}"/>
    <cellStyle name="Normal 8 3 4 6 2" xfId="6932" xr:uid="{00000000-0005-0000-0000-0000BB1D0000}"/>
    <cellStyle name="Normal 8 3 4 6 2 2" xfId="16258" xr:uid="{59D93AB0-197F-45B2-803D-B5BA27252F57}"/>
    <cellStyle name="Normal 8 3 4 6 2 3" xfId="24699" xr:uid="{BD90A6C9-560F-4E8D-894B-70926EC0B886}"/>
    <cellStyle name="Normal 8 3 4 6 2 4" xfId="33139" xr:uid="{DC55F5EC-F910-41E3-9891-25E0D74FF7E5}"/>
    <cellStyle name="Normal 8 3 4 6 3" xfId="12041" xr:uid="{4B468C68-FFB3-4278-BF94-82401B03566F}"/>
    <cellStyle name="Normal 8 3 4 6 4" xfId="20482" xr:uid="{68E1EE97-C115-469E-B375-B8C8BD204846}"/>
    <cellStyle name="Normal 8 3 4 6 5" xfId="28922" xr:uid="{73FCDC79-A597-417A-A1DF-1787A3295304}"/>
    <cellStyle name="Normal 8 3 4 7" xfId="4867" xr:uid="{00000000-0005-0000-0000-0000BC1D0000}"/>
    <cellStyle name="Normal 8 3 4 7 2" xfId="14193" xr:uid="{1C88CAAD-4088-4727-9FE5-9415AE318C74}"/>
    <cellStyle name="Normal 8 3 4 7 3" xfId="22634" xr:uid="{238D8F15-588D-4400-BB05-B8829493750F}"/>
    <cellStyle name="Normal 8 3 4 7 4" xfId="31074" xr:uid="{3F39801D-DE4B-4FE8-A3A5-8DB1C5A476C3}"/>
    <cellStyle name="Normal 8 3 4 8" xfId="8981" xr:uid="{BEE184E9-ECE6-4107-B29A-CC8BC7F28FA3}"/>
    <cellStyle name="Normal 8 3 4 9" xfId="9976" xr:uid="{870EE603-E828-4CED-AE20-CB143233A45D}"/>
    <cellStyle name="Normal 8 3 5" xfId="962" xr:uid="{00000000-0005-0000-0000-0000BD1D0000}"/>
    <cellStyle name="Normal 8 3 5 2" xfId="3196" xr:uid="{00000000-0005-0000-0000-0000BE1D0000}"/>
    <cellStyle name="Normal 8 3 5 2 2" xfId="7418" xr:uid="{00000000-0005-0000-0000-0000BF1D0000}"/>
    <cellStyle name="Normal 8 3 5 2 2 2" xfId="16744" xr:uid="{7740FAFB-D938-4009-8503-34797EA9A60D}"/>
    <cellStyle name="Normal 8 3 5 2 2 3" xfId="25185" xr:uid="{F45AE259-26C5-45EF-90F2-7E57ADB15044}"/>
    <cellStyle name="Normal 8 3 5 2 2 4" xfId="33625" xr:uid="{48413D53-2A9C-4E4D-A484-11E749E39769}"/>
    <cellStyle name="Normal 8 3 5 2 3" xfId="12527" xr:uid="{4338DF66-5DA8-4456-AF94-8782A75A77C6}"/>
    <cellStyle name="Normal 8 3 5 2 4" xfId="20968" xr:uid="{62569224-0FD4-4E31-82D2-291DDA802684}"/>
    <cellStyle name="Normal 8 3 5 2 5" xfId="29408" xr:uid="{B753E0C7-4395-46E8-8742-78F432CA7FEC}"/>
    <cellStyle name="Normal 8 3 5 3" xfId="5273" xr:uid="{00000000-0005-0000-0000-0000C01D0000}"/>
    <cellStyle name="Normal 8 3 5 3 2" xfId="14599" xr:uid="{62D970AE-95A1-44FF-B560-28AADD90F09D}"/>
    <cellStyle name="Normal 8 3 5 3 3" xfId="23040" xr:uid="{DB76B6E8-A9BC-4E39-8CBC-1250C3B582F7}"/>
    <cellStyle name="Normal 8 3 5 3 4" xfId="31480" xr:uid="{CA072E67-4DA3-4A24-9BA5-F6E1128F2421}"/>
    <cellStyle name="Normal 8 3 5 4" xfId="9198" xr:uid="{FA5A5C79-C3AC-4E17-9344-90C4E411EE0B}"/>
    <cellStyle name="Normal 8 3 5 5" xfId="10382" xr:uid="{B6172E7F-1F85-4AA7-A850-54C43E04BCBD}"/>
    <cellStyle name="Normal 8 3 5 6" xfId="18823" xr:uid="{BDF1A4FE-E78C-4C11-AFF0-665275A09382}"/>
    <cellStyle name="Normal 8 3 5 7" xfId="27263" xr:uid="{F138661C-2DDB-4E0F-ABA5-EC2D9987E01F}"/>
    <cellStyle name="Normal 8 3 6" xfId="1379" xr:uid="{00000000-0005-0000-0000-0000C11D0000}"/>
    <cellStyle name="Normal 8 3 6 2" xfId="3609" xr:uid="{00000000-0005-0000-0000-0000C21D0000}"/>
    <cellStyle name="Normal 8 3 6 2 2" xfId="7831" xr:uid="{00000000-0005-0000-0000-0000C31D0000}"/>
    <cellStyle name="Normal 8 3 6 2 2 2" xfId="17157" xr:uid="{18A93C18-13B6-4C6F-8625-99A8444A7210}"/>
    <cellStyle name="Normal 8 3 6 2 2 3" xfId="25598" xr:uid="{25F779F3-1039-4C14-AB7E-32DC9EFF9D1B}"/>
    <cellStyle name="Normal 8 3 6 2 2 4" xfId="34038" xr:uid="{6C0AC57D-B770-4DCF-A9F8-C566CCE13313}"/>
    <cellStyle name="Normal 8 3 6 2 3" xfId="12940" xr:uid="{DB6A9F45-B26E-4B76-A29E-C67D7C350CE1}"/>
    <cellStyle name="Normal 8 3 6 2 4" xfId="21381" xr:uid="{4EF07C25-7F05-434E-8C5B-D2D9FE11398C}"/>
    <cellStyle name="Normal 8 3 6 2 5" xfId="29821" xr:uid="{6D5F48C7-BCEA-4CEE-8DD4-AC2936C798B1}"/>
    <cellStyle name="Normal 8 3 6 3" xfId="5686" xr:uid="{00000000-0005-0000-0000-0000C41D0000}"/>
    <cellStyle name="Normal 8 3 6 3 2" xfId="15012" xr:uid="{5FB5DDA2-BD6A-46E7-8D3D-2E319EA302A9}"/>
    <cellStyle name="Normal 8 3 6 3 3" xfId="23453" xr:uid="{DB601393-C972-470B-A604-C18781CE9414}"/>
    <cellStyle name="Normal 8 3 6 3 4" xfId="31893" xr:uid="{B2985D93-4FFC-4989-8A3A-4CF2A34D1B09}"/>
    <cellStyle name="Normal 8 3 6 4" xfId="10795" xr:uid="{96A14C9D-D2B0-453C-B4B4-DA03CC022714}"/>
    <cellStyle name="Normal 8 3 6 5" xfId="19236" xr:uid="{766BB24A-DF56-40BF-A818-B8A86E051C01}"/>
    <cellStyle name="Normal 8 3 6 6" xfId="27676" xr:uid="{2A494E5C-80A0-40F0-BFBA-BAEAB8B7040E}"/>
    <cellStyle name="Normal 8 3 7" xfId="1792" xr:uid="{00000000-0005-0000-0000-0000C51D0000}"/>
    <cellStyle name="Normal 8 3 7 2" xfId="4022" xr:uid="{00000000-0005-0000-0000-0000C61D0000}"/>
    <cellStyle name="Normal 8 3 7 2 2" xfId="8244" xr:uid="{00000000-0005-0000-0000-0000C71D0000}"/>
    <cellStyle name="Normal 8 3 7 2 2 2" xfId="17570" xr:uid="{FBF5865E-9FF8-43FE-8B8D-20977A6A909A}"/>
    <cellStyle name="Normal 8 3 7 2 2 3" xfId="26011" xr:uid="{7C6B6FB7-E9D1-4942-9639-A83CA5C6C9C3}"/>
    <cellStyle name="Normal 8 3 7 2 2 4" xfId="34451" xr:uid="{AC594732-2601-46B5-91B4-FD70C99F594D}"/>
    <cellStyle name="Normal 8 3 7 2 3" xfId="13353" xr:uid="{EA723A7E-1155-4FAB-84B2-AF22A3848E12}"/>
    <cellStyle name="Normal 8 3 7 2 4" xfId="21794" xr:uid="{857472DE-0781-4DC5-9FF9-AF945A2B4D84}"/>
    <cellStyle name="Normal 8 3 7 2 5" xfId="30234" xr:uid="{066CE930-20F3-47EF-A687-AD84161775C7}"/>
    <cellStyle name="Normal 8 3 7 3" xfId="6099" xr:uid="{00000000-0005-0000-0000-0000C81D0000}"/>
    <cellStyle name="Normal 8 3 7 3 2" xfId="15425" xr:uid="{FC7460AF-103B-433C-ADFF-FD90A8C8AA17}"/>
    <cellStyle name="Normal 8 3 7 3 3" xfId="23866" xr:uid="{77BC1D3A-2903-46C5-8F38-DCF8B5376F23}"/>
    <cellStyle name="Normal 8 3 7 3 4" xfId="32306" xr:uid="{11D34A55-9225-4FC5-AB93-6DA8C7D3F578}"/>
    <cellStyle name="Normal 8 3 7 4" xfId="11208" xr:uid="{C64DC9EB-887C-4A41-A3C4-13A3C6BFA03C}"/>
    <cellStyle name="Normal 8 3 7 5" xfId="19649" xr:uid="{A78DFCE7-6655-4ECC-8C8C-94E005EF1D6D}"/>
    <cellStyle name="Normal 8 3 7 6" xfId="28089" xr:uid="{F687C409-FCF5-41A2-8A53-94D8F849500F}"/>
    <cellStyle name="Normal 8 3 8" xfId="2206" xr:uid="{00000000-0005-0000-0000-0000C91D0000}"/>
    <cellStyle name="Normal 8 3 8 2" xfId="4435" xr:uid="{00000000-0005-0000-0000-0000CA1D0000}"/>
    <cellStyle name="Normal 8 3 8 2 2" xfId="8657" xr:uid="{00000000-0005-0000-0000-0000CB1D0000}"/>
    <cellStyle name="Normal 8 3 8 2 2 2" xfId="17983" xr:uid="{64AEA315-8A6A-4D0F-BD56-A5DD616565D4}"/>
    <cellStyle name="Normal 8 3 8 2 2 3" xfId="26424" xr:uid="{0C11A092-61A1-4B43-8963-C67EAF86851F}"/>
    <cellStyle name="Normal 8 3 8 2 2 4" xfId="34864" xr:uid="{F1CC6D3A-B25F-42EC-A7ED-0E5940EAD23A}"/>
    <cellStyle name="Normal 8 3 8 2 3" xfId="13766" xr:uid="{1C32FD47-7FC7-44AA-9512-D4BB4B377F45}"/>
    <cellStyle name="Normal 8 3 8 2 4" xfId="22207" xr:uid="{87BFDAE6-5597-4325-B45D-1FB82541D980}"/>
    <cellStyle name="Normal 8 3 8 2 5" xfId="30647" xr:uid="{4A1C50E5-60F9-48FD-9755-8FB002043A5C}"/>
    <cellStyle name="Normal 8 3 8 3" xfId="6512" xr:uid="{00000000-0005-0000-0000-0000CC1D0000}"/>
    <cellStyle name="Normal 8 3 8 3 2" xfId="15838" xr:uid="{DD5424DE-1B69-4FF1-ADA6-F696D1DD8D13}"/>
    <cellStyle name="Normal 8 3 8 3 3" xfId="24279" xr:uid="{1D0C3CA5-7A8E-4637-839C-A763BE9F366F}"/>
    <cellStyle name="Normal 8 3 8 3 4" xfId="32719" xr:uid="{60FE6452-5D87-4134-8824-6234FFD4E670}"/>
    <cellStyle name="Normal 8 3 8 4" xfId="11621" xr:uid="{3DA3F41A-058F-49B4-A821-8F80A6A357FB}"/>
    <cellStyle name="Normal 8 3 8 5" xfId="20062" xr:uid="{D3DB6189-3019-463C-8247-08E68EB4141A}"/>
    <cellStyle name="Normal 8 3 8 6" xfId="28502" xr:uid="{DE1EBB77-C5AC-414C-9F3C-577F74432EB2}"/>
    <cellStyle name="Normal 8 3 9" xfId="2642" xr:uid="{00000000-0005-0000-0000-0000CD1D0000}"/>
    <cellStyle name="Normal 8 3 9 2" xfId="6925" xr:uid="{00000000-0005-0000-0000-0000CE1D0000}"/>
    <cellStyle name="Normal 8 3 9 2 2" xfId="16251" xr:uid="{26E2E32D-ED4E-4761-9B3F-9BF51E582157}"/>
    <cellStyle name="Normal 8 3 9 2 3" xfId="24692" xr:uid="{C79C4A9E-66C8-43DD-A239-78221AED69CC}"/>
    <cellStyle name="Normal 8 3 9 2 4" xfId="33132" xr:uid="{E60071C9-BE67-4F1D-B040-592A537653DE}"/>
    <cellStyle name="Normal 8 3 9 3" xfId="12034" xr:uid="{0266CD29-77CE-4A7F-967F-89A2CDAB8E72}"/>
    <cellStyle name="Normal 8 3 9 4" xfId="20475" xr:uid="{B5B501D3-D2D2-4A48-B13F-592BEACAD865}"/>
    <cellStyle name="Normal 8 3 9 5" xfId="28915" xr:uid="{F2D95984-1F16-46ED-B199-E400A8200C6E}"/>
    <cellStyle name="Normal 8 4" xfId="503" xr:uid="{00000000-0005-0000-0000-0000CF1D0000}"/>
    <cellStyle name="Normal 8 4 10" xfId="8834" xr:uid="{78848A4E-06FA-4050-B553-A3A7DEA1B047}"/>
    <cellStyle name="Normal 8 4 11" xfId="9977" xr:uid="{8AB7014B-87EF-4F97-AC09-01DF0BD632BD}"/>
    <cellStyle name="Normal 8 4 12" xfId="18418" xr:uid="{16A5AEF3-1D39-4260-BD8F-78D6063CED8C}"/>
    <cellStyle name="Normal 8 4 13" xfId="26858" xr:uid="{2E55D50B-9EBC-4829-931B-FB5398AB5CF6}"/>
    <cellStyle name="Normal 8 4 2" xfId="504" xr:uid="{00000000-0005-0000-0000-0000D01D0000}"/>
    <cellStyle name="Normal 8 4 2 10" xfId="9978" xr:uid="{3C289CEE-9454-4E94-9CB5-531BF4D24096}"/>
    <cellStyle name="Normal 8 4 2 11" xfId="18419" xr:uid="{8B05904A-2CCA-44B6-BE54-B88EB8DBD4C2}"/>
    <cellStyle name="Normal 8 4 2 12" xfId="26859" xr:uid="{531AAF0C-8288-42B6-A648-BAE69BB37EE9}"/>
    <cellStyle name="Normal 8 4 2 2" xfId="505" xr:uid="{00000000-0005-0000-0000-0000D11D0000}"/>
    <cellStyle name="Normal 8 4 2 2 10" xfId="18420" xr:uid="{A2FAC38A-1A28-41BE-966F-46864D31B601}"/>
    <cellStyle name="Normal 8 4 2 2 11" xfId="26860" xr:uid="{9FA2D11D-685A-4912-8005-1597232D6A8B}"/>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1645450A-83C3-4074-9BAE-6490EEFC07A6}"/>
    <cellStyle name="Normal 8 4 2 2 2 2 2 3" xfId="25195" xr:uid="{9D66C145-4150-43C6-9FED-FE2759AEBD61}"/>
    <cellStyle name="Normal 8 4 2 2 2 2 2 4" xfId="33635" xr:uid="{3C3EB175-5F51-476D-B953-4A6101934251}"/>
    <cellStyle name="Normal 8 4 2 2 2 2 3" xfId="12537" xr:uid="{476B5E81-F156-46D1-8767-DB55C232979C}"/>
    <cellStyle name="Normal 8 4 2 2 2 2 4" xfId="20978" xr:uid="{5B35DA53-D04F-4FF6-8C97-2AECAFA1F406}"/>
    <cellStyle name="Normal 8 4 2 2 2 2 5" xfId="29418" xr:uid="{19CE05CE-00C1-4141-8F51-BD225AB9E772}"/>
    <cellStyle name="Normal 8 4 2 2 2 3" xfId="5283" xr:uid="{00000000-0005-0000-0000-0000D51D0000}"/>
    <cellStyle name="Normal 8 4 2 2 2 3 2" xfId="14609" xr:uid="{EC235245-F4E1-4869-AF47-99164B0678D1}"/>
    <cellStyle name="Normal 8 4 2 2 2 3 3" xfId="23050" xr:uid="{58CC30AF-0DB2-4893-8AEE-3C1B9F7C0FE4}"/>
    <cellStyle name="Normal 8 4 2 2 2 3 4" xfId="31490" xr:uid="{8C87FA99-B9DD-4FB0-A7BA-64E1B2ADF4BA}"/>
    <cellStyle name="Normal 8 4 2 2 2 4" xfId="9569" xr:uid="{F21122F8-27BB-4D46-891E-281F736F5353}"/>
    <cellStyle name="Normal 8 4 2 2 2 5" xfId="10392" xr:uid="{BCCDCC0D-06DD-47D6-B578-691CF58AA4DA}"/>
    <cellStyle name="Normal 8 4 2 2 2 6" xfId="18833" xr:uid="{CD617778-4EDC-421B-80B8-2847B186896A}"/>
    <cellStyle name="Normal 8 4 2 2 2 7" xfId="27273" xr:uid="{141E8602-5393-4F1D-8861-F9734F8F0A56}"/>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909A930B-3C88-46DE-828E-EBA43085285D}"/>
    <cellStyle name="Normal 8 4 2 2 3 2 2 3" xfId="25608" xr:uid="{E49D3808-B918-44AB-B99A-A346AA2A29F0}"/>
    <cellStyle name="Normal 8 4 2 2 3 2 2 4" xfId="34048" xr:uid="{FA655972-B862-41FC-96E4-B39182C2BCE5}"/>
    <cellStyle name="Normal 8 4 2 2 3 2 3" xfId="12950" xr:uid="{D913D90E-3F0D-4B61-A35B-CDC737C939C4}"/>
    <cellStyle name="Normal 8 4 2 2 3 2 4" xfId="21391" xr:uid="{BF3A258C-EEF9-4FB0-BA30-30772E84BC2E}"/>
    <cellStyle name="Normal 8 4 2 2 3 2 5" xfId="29831" xr:uid="{EAF45FFC-9F8E-47F9-9F15-3693307F52BF}"/>
    <cellStyle name="Normal 8 4 2 2 3 3" xfId="5696" xr:uid="{00000000-0005-0000-0000-0000D91D0000}"/>
    <cellStyle name="Normal 8 4 2 2 3 3 2" xfId="15022" xr:uid="{E4BCA611-C41E-4EF2-BEF0-BC7675F0ADCC}"/>
    <cellStyle name="Normal 8 4 2 2 3 3 3" xfId="23463" xr:uid="{E05875C3-D124-4F4C-A8A1-052CE53E900F}"/>
    <cellStyle name="Normal 8 4 2 2 3 3 4" xfId="31903" xr:uid="{E9C0883B-4FD4-4080-A822-6D1BE13A96C4}"/>
    <cellStyle name="Normal 8 4 2 2 3 4" xfId="10805" xr:uid="{9C72CDA2-DC9B-4346-88F6-11BAF0A9A2FB}"/>
    <cellStyle name="Normal 8 4 2 2 3 5" xfId="19246" xr:uid="{3995F59D-648E-4942-B852-F1CBD9BAF4BD}"/>
    <cellStyle name="Normal 8 4 2 2 3 6" xfId="27686" xr:uid="{A648810C-96AC-420B-AA5F-3C812FA7DD8F}"/>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96E64727-FACB-4BCF-8E95-065396910CF5}"/>
    <cellStyle name="Normal 8 4 2 2 4 2 2 3" xfId="26021" xr:uid="{B5A73D4F-0347-466B-8CEE-73160F35978A}"/>
    <cellStyle name="Normal 8 4 2 2 4 2 2 4" xfId="34461" xr:uid="{3595429F-35F4-427F-A716-00D845930A1D}"/>
    <cellStyle name="Normal 8 4 2 2 4 2 3" xfId="13363" xr:uid="{A7859168-2C9B-45A9-8BB7-6763736DA9B7}"/>
    <cellStyle name="Normal 8 4 2 2 4 2 4" xfId="21804" xr:uid="{F1B0D59D-1275-4EE2-B823-3BAB2B44A68E}"/>
    <cellStyle name="Normal 8 4 2 2 4 2 5" xfId="30244" xr:uid="{A5C70DF7-05C4-444B-82E5-2F99E596A495}"/>
    <cellStyle name="Normal 8 4 2 2 4 3" xfId="6109" xr:uid="{00000000-0005-0000-0000-0000DD1D0000}"/>
    <cellStyle name="Normal 8 4 2 2 4 3 2" xfId="15435" xr:uid="{6A8D2678-829C-4EEB-9480-75E9B56789D9}"/>
    <cellStyle name="Normal 8 4 2 2 4 3 3" xfId="23876" xr:uid="{076344E3-6129-429C-82C4-BE401791EF12}"/>
    <cellStyle name="Normal 8 4 2 2 4 3 4" xfId="32316" xr:uid="{ED181369-38A9-4579-9458-CBD19A6AFBF7}"/>
    <cellStyle name="Normal 8 4 2 2 4 4" xfId="11218" xr:uid="{A7E89AA3-CBA9-4830-8A7F-300E27E5F145}"/>
    <cellStyle name="Normal 8 4 2 2 4 5" xfId="19659" xr:uid="{BAC0980B-2D28-4AA6-9439-B0A4A6E54C1F}"/>
    <cellStyle name="Normal 8 4 2 2 4 6" xfId="28099" xr:uid="{F21EE66B-96D9-4A63-9983-B033D8BF96F2}"/>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C6B1C845-3F5B-4433-BCF7-B8DD93127A1F}"/>
    <cellStyle name="Normal 8 4 2 2 5 2 2 3" xfId="26434" xr:uid="{7F919249-209D-4B79-ABFD-79098DB02E78}"/>
    <cellStyle name="Normal 8 4 2 2 5 2 2 4" xfId="34874" xr:uid="{7D71D3BB-1752-468B-BF3F-DF1FA3933CC0}"/>
    <cellStyle name="Normal 8 4 2 2 5 2 3" xfId="13776" xr:uid="{B50840E4-AA55-44FF-85A8-BD740B4CDF29}"/>
    <cellStyle name="Normal 8 4 2 2 5 2 4" xfId="22217" xr:uid="{E3187797-A846-4727-9A20-0A37D33DC4BB}"/>
    <cellStyle name="Normal 8 4 2 2 5 2 5" xfId="30657" xr:uid="{58745A3F-DA71-4983-808C-15A5E155CB01}"/>
    <cellStyle name="Normal 8 4 2 2 5 3" xfId="6522" xr:uid="{00000000-0005-0000-0000-0000E11D0000}"/>
    <cellStyle name="Normal 8 4 2 2 5 3 2" xfId="15848" xr:uid="{EDAFC01C-B395-43A0-B055-008658F6FB29}"/>
    <cellStyle name="Normal 8 4 2 2 5 3 3" xfId="24289" xr:uid="{0BAFA929-3694-4C7E-8DC0-A9B7454D7AF5}"/>
    <cellStyle name="Normal 8 4 2 2 5 3 4" xfId="32729" xr:uid="{81CBAB8B-2BEC-4BCE-8E9B-E507315D317F}"/>
    <cellStyle name="Normal 8 4 2 2 5 4" xfId="11631" xr:uid="{D359B8CE-1011-4951-BB1E-31EECF403993}"/>
    <cellStyle name="Normal 8 4 2 2 5 5" xfId="20072" xr:uid="{4B1A3B6B-1D23-48E6-BBE8-CDE1BF9B1ED8}"/>
    <cellStyle name="Normal 8 4 2 2 5 6" xfId="28512" xr:uid="{3CDB84B9-D028-46C8-9B21-874E06F0479D}"/>
    <cellStyle name="Normal 8 4 2 2 6" xfId="2652" xr:uid="{00000000-0005-0000-0000-0000E21D0000}"/>
    <cellStyle name="Normal 8 4 2 2 6 2" xfId="6935" xr:uid="{00000000-0005-0000-0000-0000E31D0000}"/>
    <cellStyle name="Normal 8 4 2 2 6 2 2" xfId="16261" xr:uid="{9DFFDABF-553D-4D4E-9235-56B062DFF735}"/>
    <cellStyle name="Normal 8 4 2 2 6 2 3" xfId="24702" xr:uid="{537BA8BD-5717-483E-898E-10862438A6D7}"/>
    <cellStyle name="Normal 8 4 2 2 6 2 4" xfId="33142" xr:uid="{89A6168A-4F97-47C8-9830-D1F23AACDF3A}"/>
    <cellStyle name="Normal 8 4 2 2 6 3" xfId="12044" xr:uid="{E39C7406-00A3-48DC-8544-3D8B27BA2796}"/>
    <cellStyle name="Normal 8 4 2 2 6 4" xfId="20485" xr:uid="{FC1D1439-64E9-4A7A-91C2-70791A3AAD89}"/>
    <cellStyle name="Normal 8 4 2 2 6 5" xfId="28925" xr:uid="{AD17DDA5-9DDA-4EAD-919B-30E7A7CE3F33}"/>
    <cellStyle name="Normal 8 4 2 2 7" xfId="4870" xr:uid="{00000000-0005-0000-0000-0000E41D0000}"/>
    <cellStyle name="Normal 8 4 2 2 7 2" xfId="14196" xr:uid="{1C8D50F4-588C-4ED6-B614-A099FE608B67}"/>
    <cellStyle name="Normal 8 4 2 2 7 3" xfId="22637" xr:uid="{A7A6CF27-F6BD-4A7A-84CC-5E74DA0DADF2}"/>
    <cellStyle name="Normal 8 4 2 2 7 4" xfId="31077" xr:uid="{1AE38F1E-A589-4F6B-BC09-B3CEAE7A8C5B}"/>
    <cellStyle name="Normal 8 4 2 2 8" xfId="9144" xr:uid="{EF6B0978-3DE8-47DC-990C-0B47AAC8F1DC}"/>
    <cellStyle name="Normal 8 4 2 2 9" xfId="9979" xr:uid="{9CB60F78-BB4B-4955-8249-4C1955E23E66}"/>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D9FD7611-BEF5-4EE1-AE2C-E88C53599D91}"/>
    <cellStyle name="Normal 8 4 2 3 2 2 3" xfId="25194" xr:uid="{E184F3F7-ACFC-471D-BAC1-01C01F1A644E}"/>
    <cellStyle name="Normal 8 4 2 3 2 2 4" xfId="33634" xr:uid="{F88A1E6D-A952-4620-B0C9-519D8DD85595}"/>
    <cellStyle name="Normal 8 4 2 3 2 3" xfId="12536" xr:uid="{CDC72605-8379-43A5-9248-1B3E8B32D15B}"/>
    <cellStyle name="Normal 8 4 2 3 2 4" xfId="20977" xr:uid="{425FD671-F5F5-48F4-9B37-FDC2B1F9B825}"/>
    <cellStyle name="Normal 8 4 2 3 2 5" xfId="29417" xr:uid="{3DC71392-2863-4E5A-AC29-2CFCABAEC47B}"/>
    <cellStyle name="Normal 8 4 2 3 3" xfId="5282" xr:uid="{00000000-0005-0000-0000-0000E81D0000}"/>
    <cellStyle name="Normal 8 4 2 3 3 2" xfId="14608" xr:uid="{74F4C0C2-CB41-45DB-9C14-C717C14B68B6}"/>
    <cellStyle name="Normal 8 4 2 3 3 3" xfId="23049" xr:uid="{BCD2B405-F819-4DE8-A3E5-868477B01DFB}"/>
    <cellStyle name="Normal 8 4 2 3 3 4" xfId="31489" xr:uid="{081B8045-4616-4E3C-8C7D-F15DAD1CCA0F}"/>
    <cellStyle name="Normal 8 4 2 3 4" xfId="9362" xr:uid="{206856BB-FDDB-4012-ABFE-5E991E477A14}"/>
    <cellStyle name="Normal 8 4 2 3 5" xfId="10391" xr:uid="{954618CD-2F7C-44C8-BB1B-CFB4F22E47A6}"/>
    <cellStyle name="Normal 8 4 2 3 6" xfId="18832" xr:uid="{244B64AA-92C2-4E96-87A8-1BAB450E6DD4}"/>
    <cellStyle name="Normal 8 4 2 3 7" xfId="27272" xr:uid="{81EB9A95-7A54-4D78-83FE-9383B27402CB}"/>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AA94763F-3C4E-4136-9CE6-462BB1F1E54C}"/>
    <cellStyle name="Normal 8 4 2 4 2 2 3" xfId="25607" xr:uid="{3A109BD4-E96E-4563-944D-B139473F2E4F}"/>
    <cellStyle name="Normal 8 4 2 4 2 2 4" xfId="34047" xr:uid="{8775BC8B-ECD7-429E-ACA2-CE7D804AABD3}"/>
    <cellStyle name="Normal 8 4 2 4 2 3" xfId="12949" xr:uid="{7180EC1B-CE65-4B1F-9306-882C052FB41D}"/>
    <cellStyle name="Normal 8 4 2 4 2 4" xfId="21390" xr:uid="{0D551438-49D6-45EB-A677-E1B8A323A561}"/>
    <cellStyle name="Normal 8 4 2 4 2 5" xfId="29830" xr:uid="{F065195E-4C54-431E-923B-3AB72374D4A6}"/>
    <cellStyle name="Normal 8 4 2 4 3" xfId="5695" xr:uid="{00000000-0005-0000-0000-0000EC1D0000}"/>
    <cellStyle name="Normal 8 4 2 4 3 2" xfId="15021" xr:uid="{E0CCC24E-CE74-474F-831E-C2FA86E48600}"/>
    <cellStyle name="Normal 8 4 2 4 3 3" xfId="23462" xr:uid="{DDCCD487-9BB6-40CB-833A-DEA84994DD54}"/>
    <cellStyle name="Normal 8 4 2 4 3 4" xfId="31902" xr:uid="{250B9A43-0BBD-47C6-B879-1D6F0CF4F03C}"/>
    <cellStyle name="Normal 8 4 2 4 4" xfId="10804" xr:uid="{CBC272E0-BC45-4C23-B8F0-130EE2CF2290}"/>
    <cellStyle name="Normal 8 4 2 4 5" xfId="19245" xr:uid="{6AD95125-47F3-4028-837E-B94E4CC0EE2E}"/>
    <cellStyle name="Normal 8 4 2 4 6" xfId="27685" xr:uid="{20C950A8-3944-4E11-89B8-D3999D001EB0}"/>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C30E62C8-3092-4010-BCC6-4EFA68E92DCC}"/>
    <cellStyle name="Normal 8 4 2 5 2 2 3" xfId="26020" xr:uid="{4BC350F3-293A-4BF0-893D-335AE8B3B220}"/>
    <cellStyle name="Normal 8 4 2 5 2 2 4" xfId="34460" xr:uid="{027EC7EA-3A90-40D3-8E73-45F0B32662EA}"/>
    <cellStyle name="Normal 8 4 2 5 2 3" xfId="13362" xr:uid="{B86C1340-B28E-4FC4-8D90-C7C6F1E63EA0}"/>
    <cellStyle name="Normal 8 4 2 5 2 4" xfId="21803" xr:uid="{51C202B9-54E4-4643-AC5C-8913E8FBC070}"/>
    <cellStyle name="Normal 8 4 2 5 2 5" xfId="30243" xr:uid="{6099894F-7520-4416-A11C-F0CD5E1FE344}"/>
    <cellStyle name="Normal 8 4 2 5 3" xfId="6108" xr:uid="{00000000-0005-0000-0000-0000F01D0000}"/>
    <cellStyle name="Normal 8 4 2 5 3 2" xfId="15434" xr:uid="{88524FAC-2032-4467-8244-C9850C5D73AF}"/>
    <cellStyle name="Normal 8 4 2 5 3 3" xfId="23875" xr:uid="{DF3BC61A-5C02-49ED-A0C8-FB2A50CC9A06}"/>
    <cellStyle name="Normal 8 4 2 5 3 4" xfId="32315" xr:uid="{35FC8D43-3CF8-4EA5-BCEA-D282ACD11897}"/>
    <cellStyle name="Normal 8 4 2 5 4" xfId="11217" xr:uid="{17D9CB45-A7D3-4563-BEDB-AF2FF7107995}"/>
    <cellStyle name="Normal 8 4 2 5 5" xfId="19658" xr:uid="{5F1A1116-80B8-4457-B7D2-8EC506C03784}"/>
    <cellStyle name="Normal 8 4 2 5 6" xfId="28098" xr:uid="{A5302C38-DC8C-4340-826E-F2E4C01A3816}"/>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59974E1B-8347-4D8A-A569-CD0DC169B351}"/>
    <cellStyle name="Normal 8 4 2 6 2 2 3" xfId="26433" xr:uid="{B490EB78-09C9-4E03-B8E1-80CACD581BDD}"/>
    <cellStyle name="Normal 8 4 2 6 2 2 4" xfId="34873" xr:uid="{BCA0D713-BFA4-4919-A768-4B81B9A60D89}"/>
    <cellStyle name="Normal 8 4 2 6 2 3" xfId="13775" xr:uid="{217E1BCE-5A78-4AF9-8EE4-436692852D93}"/>
    <cellStyle name="Normal 8 4 2 6 2 4" xfId="22216" xr:uid="{21334514-287F-42B7-B37C-D41C5D7613CE}"/>
    <cellStyle name="Normal 8 4 2 6 2 5" xfId="30656" xr:uid="{83C18181-703D-4C7C-A834-59F5E19591BD}"/>
    <cellStyle name="Normal 8 4 2 6 3" xfId="6521" xr:uid="{00000000-0005-0000-0000-0000F41D0000}"/>
    <cellStyle name="Normal 8 4 2 6 3 2" xfId="15847" xr:uid="{1C8F669C-D475-4622-A486-229634650FFC}"/>
    <cellStyle name="Normal 8 4 2 6 3 3" xfId="24288" xr:uid="{2B5C22D4-5D2C-4C48-BDA7-89E764CD3E94}"/>
    <cellStyle name="Normal 8 4 2 6 3 4" xfId="32728" xr:uid="{02FE60A0-7465-4309-B863-70B510A93E45}"/>
    <cellStyle name="Normal 8 4 2 6 4" xfId="11630" xr:uid="{D9DA7F61-AC0A-439A-B4CD-13CE181BADC2}"/>
    <cellStyle name="Normal 8 4 2 6 5" xfId="20071" xr:uid="{B3F27DAF-CC31-4450-910A-BC46A0CE8B05}"/>
    <cellStyle name="Normal 8 4 2 6 6" xfId="28511" xr:uid="{8D673B6D-5203-4B17-9C4B-8FDC6D160332}"/>
    <cellStyle name="Normal 8 4 2 7" xfId="2651" xr:uid="{00000000-0005-0000-0000-0000F51D0000}"/>
    <cellStyle name="Normal 8 4 2 7 2" xfId="6934" xr:uid="{00000000-0005-0000-0000-0000F61D0000}"/>
    <cellStyle name="Normal 8 4 2 7 2 2" xfId="16260" xr:uid="{2624C5E7-CB07-42EF-8221-19E5E0AFEC39}"/>
    <cellStyle name="Normal 8 4 2 7 2 3" xfId="24701" xr:uid="{4BB39047-DF55-4F17-99C1-A85CD1A23DE6}"/>
    <cellStyle name="Normal 8 4 2 7 2 4" xfId="33141" xr:uid="{50D29A3A-2823-4F18-B121-694E3AC768AB}"/>
    <cellStyle name="Normal 8 4 2 7 3" xfId="12043" xr:uid="{36A45A5E-670E-4C3D-9AFD-5F689F6D893A}"/>
    <cellStyle name="Normal 8 4 2 7 4" xfId="20484" xr:uid="{E5C3B370-3A6D-4585-B91D-0188F799F48F}"/>
    <cellStyle name="Normal 8 4 2 7 5" xfId="28924" xr:uid="{21BD82A9-5560-4EDE-A4BD-CE87FD74FC05}"/>
    <cellStyle name="Normal 8 4 2 8" xfId="4869" xr:uid="{00000000-0005-0000-0000-0000F71D0000}"/>
    <cellStyle name="Normal 8 4 2 8 2" xfId="14195" xr:uid="{BBC5CCF1-4A08-4C31-B0B5-82CCCB913263}"/>
    <cellStyle name="Normal 8 4 2 8 3" xfId="22636" xr:uid="{57304F8F-06E0-4C08-ACFC-95A63C196954}"/>
    <cellStyle name="Normal 8 4 2 8 4" xfId="31076" xr:uid="{4DAB6129-216D-435E-86FB-34D561C95D3F}"/>
    <cellStyle name="Normal 8 4 2 9" xfId="8937" xr:uid="{B425CDA4-C1C1-4A6C-AB85-CE28E324A88F}"/>
    <cellStyle name="Normal 8 4 3" xfId="506" xr:uid="{00000000-0005-0000-0000-0000F81D0000}"/>
    <cellStyle name="Normal 8 4 3 10" xfId="18421" xr:uid="{B73E0244-7B13-45EC-B529-0624E5345F2F}"/>
    <cellStyle name="Normal 8 4 3 11" xfId="26861" xr:uid="{47E1F2D6-8657-4623-AF6B-730779D9DC17}"/>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5D5AEAA3-A81E-4D0F-ABDC-8C0E6CD51E4D}"/>
    <cellStyle name="Normal 8 4 3 2 2 2 3" xfId="25196" xr:uid="{EB275C55-CEA9-47D0-80B9-71E57C8B4378}"/>
    <cellStyle name="Normal 8 4 3 2 2 2 4" xfId="33636" xr:uid="{CA7BC2D6-14B8-4A46-B37D-20863E9F631D}"/>
    <cellStyle name="Normal 8 4 3 2 2 3" xfId="12538" xr:uid="{AE25488F-3838-40DB-9EAB-258087CC21B6}"/>
    <cellStyle name="Normal 8 4 3 2 2 4" xfId="20979" xr:uid="{326742EE-656D-4778-A047-0AA7C24696D6}"/>
    <cellStyle name="Normal 8 4 3 2 2 5" xfId="29419" xr:uid="{AF126F39-9801-4D01-9DF6-AC14482229FF}"/>
    <cellStyle name="Normal 8 4 3 2 3" xfId="5284" xr:uid="{00000000-0005-0000-0000-0000FC1D0000}"/>
    <cellStyle name="Normal 8 4 3 2 3 2" xfId="14610" xr:uid="{032FEEA3-10B0-4253-B63F-7AA5AA24168E}"/>
    <cellStyle name="Normal 8 4 3 2 3 3" xfId="23051" xr:uid="{1EF6D6FA-CFA4-4939-A6EC-ECCBB7E01FDC}"/>
    <cellStyle name="Normal 8 4 3 2 3 4" xfId="31491" xr:uid="{3952EDE1-1300-4918-AD28-348E7B89D51C}"/>
    <cellStyle name="Normal 8 4 3 2 4" xfId="9466" xr:uid="{4C42748F-6D34-4D0D-8AE2-FFD5C0CBE26F}"/>
    <cellStyle name="Normal 8 4 3 2 5" xfId="10393" xr:uid="{97FA1612-FF96-4ABF-9D76-3F04BFC829EC}"/>
    <cellStyle name="Normal 8 4 3 2 6" xfId="18834" xr:uid="{6FFB61CF-EBEB-402C-9235-D6CB7D33F31F}"/>
    <cellStyle name="Normal 8 4 3 2 7" xfId="27274" xr:uid="{64C65F03-DFB2-4C0C-B27C-AFF340502667}"/>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6E2128A9-F7F8-46A6-85BA-E7C2D3A9FF7D}"/>
    <cellStyle name="Normal 8 4 3 3 2 2 3" xfId="25609" xr:uid="{24E91409-1E1E-4F5B-AF78-16F9B000CD84}"/>
    <cellStyle name="Normal 8 4 3 3 2 2 4" xfId="34049" xr:uid="{3A85B47A-DA13-4134-A38B-79821C425643}"/>
    <cellStyle name="Normal 8 4 3 3 2 3" xfId="12951" xr:uid="{4C45DE2B-07C3-4446-9136-0040666E2A97}"/>
    <cellStyle name="Normal 8 4 3 3 2 4" xfId="21392" xr:uid="{1E4B5D48-9858-43D9-9536-5E8C57E22179}"/>
    <cellStyle name="Normal 8 4 3 3 2 5" xfId="29832" xr:uid="{FA4BCEEA-A63A-4549-94EE-15FA7594BCE8}"/>
    <cellStyle name="Normal 8 4 3 3 3" xfId="5697" xr:uid="{00000000-0005-0000-0000-0000001E0000}"/>
    <cellStyle name="Normal 8 4 3 3 3 2" xfId="15023" xr:uid="{D1954521-63A4-4D47-ADF5-16915A47BB45}"/>
    <cellStyle name="Normal 8 4 3 3 3 3" xfId="23464" xr:uid="{5100C44C-7851-4A34-9314-8081B33AFF8C}"/>
    <cellStyle name="Normal 8 4 3 3 3 4" xfId="31904" xr:uid="{A1318DE1-5FA9-482F-BABE-43A7B89BB82E}"/>
    <cellStyle name="Normal 8 4 3 3 4" xfId="10806" xr:uid="{6EB562E1-C5EF-488B-B8BD-C8A70941A06D}"/>
    <cellStyle name="Normal 8 4 3 3 5" xfId="19247" xr:uid="{3E64172F-0C31-42DD-BBEB-FE69B20B17EE}"/>
    <cellStyle name="Normal 8 4 3 3 6" xfId="27687" xr:uid="{8CB93B7D-5B78-4AE6-9397-7D1DE2841A4C}"/>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3D57ECE3-D4BF-4969-8A8B-BC11B3AD5297}"/>
    <cellStyle name="Normal 8 4 3 4 2 2 3" xfId="26022" xr:uid="{84575BD4-5053-4FF3-A48A-A8385F520999}"/>
    <cellStyle name="Normal 8 4 3 4 2 2 4" xfId="34462" xr:uid="{DB186AD7-F9E6-4E53-A749-FA7B2298217A}"/>
    <cellStyle name="Normal 8 4 3 4 2 3" xfId="13364" xr:uid="{D2C7ECCE-7321-4FBA-A147-726A9FD0AB55}"/>
    <cellStyle name="Normal 8 4 3 4 2 4" xfId="21805" xr:uid="{AD5C8218-F366-4946-AB91-AD552B89B379}"/>
    <cellStyle name="Normal 8 4 3 4 2 5" xfId="30245" xr:uid="{945FC46A-B4F7-4AD1-A807-FD086CDB00F5}"/>
    <cellStyle name="Normal 8 4 3 4 3" xfId="6110" xr:uid="{00000000-0005-0000-0000-0000041E0000}"/>
    <cellStyle name="Normal 8 4 3 4 3 2" xfId="15436" xr:uid="{B9172098-008E-4E8C-84C9-E27F5E5919E9}"/>
    <cellStyle name="Normal 8 4 3 4 3 3" xfId="23877" xr:uid="{D56806AB-B571-4AB4-95AA-7AB9EEC18E2C}"/>
    <cellStyle name="Normal 8 4 3 4 3 4" xfId="32317" xr:uid="{7FCA846B-14EC-4E6A-A312-BA993D899281}"/>
    <cellStyle name="Normal 8 4 3 4 4" xfId="11219" xr:uid="{6A6C7938-4A7D-4882-BE7E-0C18AA04E4AF}"/>
    <cellStyle name="Normal 8 4 3 4 5" xfId="19660" xr:uid="{298CB5B2-7A6A-4610-A40D-3D1DBD223B6F}"/>
    <cellStyle name="Normal 8 4 3 4 6" xfId="28100" xr:uid="{891F595A-666F-4503-ABF5-97BCBBB5BECE}"/>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86D53184-0498-4B67-A6B5-A0DA5A901987}"/>
    <cellStyle name="Normal 8 4 3 5 2 2 3" xfId="26435" xr:uid="{08733292-6EB8-462C-9417-21709956E87B}"/>
    <cellStyle name="Normal 8 4 3 5 2 2 4" xfId="34875" xr:uid="{20A369AE-769C-4AFB-BDCF-DD49EBF33BCD}"/>
    <cellStyle name="Normal 8 4 3 5 2 3" xfId="13777" xr:uid="{DD9D730E-0592-4E3D-9468-7BC3593248C1}"/>
    <cellStyle name="Normal 8 4 3 5 2 4" xfId="22218" xr:uid="{C523005C-6516-4B9C-B55F-BD5B8B517508}"/>
    <cellStyle name="Normal 8 4 3 5 2 5" xfId="30658" xr:uid="{EF4692D9-825A-466D-86EC-CCB65C00873A}"/>
    <cellStyle name="Normal 8 4 3 5 3" xfId="6523" xr:uid="{00000000-0005-0000-0000-0000081E0000}"/>
    <cellStyle name="Normal 8 4 3 5 3 2" xfId="15849" xr:uid="{645F7D3C-8740-4287-8E28-04A913BA3CB5}"/>
    <cellStyle name="Normal 8 4 3 5 3 3" xfId="24290" xr:uid="{D53D54A8-4B5C-42B3-B107-CE13220C572E}"/>
    <cellStyle name="Normal 8 4 3 5 3 4" xfId="32730" xr:uid="{F997F959-8468-4401-8875-DAE01637E9D4}"/>
    <cellStyle name="Normal 8 4 3 5 4" xfId="11632" xr:uid="{5F6D9A2D-D163-4DAC-B2E1-1AF2E48CA851}"/>
    <cellStyle name="Normal 8 4 3 5 5" xfId="20073" xr:uid="{68D0F579-660B-4184-BB6C-6ECEE722D21D}"/>
    <cellStyle name="Normal 8 4 3 5 6" xfId="28513" xr:uid="{3A31231A-14FB-47B9-B505-E1771F6A71D5}"/>
    <cellStyle name="Normal 8 4 3 6" xfId="2653" xr:uid="{00000000-0005-0000-0000-0000091E0000}"/>
    <cellStyle name="Normal 8 4 3 6 2" xfId="6936" xr:uid="{00000000-0005-0000-0000-00000A1E0000}"/>
    <cellStyle name="Normal 8 4 3 6 2 2" xfId="16262" xr:uid="{256B7A50-BFEB-4027-A1F5-E152B9157891}"/>
    <cellStyle name="Normal 8 4 3 6 2 3" xfId="24703" xr:uid="{B0B0AFFE-0218-41FC-97CB-9947ACD642E1}"/>
    <cellStyle name="Normal 8 4 3 6 2 4" xfId="33143" xr:uid="{97FF3DEC-F38B-4012-826A-62723FEE8727}"/>
    <cellStyle name="Normal 8 4 3 6 3" xfId="12045" xr:uid="{E74C2552-8890-4CC1-8BF9-546C8A80331F}"/>
    <cellStyle name="Normal 8 4 3 6 4" xfId="20486" xr:uid="{BE212B2A-33E2-4087-8994-FE2C4FA246A1}"/>
    <cellStyle name="Normal 8 4 3 6 5" xfId="28926" xr:uid="{B3D75EAF-8762-4060-A797-9E8AB371D477}"/>
    <cellStyle name="Normal 8 4 3 7" xfId="4871" xr:uid="{00000000-0005-0000-0000-00000B1E0000}"/>
    <cellStyle name="Normal 8 4 3 7 2" xfId="14197" xr:uid="{2100ECC9-C04B-45B4-B253-13FE445B8089}"/>
    <cellStyle name="Normal 8 4 3 7 3" xfId="22638" xr:uid="{149B658F-02BB-41B8-975C-77647D6E130F}"/>
    <cellStyle name="Normal 8 4 3 7 4" xfId="31078" xr:uid="{D4E23FBC-1097-42EC-AD31-DE799D0D01CB}"/>
    <cellStyle name="Normal 8 4 3 8" xfId="9041" xr:uid="{3EA15F1E-D38A-4BB8-BEC6-98D9A94BB79B}"/>
    <cellStyle name="Normal 8 4 3 9" xfId="9980" xr:uid="{00B4F573-8544-414C-868F-5C29CE456B2F}"/>
    <cellStyle name="Normal 8 4 4" xfId="970" xr:uid="{00000000-0005-0000-0000-00000C1E0000}"/>
    <cellStyle name="Normal 8 4 4 2" xfId="3204" xr:uid="{00000000-0005-0000-0000-00000D1E0000}"/>
    <cellStyle name="Normal 8 4 4 2 2" xfId="7426" xr:uid="{00000000-0005-0000-0000-00000E1E0000}"/>
    <cellStyle name="Normal 8 4 4 2 2 2" xfId="16752" xr:uid="{D7E8B882-6EAC-4242-B63E-F9A23FDE645F}"/>
    <cellStyle name="Normal 8 4 4 2 2 3" xfId="25193" xr:uid="{09D60DFA-C54B-4DEE-AA9E-119899194EAC}"/>
    <cellStyle name="Normal 8 4 4 2 2 4" xfId="33633" xr:uid="{A8DF2483-1221-4068-AFD8-D9325F0C61C4}"/>
    <cellStyle name="Normal 8 4 4 2 3" xfId="12535" xr:uid="{3C25F731-12B8-45D4-BA2A-DD631F77FD1C}"/>
    <cellStyle name="Normal 8 4 4 2 4" xfId="20976" xr:uid="{70EF935E-93FA-423E-B0FA-30EA64E5136E}"/>
    <cellStyle name="Normal 8 4 4 2 5" xfId="29416" xr:uid="{594E33BE-F568-4971-B4D4-28D88DC33E41}"/>
    <cellStyle name="Normal 8 4 4 3" xfId="5281" xr:uid="{00000000-0005-0000-0000-00000F1E0000}"/>
    <cellStyle name="Normal 8 4 4 3 2" xfId="14607" xr:uid="{C5D01D7E-677C-4A71-984A-C415A4189D8B}"/>
    <cellStyle name="Normal 8 4 4 3 3" xfId="23048" xr:uid="{4ADD17C2-E56E-43B7-99CE-C8E5A2426C16}"/>
    <cellStyle name="Normal 8 4 4 3 4" xfId="31488" xr:uid="{8D82FF84-63D9-45BF-ACF6-A444AB8BA128}"/>
    <cellStyle name="Normal 8 4 4 4" xfId="9259" xr:uid="{45904BAA-3C39-482B-A2B6-0FB84C0B889C}"/>
    <cellStyle name="Normal 8 4 4 5" xfId="10390" xr:uid="{00D722F2-0C37-4498-8916-F930F8A53768}"/>
    <cellStyle name="Normal 8 4 4 6" xfId="18831" xr:uid="{32679007-9308-490E-97F4-7F72D30B7F09}"/>
    <cellStyle name="Normal 8 4 4 7" xfId="27271" xr:uid="{1168E3AD-E45E-41A3-BC2B-64A84184F136}"/>
    <cellStyle name="Normal 8 4 5" xfId="1387" xr:uid="{00000000-0005-0000-0000-0000101E0000}"/>
    <cellStyle name="Normal 8 4 5 2" xfId="3617" xr:uid="{00000000-0005-0000-0000-0000111E0000}"/>
    <cellStyle name="Normal 8 4 5 2 2" xfId="7839" xr:uid="{00000000-0005-0000-0000-0000121E0000}"/>
    <cellStyle name="Normal 8 4 5 2 2 2" xfId="17165" xr:uid="{975F4E16-8A39-41F2-8227-930227E65763}"/>
    <cellStyle name="Normal 8 4 5 2 2 3" xfId="25606" xr:uid="{159E6B5C-C060-4D7B-B57F-D7AC44A186EB}"/>
    <cellStyle name="Normal 8 4 5 2 2 4" xfId="34046" xr:uid="{C8D7937A-8F4C-44CB-B584-5EDEB6F990D9}"/>
    <cellStyle name="Normal 8 4 5 2 3" xfId="12948" xr:uid="{97DA5461-F5CF-4484-89F2-B798E79574E2}"/>
    <cellStyle name="Normal 8 4 5 2 4" xfId="21389" xr:uid="{E765CBD0-7A62-4D80-8D88-D865943EA70A}"/>
    <cellStyle name="Normal 8 4 5 2 5" xfId="29829" xr:uid="{927BA2A7-B54B-4122-8846-9A4BF5674AE3}"/>
    <cellStyle name="Normal 8 4 5 3" xfId="5694" xr:uid="{00000000-0005-0000-0000-0000131E0000}"/>
    <cellStyle name="Normal 8 4 5 3 2" xfId="15020" xr:uid="{14F7F532-BEE2-4099-B152-8D2F08C590BB}"/>
    <cellStyle name="Normal 8 4 5 3 3" xfId="23461" xr:uid="{ACEA6036-9562-4607-BD7F-A7B4FD33B68F}"/>
    <cellStyle name="Normal 8 4 5 3 4" xfId="31901" xr:uid="{4D9FB219-DA18-4665-BDE1-3837B927BE0C}"/>
    <cellStyle name="Normal 8 4 5 4" xfId="10803" xr:uid="{E1B882C9-E63D-4102-9A09-2C4ED6466889}"/>
    <cellStyle name="Normal 8 4 5 5" xfId="19244" xr:uid="{EB7EBBDB-5BEC-41E5-BC20-16DFD4EC2015}"/>
    <cellStyle name="Normal 8 4 5 6" xfId="27684" xr:uid="{DA075EE6-6494-4570-B05E-5725131B5CA9}"/>
    <cellStyle name="Normal 8 4 6" xfId="1800" xr:uid="{00000000-0005-0000-0000-0000141E0000}"/>
    <cellStyle name="Normal 8 4 6 2" xfId="4030" xr:uid="{00000000-0005-0000-0000-0000151E0000}"/>
    <cellStyle name="Normal 8 4 6 2 2" xfId="8252" xr:uid="{00000000-0005-0000-0000-0000161E0000}"/>
    <cellStyle name="Normal 8 4 6 2 2 2" xfId="17578" xr:uid="{93BDC9E4-A96D-4628-BB6A-22DDC173502C}"/>
    <cellStyle name="Normal 8 4 6 2 2 3" xfId="26019" xr:uid="{E2C1593D-D8B9-40B1-B9EB-22EEAFF85069}"/>
    <cellStyle name="Normal 8 4 6 2 2 4" xfId="34459" xr:uid="{E337373D-2B1D-4545-B89F-D5CCE6AD2EC2}"/>
    <cellStyle name="Normal 8 4 6 2 3" xfId="13361" xr:uid="{39FEEEE1-2A73-46D3-9F7B-8D908C837297}"/>
    <cellStyle name="Normal 8 4 6 2 4" xfId="21802" xr:uid="{3263E92A-2C45-4097-8846-BFDFB2D6F35A}"/>
    <cellStyle name="Normal 8 4 6 2 5" xfId="30242" xr:uid="{A7C41365-95F9-424F-9126-1468C715F919}"/>
    <cellStyle name="Normal 8 4 6 3" xfId="6107" xr:uid="{00000000-0005-0000-0000-0000171E0000}"/>
    <cellStyle name="Normal 8 4 6 3 2" xfId="15433" xr:uid="{E6AAF83D-2DD6-4C28-AB70-D042428D2A0C}"/>
    <cellStyle name="Normal 8 4 6 3 3" xfId="23874" xr:uid="{0CFB6C6D-49B8-4E0E-ADBA-E6F89D8E96CB}"/>
    <cellStyle name="Normal 8 4 6 3 4" xfId="32314" xr:uid="{8DA06CB1-69D5-4660-8205-4BA4D136284C}"/>
    <cellStyle name="Normal 8 4 6 4" xfId="11216" xr:uid="{5DEFF22B-CA5C-4AD9-A25D-F0453EC038B4}"/>
    <cellStyle name="Normal 8 4 6 5" xfId="19657" xr:uid="{8F67D102-6FF4-4987-95D6-942C063A2EEB}"/>
    <cellStyle name="Normal 8 4 6 6" xfId="28097" xr:uid="{2331113E-AE5F-4421-9D1E-C1C0CDBE3117}"/>
    <cellStyle name="Normal 8 4 7" xfId="2214" xr:uid="{00000000-0005-0000-0000-0000181E0000}"/>
    <cellStyle name="Normal 8 4 7 2" xfId="4443" xr:uid="{00000000-0005-0000-0000-0000191E0000}"/>
    <cellStyle name="Normal 8 4 7 2 2" xfId="8665" xr:uid="{00000000-0005-0000-0000-00001A1E0000}"/>
    <cellStyle name="Normal 8 4 7 2 2 2" xfId="17991" xr:uid="{3CE542AD-7598-4960-9775-85FE3AA8894B}"/>
    <cellStyle name="Normal 8 4 7 2 2 3" xfId="26432" xr:uid="{4D8A35DC-13BD-4167-9A18-DDCD8E4E7DF7}"/>
    <cellStyle name="Normal 8 4 7 2 2 4" xfId="34872" xr:uid="{111DCEE0-9558-42C2-8BC7-36BAC45C6A6D}"/>
    <cellStyle name="Normal 8 4 7 2 3" xfId="13774" xr:uid="{24D248CD-E6C2-45F5-85ED-CDBA45FE261D}"/>
    <cellStyle name="Normal 8 4 7 2 4" xfId="22215" xr:uid="{3E7EB287-3E66-42EC-882E-929FDE3EC8FD}"/>
    <cellStyle name="Normal 8 4 7 2 5" xfId="30655" xr:uid="{F8C1CFCD-893A-4DD9-B40A-57EBBC0D7335}"/>
    <cellStyle name="Normal 8 4 7 3" xfId="6520" xr:uid="{00000000-0005-0000-0000-00001B1E0000}"/>
    <cellStyle name="Normal 8 4 7 3 2" xfId="15846" xr:uid="{08ACB9DD-E360-498A-8038-AF3FA7FF56AC}"/>
    <cellStyle name="Normal 8 4 7 3 3" xfId="24287" xr:uid="{837E7E45-E11E-4A56-9F18-97535F38B9AA}"/>
    <cellStyle name="Normal 8 4 7 3 4" xfId="32727" xr:uid="{713DC6E7-ADC0-4F33-99B0-8E6BAE1D5999}"/>
    <cellStyle name="Normal 8 4 7 4" xfId="11629" xr:uid="{1BBCBAEF-B822-4E01-866E-87351AFAA1F3}"/>
    <cellStyle name="Normal 8 4 7 5" xfId="20070" xr:uid="{57DA1150-04EA-4FB6-852A-1A80D66D01BE}"/>
    <cellStyle name="Normal 8 4 7 6" xfId="28510" xr:uid="{C9A6D48E-597A-4C46-853E-6BBC1BA66D7C}"/>
    <cellStyle name="Normal 8 4 8" xfId="2650" xr:uid="{00000000-0005-0000-0000-00001C1E0000}"/>
    <cellStyle name="Normal 8 4 8 2" xfId="6933" xr:uid="{00000000-0005-0000-0000-00001D1E0000}"/>
    <cellStyle name="Normal 8 4 8 2 2" xfId="16259" xr:uid="{D1BC36E7-A7ED-4EA7-9924-0472CA46BA6D}"/>
    <cellStyle name="Normal 8 4 8 2 3" xfId="24700" xr:uid="{AD1B6578-C3D0-45BF-9C35-9F01CB5C70BF}"/>
    <cellStyle name="Normal 8 4 8 2 4" xfId="33140" xr:uid="{9C255283-F197-4DB5-B9F5-9661A0FE53F7}"/>
    <cellStyle name="Normal 8 4 8 3" xfId="12042" xr:uid="{EBB5629A-D69F-4F53-9AEB-5ABA66073811}"/>
    <cellStyle name="Normal 8 4 8 4" xfId="20483" xr:uid="{F3F643EF-5324-4BE4-A458-D0BE6D53EE93}"/>
    <cellStyle name="Normal 8 4 8 5" xfId="28923" xr:uid="{1AEC32DB-610A-463D-BCFF-A9DA41D7E865}"/>
    <cellStyle name="Normal 8 4 9" xfId="4868" xr:uid="{00000000-0005-0000-0000-00001E1E0000}"/>
    <cellStyle name="Normal 8 4 9 2" xfId="14194" xr:uid="{A4736CD8-4C91-44C0-9E5F-1DE2411C7FAA}"/>
    <cellStyle name="Normal 8 4 9 3" xfId="22635" xr:uid="{CDE58EB6-3CAE-41A9-A42E-432176F3C262}"/>
    <cellStyle name="Normal 8 4 9 4" xfId="31075" xr:uid="{31292DA8-8C87-4055-A8B6-1F9D7729940D}"/>
    <cellStyle name="Normal 8 5" xfId="507" xr:uid="{00000000-0005-0000-0000-00001F1E0000}"/>
    <cellStyle name="Normal 8 5 10" xfId="9981" xr:uid="{6E281F27-C419-40E8-8D10-EE4E42AEB66C}"/>
    <cellStyle name="Normal 8 5 11" xfId="18422" xr:uid="{377ED742-208E-4EB1-835A-065A408DCA6E}"/>
    <cellStyle name="Normal 8 5 12" xfId="26862" xr:uid="{03D37333-CE26-497B-AE1C-3FDAD8B2A78D}"/>
    <cellStyle name="Normal 8 5 2" xfId="508" xr:uid="{00000000-0005-0000-0000-0000201E0000}"/>
    <cellStyle name="Normal 8 5 2 10" xfId="18423" xr:uid="{1B199BDD-5E0D-4979-A20C-6CC045FAD701}"/>
    <cellStyle name="Normal 8 5 2 11" xfId="26863" xr:uid="{6E1B6D4E-9C59-47A1-993F-8AA740B6F053}"/>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30C3B45D-B8C9-4999-B34E-BA78C90D3B46}"/>
    <cellStyle name="Normal 8 5 2 2 2 2 3" xfId="25198" xr:uid="{7A41B147-94B9-4264-A39F-30869D2843BE}"/>
    <cellStyle name="Normal 8 5 2 2 2 2 4" xfId="33638" xr:uid="{1E727D75-657B-4DA8-ACD7-E08455F8B98C}"/>
    <cellStyle name="Normal 8 5 2 2 2 3" xfId="12540" xr:uid="{0734AF7B-0627-499E-9042-20E8B2501019}"/>
    <cellStyle name="Normal 8 5 2 2 2 4" xfId="20981" xr:uid="{DD7357B2-D869-4E8C-A71B-BC119090C4B2}"/>
    <cellStyle name="Normal 8 5 2 2 2 5" xfId="29421" xr:uid="{7CC89F66-57FE-4E19-89C5-3C16943B8C89}"/>
    <cellStyle name="Normal 8 5 2 2 3" xfId="5286" xr:uid="{00000000-0005-0000-0000-0000241E0000}"/>
    <cellStyle name="Normal 8 5 2 2 3 2" xfId="14612" xr:uid="{A191E0B1-2078-481A-B6FF-4D8E35C5752B}"/>
    <cellStyle name="Normal 8 5 2 2 3 3" xfId="23053" xr:uid="{4D46C3A7-DA20-40D7-89F5-F2FC66E7C5E1}"/>
    <cellStyle name="Normal 8 5 2 2 3 4" xfId="31493" xr:uid="{FA01C247-A96F-4606-AC48-116CFA7848B9}"/>
    <cellStyle name="Normal 8 5 2 2 4" xfId="9477" xr:uid="{62ED1F43-6081-4B0B-94C3-5999D37D11C7}"/>
    <cellStyle name="Normal 8 5 2 2 5" xfId="10395" xr:uid="{CEB226C5-02C2-4EFC-B749-746DA2244E8A}"/>
    <cellStyle name="Normal 8 5 2 2 6" xfId="18836" xr:uid="{612BE23D-2036-4FBC-8EC1-0AC53C9976A7}"/>
    <cellStyle name="Normal 8 5 2 2 7" xfId="27276" xr:uid="{F6DC9C92-DE00-405F-BACF-ABE8BBEB15CF}"/>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7051A84D-6A9D-48B1-A84A-310051ED6345}"/>
    <cellStyle name="Normal 8 5 2 3 2 2 3" xfId="25611" xr:uid="{7BE54E5A-7CE9-48B7-8B33-7D8A0E6BFE0E}"/>
    <cellStyle name="Normal 8 5 2 3 2 2 4" xfId="34051" xr:uid="{0F47E4E0-99BE-4953-86D5-28ED3304AF0D}"/>
    <cellStyle name="Normal 8 5 2 3 2 3" xfId="12953" xr:uid="{4EEF7350-7D15-4748-A2C3-D38E03639823}"/>
    <cellStyle name="Normal 8 5 2 3 2 4" xfId="21394" xr:uid="{66D57D55-1439-422B-B1F0-684D64F84FA9}"/>
    <cellStyle name="Normal 8 5 2 3 2 5" xfId="29834" xr:uid="{B6AE3514-9E95-4F03-8E9A-98F92A4E717F}"/>
    <cellStyle name="Normal 8 5 2 3 3" xfId="5699" xr:uid="{00000000-0005-0000-0000-0000281E0000}"/>
    <cellStyle name="Normal 8 5 2 3 3 2" xfId="15025" xr:uid="{5C556C74-B1FD-4E42-B823-D1E737FE63B7}"/>
    <cellStyle name="Normal 8 5 2 3 3 3" xfId="23466" xr:uid="{7B814A27-A8F3-42C8-910E-B17B08525735}"/>
    <cellStyle name="Normal 8 5 2 3 3 4" xfId="31906" xr:uid="{95B5ACE5-583C-43B6-AFEB-3E494A095476}"/>
    <cellStyle name="Normal 8 5 2 3 4" xfId="10808" xr:uid="{E1A47A80-F635-4391-A2B4-C65CA4908581}"/>
    <cellStyle name="Normal 8 5 2 3 5" xfId="19249" xr:uid="{B2A335FA-4D39-4321-A511-19366CEEE295}"/>
    <cellStyle name="Normal 8 5 2 3 6" xfId="27689" xr:uid="{E70B1EA1-5EDE-4B98-899D-E398B5E435CA}"/>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5AD37088-8AAC-4C4E-9102-47596E409E6D}"/>
    <cellStyle name="Normal 8 5 2 4 2 2 3" xfId="26024" xr:uid="{C26047E7-AA0B-4A6C-B4A6-5180078F15BF}"/>
    <cellStyle name="Normal 8 5 2 4 2 2 4" xfId="34464" xr:uid="{47CC23D8-0E16-4941-944D-9B8BFABBE17F}"/>
    <cellStyle name="Normal 8 5 2 4 2 3" xfId="13366" xr:uid="{9EA30990-8C93-494E-8D97-C0BD9A69F992}"/>
    <cellStyle name="Normal 8 5 2 4 2 4" xfId="21807" xr:uid="{88677EDE-2FDE-421A-81AC-E2716760F9C3}"/>
    <cellStyle name="Normal 8 5 2 4 2 5" xfId="30247" xr:uid="{A968AFB7-DEB5-433E-A044-346ACEDCD630}"/>
    <cellStyle name="Normal 8 5 2 4 3" xfId="6112" xr:uid="{00000000-0005-0000-0000-00002C1E0000}"/>
    <cellStyle name="Normal 8 5 2 4 3 2" xfId="15438" xr:uid="{21C2741E-CEBB-47C0-813A-646423D57EA1}"/>
    <cellStyle name="Normal 8 5 2 4 3 3" xfId="23879" xr:uid="{82331D9B-1409-47D0-A8D3-BAE0594F2900}"/>
    <cellStyle name="Normal 8 5 2 4 3 4" xfId="32319" xr:uid="{EF8F755F-8509-421F-AA26-0A2EE7596410}"/>
    <cellStyle name="Normal 8 5 2 4 4" xfId="11221" xr:uid="{2F5FC2E1-2431-4887-A81A-B592803C64CC}"/>
    <cellStyle name="Normal 8 5 2 4 5" xfId="19662" xr:uid="{FE99B3F4-4311-468F-8933-C8050E8A357B}"/>
    <cellStyle name="Normal 8 5 2 4 6" xfId="28102" xr:uid="{50307D49-63F7-49DB-BA32-69C7B19A8A2C}"/>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3B7F08DE-A7A0-4187-B503-A9675BE7CBC5}"/>
    <cellStyle name="Normal 8 5 2 5 2 2 3" xfId="26437" xr:uid="{7750C5AD-7DBC-41E8-86F5-75DA0F713643}"/>
    <cellStyle name="Normal 8 5 2 5 2 2 4" xfId="34877" xr:uid="{4BF8C680-3CF0-49C9-8A12-33E705D4BF8F}"/>
    <cellStyle name="Normal 8 5 2 5 2 3" xfId="13779" xr:uid="{51436150-204E-4FBB-AE1B-0C13AF208B92}"/>
    <cellStyle name="Normal 8 5 2 5 2 4" xfId="22220" xr:uid="{A9CA3F54-40F6-463E-82D5-BBE7F0061260}"/>
    <cellStyle name="Normal 8 5 2 5 2 5" xfId="30660" xr:uid="{9092D228-AEE4-4513-93CF-3444FE16D7CF}"/>
    <cellStyle name="Normal 8 5 2 5 3" xfId="6525" xr:uid="{00000000-0005-0000-0000-0000301E0000}"/>
    <cellStyle name="Normal 8 5 2 5 3 2" xfId="15851" xr:uid="{25DA7FE0-21E1-41AA-ABAF-AAA902E3C431}"/>
    <cellStyle name="Normal 8 5 2 5 3 3" xfId="24292" xr:uid="{D971CFEC-09E6-4B90-A712-0F37CD7CE223}"/>
    <cellStyle name="Normal 8 5 2 5 3 4" xfId="32732" xr:uid="{C2D32E78-AA70-49F2-B836-9A9AB125D1B2}"/>
    <cellStyle name="Normal 8 5 2 5 4" xfId="11634" xr:uid="{C55545A9-83FF-4C97-85E1-2FF7673B9FA9}"/>
    <cellStyle name="Normal 8 5 2 5 5" xfId="20075" xr:uid="{C4130205-E65D-427E-A208-BB33FCA249AB}"/>
    <cellStyle name="Normal 8 5 2 5 6" xfId="28515" xr:uid="{4A3CC693-70DC-4ED9-AF97-59B32662F512}"/>
    <cellStyle name="Normal 8 5 2 6" xfId="2655" xr:uid="{00000000-0005-0000-0000-0000311E0000}"/>
    <cellStyle name="Normal 8 5 2 6 2" xfId="6938" xr:uid="{00000000-0005-0000-0000-0000321E0000}"/>
    <cellStyle name="Normal 8 5 2 6 2 2" xfId="16264" xr:uid="{9F4ED441-63C8-4CF2-AC55-90DF63DDD73C}"/>
    <cellStyle name="Normal 8 5 2 6 2 3" xfId="24705" xr:uid="{99837C88-A75C-44F0-B928-DC27496BA854}"/>
    <cellStyle name="Normal 8 5 2 6 2 4" xfId="33145" xr:uid="{A8995171-BDAD-40FF-B39F-F05B2CC6A198}"/>
    <cellStyle name="Normal 8 5 2 6 3" xfId="12047" xr:uid="{D8FBBA20-ACC6-4C9A-AF05-CFAC77A15D40}"/>
    <cellStyle name="Normal 8 5 2 6 4" xfId="20488" xr:uid="{9BA01DC4-FED3-48E8-9433-69B3B142D5D9}"/>
    <cellStyle name="Normal 8 5 2 6 5" xfId="28928" xr:uid="{A8537F16-4A3E-4176-BD53-494CE4F6A51D}"/>
    <cellStyle name="Normal 8 5 2 7" xfId="4873" xr:uid="{00000000-0005-0000-0000-0000331E0000}"/>
    <cellStyle name="Normal 8 5 2 7 2" xfId="14199" xr:uid="{BFA25E87-0EF1-462F-B68C-90966B6E56D3}"/>
    <cellStyle name="Normal 8 5 2 7 3" xfId="22640" xr:uid="{825F830B-F84C-4964-BA0B-B8E3680EB13E}"/>
    <cellStyle name="Normal 8 5 2 7 4" xfId="31080" xr:uid="{E1ADFC7F-7401-45E8-8CB9-8FE26540B9DE}"/>
    <cellStyle name="Normal 8 5 2 8" xfId="9052" xr:uid="{D754D15A-EECE-4975-9542-AF3C340304E3}"/>
    <cellStyle name="Normal 8 5 2 9" xfId="9982" xr:uid="{E02FC578-9325-4CB0-BDEA-1FB79FCC4260}"/>
    <cellStyle name="Normal 8 5 3" xfId="974" xr:uid="{00000000-0005-0000-0000-0000341E0000}"/>
    <cellStyle name="Normal 8 5 3 2" xfId="3208" xr:uid="{00000000-0005-0000-0000-0000351E0000}"/>
    <cellStyle name="Normal 8 5 3 2 2" xfId="7430" xr:uid="{00000000-0005-0000-0000-0000361E0000}"/>
    <cellStyle name="Normal 8 5 3 2 2 2" xfId="16756" xr:uid="{4C9850AD-C0BF-4630-B6A3-5A59EB89A19C}"/>
    <cellStyle name="Normal 8 5 3 2 2 3" xfId="25197" xr:uid="{8B7E0672-7A4C-446B-8AC0-0D56E4B447BE}"/>
    <cellStyle name="Normal 8 5 3 2 2 4" xfId="33637" xr:uid="{338538AD-52AD-4D5F-9C60-BFE6EDED79FA}"/>
    <cellStyle name="Normal 8 5 3 2 3" xfId="12539" xr:uid="{8B9540AD-02B9-4C43-975C-CAC36506683A}"/>
    <cellStyle name="Normal 8 5 3 2 4" xfId="20980" xr:uid="{32C7BD86-32C0-4066-8430-6013BE49BD99}"/>
    <cellStyle name="Normal 8 5 3 2 5" xfId="29420" xr:uid="{876434E4-D3B9-49C1-8CBF-286D5A44E01F}"/>
    <cellStyle name="Normal 8 5 3 3" xfId="5285" xr:uid="{00000000-0005-0000-0000-0000371E0000}"/>
    <cellStyle name="Normal 8 5 3 3 2" xfId="14611" xr:uid="{C6A10483-FB91-4FA3-A937-3942B1C98355}"/>
    <cellStyle name="Normal 8 5 3 3 3" xfId="23052" xr:uid="{DF320A51-9A40-4346-84AD-5A2D40C00B89}"/>
    <cellStyle name="Normal 8 5 3 3 4" xfId="31492" xr:uid="{089F769F-2738-42D9-8672-52A46692864B}"/>
    <cellStyle name="Normal 8 5 3 4" xfId="9270" xr:uid="{88F9D262-71F2-4DD2-A7F6-B0DCE74ABD45}"/>
    <cellStyle name="Normal 8 5 3 5" xfId="10394" xr:uid="{A864233D-5B49-4382-88E2-ABA4EFF7D3AA}"/>
    <cellStyle name="Normal 8 5 3 6" xfId="18835" xr:uid="{4B362C76-8EEB-4F93-A5A0-8362C2FCE16A}"/>
    <cellStyle name="Normal 8 5 3 7" xfId="27275" xr:uid="{C0042BAD-9CAA-43B3-A9C7-62704AA7CADC}"/>
    <cellStyle name="Normal 8 5 4" xfId="1391" xr:uid="{00000000-0005-0000-0000-0000381E0000}"/>
    <cellStyle name="Normal 8 5 4 2" xfId="3621" xr:uid="{00000000-0005-0000-0000-0000391E0000}"/>
    <cellStyle name="Normal 8 5 4 2 2" xfId="7843" xr:uid="{00000000-0005-0000-0000-00003A1E0000}"/>
    <cellStyle name="Normal 8 5 4 2 2 2" xfId="17169" xr:uid="{99DE1C9E-972E-4FCF-954E-7380B891A973}"/>
    <cellStyle name="Normal 8 5 4 2 2 3" xfId="25610" xr:uid="{3AC18CDA-C891-42B6-A598-CD92D1FEDBB7}"/>
    <cellStyle name="Normal 8 5 4 2 2 4" xfId="34050" xr:uid="{8D107E4C-9A33-4A0C-B8CA-321D7EA4A464}"/>
    <cellStyle name="Normal 8 5 4 2 3" xfId="12952" xr:uid="{F6ADB51B-6D9B-4CCE-BA51-A615B73762DC}"/>
    <cellStyle name="Normal 8 5 4 2 4" xfId="21393" xr:uid="{75B82C58-0919-45B6-BE0D-0A7B8EA5A818}"/>
    <cellStyle name="Normal 8 5 4 2 5" xfId="29833" xr:uid="{4ABE14AC-C40E-4B48-8D00-01F048158CCA}"/>
    <cellStyle name="Normal 8 5 4 3" xfId="5698" xr:uid="{00000000-0005-0000-0000-00003B1E0000}"/>
    <cellStyle name="Normal 8 5 4 3 2" xfId="15024" xr:uid="{C0C0A462-B5C3-49E8-84CC-F60589A76FEC}"/>
    <cellStyle name="Normal 8 5 4 3 3" xfId="23465" xr:uid="{00CB5BC9-FF05-48C0-BAF8-C998CCB2A944}"/>
    <cellStyle name="Normal 8 5 4 3 4" xfId="31905" xr:uid="{F4627E41-EA16-4C73-BF08-D6064570822C}"/>
    <cellStyle name="Normal 8 5 4 4" xfId="10807" xr:uid="{B162E05D-8979-4361-A9F3-85BD7505806C}"/>
    <cellStyle name="Normal 8 5 4 5" xfId="19248" xr:uid="{1EC7E2CF-CAD4-4892-8053-3AD7E3C8931B}"/>
    <cellStyle name="Normal 8 5 4 6" xfId="27688" xr:uid="{0C9493D8-1F17-45C7-AE15-B6761EC38434}"/>
    <cellStyle name="Normal 8 5 5" xfId="1804" xr:uid="{00000000-0005-0000-0000-00003C1E0000}"/>
    <cellStyle name="Normal 8 5 5 2" xfId="4034" xr:uid="{00000000-0005-0000-0000-00003D1E0000}"/>
    <cellStyle name="Normal 8 5 5 2 2" xfId="8256" xr:uid="{00000000-0005-0000-0000-00003E1E0000}"/>
    <cellStyle name="Normal 8 5 5 2 2 2" xfId="17582" xr:uid="{DD9603FE-3B7A-432F-B843-F1180E474BE8}"/>
    <cellStyle name="Normal 8 5 5 2 2 3" xfId="26023" xr:uid="{099C34AA-CF95-44AE-864C-D31E9F3E7123}"/>
    <cellStyle name="Normal 8 5 5 2 2 4" xfId="34463" xr:uid="{E7BEEB43-294D-4E28-82A2-26108B081EB8}"/>
    <cellStyle name="Normal 8 5 5 2 3" xfId="13365" xr:uid="{5ADD4259-C45B-4150-A127-04AE309F91AB}"/>
    <cellStyle name="Normal 8 5 5 2 4" xfId="21806" xr:uid="{6CACAE66-F3A7-4CF1-A2F1-BDF4F23153FC}"/>
    <cellStyle name="Normal 8 5 5 2 5" xfId="30246" xr:uid="{4D8D18F8-9F6F-4F46-B83A-828D9F3900D8}"/>
    <cellStyle name="Normal 8 5 5 3" xfId="6111" xr:uid="{00000000-0005-0000-0000-00003F1E0000}"/>
    <cellStyle name="Normal 8 5 5 3 2" xfId="15437" xr:uid="{20C84A67-175B-4DEA-A695-2427A6170D88}"/>
    <cellStyle name="Normal 8 5 5 3 3" xfId="23878" xr:uid="{A376AC76-1AB3-42CD-8006-5A197F233A70}"/>
    <cellStyle name="Normal 8 5 5 3 4" xfId="32318" xr:uid="{9660D77F-86A6-4AD4-9F20-7F2138D9AE00}"/>
    <cellStyle name="Normal 8 5 5 4" xfId="11220" xr:uid="{5C81339A-C4D8-4897-A5B6-9AB869C2896A}"/>
    <cellStyle name="Normal 8 5 5 5" xfId="19661" xr:uid="{445BED0B-9CE0-4A41-A099-6FE0C3881C8E}"/>
    <cellStyle name="Normal 8 5 5 6" xfId="28101" xr:uid="{03F6E7ED-D98A-4C4E-B16F-63FEDCB8BC58}"/>
    <cellStyle name="Normal 8 5 6" xfId="2218" xr:uid="{00000000-0005-0000-0000-0000401E0000}"/>
    <cellStyle name="Normal 8 5 6 2" xfId="4447" xr:uid="{00000000-0005-0000-0000-0000411E0000}"/>
    <cellStyle name="Normal 8 5 6 2 2" xfId="8669" xr:uid="{00000000-0005-0000-0000-0000421E0000}"/>
    <cellStyle name="Normal 8 5 6 2 2 2" xfId="17995" xr:uid="{F7B8750D-7BEB-4E64-87DF-B684739E61A8}"/>
    <cellStyle name="Normal 8 5 6 2 2 3" xfId="26436" xr:uid="{6F7AB7A9-7BB4-4602-B01E-057B9D0621D4}"/>
    <cellStyle name="Normal 8 5 6 2 2 4" xfId="34876" xr:uid="{A0FB56BE-6342-4C6C-8A43-95F4CA6D9605}"/>
    <cellStyle name="Normal 8 5 6 2 3" xfId="13778" xr:uid="{3AB01286-5ABB-44EB-BBA8-40A0C51CFDF3}"/>
    <cellStyle name="Normal 8 5 6 2 4" xfId="22219" xr:uid="{E405C3BD-B377-4309-B034-C473F5E8FF6C}"/>
    <cellStyle name="Normal 8 5 6 2 5" xfId="30659" xr:uid="{E2CCE77D-4B42-4099-8962-5FDFF40029A1}"/>
    <cellStyle name="Normal 8 5 6 3" xfId="6524" xr:uid="{00000000-0005-0000-0000-0000431E0000}"/>
    <cellStyle name="Normal 8 5 6 3 2" xfId="15850" xr:uid="{BB20C0B8-9565-4BF2-80FC-6A5C09B04DEC}"/>
    <cellStyle name="Normal 8 5 6 3 3" xfId="24291" xr:uid="{C3DFC96A-84BF-4CA1-BE4C-948C3CDC8D2B}"/>
    <cellStyle name="Normal 8 5 6 3 4" xfId="32731" xr:uid="{068E5C7E-FA91-45C7-8204-3538A92016A8}"/>
    <cellStyle name="Normal 8 5 6 4" xfId="11633" xr:uid="{70D6FF32-F736-4F4A-B828-B37BAC587F00}"/>
    <cellStyle name="Normal 8 5 6 5" xfId="20074" xr:uid="{32F2B2EE-5401-4C4A-888B-5D8F6578ED84}"/>
    <cellStyle name="Normal 8 5 6 6" xfId="28514" xr:uid="{0890DA01-2DDA-4561-A9C6-0A329A4FD9CE}"/>
    <cellStyle name="Normal 8 5 7" xfId="2654" xr:uid="{00000000-0005-0000-0000-0000441E0000}"/>
    <cellStyle name="Normal 8 5 7 2" xfId="6937" xr:uid="{00000000-0005-0000-0000-0000451E0000}"/>
    <cellStyle name="Normal 8 5 7 2 2" xfId="16263" xr:uid="{867213B0-6D6D-47FD-935D-0598C0391D74}"/>
    <cellStyle name="Normal 8 5 7 2 3" xfId="24704" xr:uid="{7C384A2B-95C4-4212-AE1D-16F669200D0C}"/>
    <cellStyle name="Normal 8 5 7 2 4" xfId="33144" xr:uid="{E3BB0811-93E6-4E92-B947-9A8FF518F552}"/>
    <cellStyle name="Normal 8 5 7 3" xfId="12046" xr:uid="{8999299A-36AE-4C16-8A0A-12651F891168}"/>
    <cellStyle name="Normal 8 5 7 4" xfId="20487" xr:uid="{F6220605-2A43-4214-BB2B-6856349C5EF8}"/>
    <cellStyle name="Normal 8 5 7 5" xfId="28927" xr:uid="{A2BFE2D0-D4EB-49F6-A2A7-865C35071222}"/>
    <cellStyle name="Normal 8 5 8" xfId="4872" xr:uid="{00000000-0005-0000-0000-0000461E0000}"/>
    <cellStyle name="Normal 8 5 8 2" xfId="14198" xr:uid="{F790BBBB-33C3-4F2A-B128-60D0C69C1CF5}"/>
    <cellStyle name="Normal 8 5 8 3" xfId="22639" xr:uid="{E80BA9E3-63A8-49AD-BD98-ECEB12574DAB}"/>
    <cellStyle name="Normal 8 5 8 4" xfId="31079" xr:uid="{E87AF175-56A4-4BA2-9351-090847B19D22}"/>
    <cellStyle name="Normal 8 5 9" xfId="8845" xr:uid="{C8167C67-59BC-42DE-816D-718433EFB28C}"/>
    <cellStyle name="Normal 8 6" xfId="509" xr:uid="{00000000-0005-0000-0000-0000471E0000}"/>
    <cellStyle name="Normal 8 6 10" xfId="18424" xr:uid="{6E107B5D-B286-400D-8E39-C9DC2694D107}"/>
    <cellStyle name="Normal 8 6 11" xfId="26864" xr:uid="{92AFE9CE-7D12-4096-B69E-9E2DF5EF6929}"/>
    <cellStyle name="Normal 8 6 2" xfId="976" xr:uid="{00000000-0005-0000-0000-0000481E0000}"/>
    <cellStyle name="Normal 8 6 2 2" xfId="3210" xr:uid="{00000000-0005-0000-0000-0000491E0000}"/>
    <cellStyle name="Normal 8 6 2 2 2" xfId="7432" xr:uid="{00000000-0005-0000-0000-00004A1E0000}"/>
    <cellStyle name="Normal 8 6 2 2 2 2" xfId="16758" xr:uid="{A2FEECE0-2115-4E55-AD6E-FD76479BE1A8}"/>
    <cellStyle name="Normal 8 6 2 2 2 3" xfId="25199" xr:uid="{0E139DE2-7756-4522-B92E-8AEE5A1D8CB4}"/>
    <cellStyle name="Normal 8 6 2 2 2 4" xfId="33639" xr:uid="{2C2F4EF5-9919-4BE0-A764-487CC0C42EDB}"/>
    <cellStyle name="Normal 8 6 2 2 3" xfId="12541" xr:uid="{C47C4880-E70E-4D60-A4FF-11E12EF4CD38}"/>
    <cellStyle name="Normal 8 6 2 2 4" xfId="20982" xr:uid="{58BEA233-4240-423C-B1B4-437804FB6942}"/>
    <cellStyle name="Normal 8 6 2 2 5" xfId="29422" xr:uid="{9E672E9D-9165-439E-80D5-4251316D1EA5}"/>
    <cellStyle name="Normal 8 6 2 3" xfId="5287" xr:uid="{00000000-0005-0000-0000-00004B1E0000}"/>
    <cellStyle name="Normal 8 6 2 3 2" xfId="14613" xr:uid="{6A0214B5-E315-442F-9231-33582C18B761}"/>
    <cellStyle name="Normal 8 6 2 3 3" xfId="23054" xr:uid="{29525375-909C-485F-AD11-2DA8B3645FE5}"/>
    <cellStyle name="Normal 8 6 2 3 4" xfId="31494" xr:uid="{D60F1424-01D9-4892-9521-8468E4C26627}"/>
    <cellStyle name="Normal 8 6 2 4" xfId="9386" xr:uid="{45A5CE0D-B006-45BB-A53E-22B23F4367E3}"/>
    <cellStyle name="Normal 8 6 2 5" xfId="10396" xr:uid="{3F3872CA-2BAA-4E69-9F4E-30493C24D1FA}"/>
    <cellStyle name="Normal 8 6 2 6" xfId="18837" xr:uid="{1F0C4BB0-E1A0-49D4-B5F8-6C4BCC7F46A6}"/>
    <cellStyle name="Normal 8 6 2 7" xfId="27277" xr:uid="{1D24FF09-319C-4396-A7B1-D981643C0DAF}"/>
    <cellStyle name="Normal 8 6 3" xfId="1393" xr:uid="{00000000-0005-0000-0000-00004C1E0000}"/>
    <cellStyle name="Normal 8 6 3 2" xfId="3623" xr:uid="{00000000-0005-0000-0000-00004D1E0000}"/>
    <cellStyle name="Normal 8 6 3 2 2" xfId="7845" xr:uid="{00000000-0005-0000-0000-00004E1E0000}"/>
    <cellStyle name="Normal 8 6 3 2 2 2" xfId="17171" xr:uid="{68C7099B-8E81-4134-810C-E78DDF446F32}"/>
    <cellStyle name="Normal 8 6 3 2 2 3" xfId="25612" xr:uid="{A4701A3E-3127-4F60-85B7-E43D553C9B0E}"/>
    <cellStyle name="Normal 8 6 3 2 2 4" xfId="34052" xr:uid="{ACE973A1-026B-420E-B652-E3EA301F730D}"/>
    <cellStyle name="Normal 8 6 3 2 3" xfId="12954" xr:uid="{2629E8B6-A5D8-4CB8-A0A6-5BF734F7E14C}"/>
    <cellStyle name="Normal 8 6 3 2 4" xfId="21395" xr:uid="{F3110D7B-D03C-4376-9F6B-0F5ADE004811}"/>
    <cellStyle name="Normal 8 6 3 2 5" xfId="29835" xr:uid="{98F42B62-6FB9-49D8-BCB9-CE062144BB62}"/>
    <cellStyle name="Normal 8 6 3 3" xfId="5700" xr:uid="{00000000-0005-0000-0000-00004F1E0000}"/>
    <cellStyle name="Normal 8 6 3 3 2" xfId="15026" xr:uid="{42519880-9D26-498C-96C0-C1EA2851723C}"/>
    <cellStyle name="Normal 8 6 3 3 3" xfId="23467" xr:uid="{B7648FDF-464F-4879-B9AB-446EAA4674EC}"/>
    <cellStyle name="Normal 8 6 3 3 4" xfId="31907" xr:uid="{18DF8CE7-42D5-45AE-8A1C-23F2FE317B33}"/>
    <cellStyle name="Normal 8 6 3 4" xfId="10809" xr:uid="{F85F6BF9-F92F-453C-82E7-CC51E70AC891}"/>
    <cellStyle name="Normal 8 6 3 5" xfId="19250" xr:uid="{1F92FA96-771F-4D35-ABD5-A82714131A7E}"/>
    <cellStyle name="Normal 8 6 3 6" xfId="27690" xr:uid="{CCD0F32C-438F-47D5-A95A-1C2F5B79DE66}"/>
    <cellStyle name="Normal 8 6 4" xfId="1806" xr:uid="{00000000-0005-0000-0000-0000501E0000}"/>
    <cellStyle name="Normal 8 6 4 2" xfId="4036" xr:uid="{00000000-0005-0000-0000-0000511E0000}"/>
    <cellStyle name="Normal 8 6 4 2 2" xfId="8258" xr:uid="{00000000-0005-0000-0000-0000521E0000}"/>
    <cellStyle name="Normal 8 6 4 2 2 2" xfId="17584" xr:uid="{DF147212-CF50-408C-9E51-3BFFDBF1C9F9}"/>
    <cellStyle name="Normal 8 6 4 2 2 3" xfId="26025" xr:uid="{C4644B87-F817-4B1C-BE62-CF0FFD1BB9E7}"/>
    <cellStyle name="Normal 8 6 4 2 2 4" xfId="34465" xr:uid="{E065C500-0E86-4FD1-AE6C-8BE1EBECEB4E}"/>
    <cellStyle name="Normal 8 6 4 2 3" xfId="13367" xr:uid="{518B5CD6-D57C-4DFF-BA1D-17B64609213E}"/>
    <cellStyle name="Normal 8 6 4 2 4" xfId="21808" xr:uid="{5AEFD738-3004-47D6-BB91-9CCC4DCF3A14}"/>
    <cellStyle name="Normal 8 6 4 2 5" xfId="30248" xr:uid="{0C1875E2-FFCA-49AE-B991-C4DCD3084BBA}"/>
    <cellStyle name="Normal 8 6 4 3" xfId="6113" xr:uid="{00000000-0005-0000-0000-0000531E0000}"/>
    <cellStyle name="Normal 8 6 4 3 2" xfId="15439" xr:uid="{C4794962-657A-41AF-BF05-237BBF92CF05}"/>
    <cellStyle name="Normal 8 6 4 3 3" xfId="23880" xr:uid="{B3BFF265-2797-4B11-B0FF-B63A30C22691}"/>
    <cellStyle name="Normal 8 6 4 3 4" xfId="32320" xr:uid="{10ED3447-1D98-46E9-B53D-55EDC5C84F4F}"/>
    <cellStyle name="Normal 8 6 4 4" xfId="11222" xr:uid="{8A0AEEBA-E8E3-4A2E-B5F9-5F992E2C00F7}"/>
    <cellStyle name="Normal 8 6 4 5" xfId="19663" xr:uid="{2A82F5D2-A35E-40C9-A748-6A75373C9157}"/>
    <cellStyle name="Normal 8 6 4 6" xfId="28103" xr:uid="{5152329C-D5BB-47F5-859C-5EC7F13BD664}"/>
    <cellStyle name="Normal 8 6 5" xfId="2220" xr:uid="{00000000-0005-0000-0000-0000541E0000}"/>
    <cellStyle name="Normal 8 6 5 2" xfId="4449" xr:uid="{00000000-0005-0000-0000-0000551E0000}"/>
    <cellStyle name="Normal 8 6 5 2 2" xfId="8671" xr:uid="{00000000-0005-0000-0000-0000561E0000}"/>
    <cellStyle name="Normal 8 6 5 2 2 2" xfId="17997" xr:uid="{62ADE98F-3D37-4414-823A-1AF4F7D6E198}"/>
    <cellStyle name="Normal 8 6 5 2 2 3" xfId="26438" xr:uid="{EBFF6C06-D4FD-47C7-A2EA-05BEC1337818}"/>
    <cellStyle name="Normal 8 6 5 2 2 4" xfId="34878" xr:uid="{5730EAF0-E9A6-425E-9794-CC3CF2755C14}"/>
    <cellStyle name="Normal 8 6 5 2 3" xfId="13780" xr:uid="{DB0ADE56-5537-43B6-A8E6-B259BB926FC8}"/>
    <cellStyle name="Normal 8 6 5 2 4" xfId="22221" xr:uid="{0E25453C-5122-43E1-AF9D-ED11510759EF}"/>
    <cellStyle name="Normal 8 6 5 2 5" xfId="30661" xr:uid="{19224645-BA66-4E68-B089-7898060E732E}"/>
    <cellStyle name="Normal 8 6 5 3" xfId="6526" xr:uid="{00000000-0005-0000-0000-0000571E0000}"/>
    <cellStyle name="Normal 8 6 5 3 2" xfId="15852" xr:uid="{08BA4F8C-5EEB-4EAF-82F0-C3CA813E15F9}"/>
    <cellStyle name="Normal 8 6 5 3 3" xfId="24293" xr:uid="{D60E40AE-B7E6-4FA7-9AAA-C46050B63279}"/>
    <cellStyle name="Normal 8 6 5 3 4" xfId="32733" xr:uid="{B3F7BA3E-9D44-473C-AAAD-70035DDC098B}"/>
    <cellStyle name="Normal 8 6 5 4" xfId="11635" xr:uid="{2F9889A1-B729-48E1-B2E4-A58069370CFA}"/>
    <cellStyle name="Normal 8 6 5 5" xfId="20076" xr:uid="{4393C251-73A5-4B94-A927-2B377635A2E6}"/>
    <cellStyle name="Normal 8 6 5 6" xfId="28516" xr:uid="{15FBCB46-538F-4610-93EA-EBCA7BD00E63}"/>
    <cellStyle name="Normal 8 6 6" xfId="2656" xr:uid="{00000000-0005-0000-0000-0000581E0000}"/>
    <cellStyle name="Normal 8 6 6 2" xfId="6939" xr:uid="{00000000-0005-0000-0000-0000591E0000}"/>
    <cellStyle name="Normal 8 6 6 2 2" xfId="16265" xr:uid="{3D0017D9-0B84-432E-A43E-F4053A215C4E}"/>
    <cellStyle name="Normal 8 6 6 2 3" xfId="24706" xr:uid="{54F95628-4559-4A24-A28B-6A55DDA6D520}"/>
    <cellStyle name="Normal 8 6 6 2 4" xfId="33146" xr:uid="{7830C059-6B04-4DEF-8B06-E458F628AD33}"/>
    <cellStyle name="Normal 8 6 6 3" xfId="12048" xr:uid="{DE295FA4-EA6C-4852-B1C0-2856B60D5BED}"/>
    <cellStyle name="Normal 8 6 6 4" xfId="20489" xr:uid="{96293A5E-E5D6-45F3-89AC-05246F4AFB10}"/>
    <cellStyle name="Normal 8 6 6 5" xfId="28929" xr:uid="{1E0D30DD-6B70-4AF8-A408-A780F89B5A04}"/>
    <cellStyle name="Normal 8 6 7" xfId="4874" xr:uid="{00000000-0005-0000-0000-00005A1E0000}"/>
    <cellStyle name="Normal 8 6 7 2" xfId="14200" xr:uid="{343A1B58-83B2-4E6E-A102-60A1EEC95E60}"/>
    <cellStyle name="Normal 8 6 7 3" xfId="22641" xr:uid="{9C1B019D-DD3D-4878-ABFA-49F44D54648F}"/>
    <cellStyle name="Normal 8 6 7 4" xfId="31081" xr:uid="{07634C33-96C8-4508-BB4C-78470B33BCF3}"/>
    <cellStyle name="Normal 8 6 8" xfId="8961" xr:uid="{36060843-7B38-46C3-B2F1-7172ECB11EEE}"/>
    <cellStyle name="Normal 8 6 9" xfId="9983" xr:uid="{5019796A-C151-4710-827B-D235FE0D5073}"/>
    <cellStyle name="Normal 8 7" xfId="945" xr:uid="{00000000-0005-0000-0000-00005B1E0000}"/>
    <cellStyle name="Normal 8 7 2" xfId="3179" xr:uid="{00000000-0005-0000-0000-00005C1E0000}"/>
    <cellStyle name="Normal 8 7 2 2" xfId="7401" xr:uid="{00000000-0005-0000-0000-00005D1E0000}"/>
    <cellStyle name="Normal 8 7 2 2 2" xfId="16727" xr:uid="{CDA16ECF-B36A-4A8D-B36C-91CBF8C8D088}"/>
    <cellStyle name="Normal 8 7 2 2 3" xfId="25168" xr:uid="{9498E7E1-47BD-4622-92A4-7715DFA1ADCD}"/>
    <cellStyle name="Normal 8 7 2 2 4" xfId="33608" xr:uid="{4B818313-EBC7-45F5-AA44-2112666068EF}"/>
    <cellStyle name="Normal 8 7 2 3" xfId="12510" xr:uid="{71F069F6-423E-4D78-AFF5-9B8B492ADB1D}"/>
    <cellStyle name="Normal 8 7 2 4" xfId="20951" xr:uid="{8F0FC4B2-B18B-48A1-AA8F-51E43CABCB90}"/>
    <cellStyle name="Normal 8 7 2 5" xfId="29391" xr:uid="{FA767096-B70A-4753-A355-E07E9A71602B}"/>
    <cellStyle name="Normal 8 7 3" xfId="5256" xr:uid="{00000000-0005-0000-0000-00005E1E0000}"/>
    <cellStyle name="Normal 8 7 3 2" xfId="14582" xr:uid="{B66F8DF2-AA9D-4BD1-90BF-2BBFB1C954CB}"/>
    <cellStyle name="Normal 8 7 3 3" xfId="23023" xr:uid="{886786BF-7760-4E48-B96E-92A4A59074E4}"/>
    <cellStyle name="Normal 8 7 3 4" xfId="31463" xr:uid="{CFB4F7C1-9B84-42AC-9CEC-CCDC296F9320}"/>
    <cellStyle name="Normal 8 7 4" xfId="9164" xr:uid="{EA2ADDDA-E9AC-4FF8-B08B-61B1D6489A46}"/>
    <cellStyle name="Normal 8 7 5" xfId="10365" xr:uid="{62A3AF3F-E14B-4610-A7CF-594675921E98}"/>
    <cellStyle name="Normal 8 7 6" xfId="18806" xr:uid="{BC408A0B-E2F4-46B7-91A0-A82D2760B0E3}"/>
    <cellStyle name="Normal 8 7 7" xfId="27246" xr:uid="{F6BD8304-5B21-4505-9D90-5EF578EAC017}"/>
    <cellStyle name="Normal 8 8" xfId="1362" xr:uid="{00000000-0005-0000-0000-00005F1E0000}"/>
    <cellStyle name="Normal 8 8 2" xfId="3592" xr:uid="{00000000-0005-0000-0000-0000601E0000}"/>
    <cellStyle name="Normal 8 8 2 2" xfId="7814" xr:uid="{00000000-0005-0000-0000-0000611E0000}"/>
    <cellStyle name="Normal 8 8 2 2 2" xfId="17140" xr:uid="{E9E014D4-57A7-40FD-801C-34189D65AD8C}"/>
    <cellStyle name="Normal 8 8 2 2 3" xfId="25581" xr:uid="{1F555A05-39D9-468E-9653-EF7AEAD05199}"/>
    <cellStyle name="Normal 8 8 2 2 4" xfId="34021" xr:uid="{D9BA5AA7-8336-4AE4-B66E-17DDB94F6E63}"/>
    <cellStyle name="Normal 8 8 2 3" xfId="12923" xr:uid="{EED2735E-9D0A-46EA-9C7D-C15EFF44D653}"/>
    <cellStyle name="Normal 8 8 2 4" xfId="21364" xr:uid="{DFC137CE-757D-4326-91CB-29E6384A186F}"/>
    <cellStyle name="Normal 8 8 2 5" xfId="29804" xr:uid="{92FAC30F-A9A9-48CB-ABDF-ACF2981E24EF}"/>
    <cellStyle name="Normal 8 8 3" xfId="5669" xr:uid="{00000000-0005-0000-0000-0000621E0000}"/>
    <cellStyle name="Normal 8 8 3 2" xfId="14995" xr:uid="{6A93B99E-F763-4747-B280-04F054367D7A}"/>
    <cellStyle name="Normal 8 8 3 3" xfId="23436" xr:uid="{6CB5545D-EF15-4999-AF85-8651827022E6}"/>
    <cellStyle name="Normal 8 8 3 4" xfId="31876" xr:uid="{BF9C4548-8637-4FF6-AFA5-0200F35D5450}"/>
    <cellStyle name="Normal 8 8 4" xfId="10778" xr:uid="{B35CDD49-3234-47F3-AE51-751961865D3E}"/>
    <cellStyle name="Normal 8 8 5" xfId="19219" xr:uid="{6B69FEEA-89D8-4BA9-9EF5-EFB77730C928}"/>
    <cellStyle name="Normal 8 8 6" xfId="27659" xr:uid="{3EE24532-BEE5-4223-8601-2C4126BD4700}"/>
    <cellStyle name="Normal 8 9" xfId="1775" xr:uid="{00000000-0005-0000-0000-0000631E0000}"/>
    <cellStyle name="Normal 8 9 2" xfId="4005" xr:uid="{00000000-0005-0000-0000-0000641E0000}"/>
    <cellStyle name="Normal 8 9 2 2" xfId="8227" xr:uid="{00000000-0005-0000-0000-0000651E0000}"/>
    <cellStyle name="Normal 8 9 2 2 2" xfId="17553" xr:uid="{CCE3D6A7-977B-44F1-9A26-D6A11F39EE10}"/>
    <cellStyle name="Normal 8 9 2 2 3" xfId="25994" xr:uid="{3B310B53-AC1D-4A5B-8E72-6CC001634C27}"/>
    <cellStyle name="Normal 8 9 2 2 4" xfId="34434" xr:uid="{47736038-425C-4906-906D-71353035033B}"/>
    <cellStyle name="Normal 8 9 2 3" xfId="13336" xr:uid="{02B99B27-3284-4522-9D44-63FA38791954}"/>
    <cellStyle name="Normal 8 9 2 4" xfId="21777" xr:uid="{252E957F-4A6E-411F-8C04-46D463B229BA}"/>
    <cellStyle name="Normal 8 9 2 5" xfId="30217" xr:uid="{7C3C2EC6-093D-4B75-BFBF-BF686CF24395}"/>
    <cellStyle name="Normal 8 9 3" xfId="6082" xr:uid="{00000000-0005-0000-0000-0000661E0000}"/>
    <cellStyle name="Normal 8 9 3 2" xfId="15408" xr:uid="{18271F5E-0F92-44B6-860C-FD52012EAA86}"/>
    <cellStyle name="Normal 8 9 3 3" xfId="23849" xr:uid="{A8C1639B-8221-4E05-8669-83CCF5951D93}"/>
    <cellStyle name="Normal 8 9 3 4" xfId="32289" xr:uid="{2DA5EE15-B97D-455C-9BFF-594B5AEB2069}"/>
    <cellStyle name="Normal 8 9 4" xfId="11191" xr:uid="{315AE42A-54E1-41CD-BA3B-9E68BC9F224B}"/>
    <cellStyle name="Normal 8 9 5" xfId="19632" xr:uid="{6370B425-563E-410C-A7B4-EBDCD8584CBB}"/>
    <cellStyle name="Normal 8 9 6" xfId="28072" xr:uid="{F448C5AD-83C1-4DF5-9702-152347C39479}"/>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D13166C0-0518-4D3B-B1C6-BB039289264E}"/>
    <cellStyle name="Normal 9 2 10 2 3" xfId="24707" xr:uid="{270F1572-BCA9-4D2F-B156-1A7FDC026964}"/>
    <cellStyle name="Normal 9 2 10 2 4" xfId="33147" xr:uid="{21E3D368-06CD-404D-873B-6C7FF5506426}"/>
    <cellStyle name="Normal 9 2 10 3" xfId="12049" xr:uid="{3CAB8623-EB54-463C-AF0E-98BA237C2D13}"/>
    <cellStyle name="Normal 9 2 10 4" xfId="20490" xr:uid="{7784AC0F-85B1-4CAA-A0B5-6831B59EC516}"/>
    <cellStyle name="Normal 9 2 10 5" xfId="28930" xr:uid="{F214D9DE-8A9A-48FA-94A8-F62D35A9E704}"/>
    <cellStyle name="Normal 9 2 11" xfId="4875" xr:uid="{00000000-0005-0000-0000-00006B1E0000}"/>
    <cellStyle name="Normal 9 2 11 2" xfId="14201" xr:uid="{ED1EBBF7-3331-4F84-975A-B8E57A9CA5D0}"/>
    <cellStyle name="Normal 9 2 11 3" xfId="22642" xr:uid="{C30E9A86-0296-4E0C-81DA-A70A3A097196}"/>
    <cellStyle name="Normal 9 2 11 4" xfId="31082" xr:uid="{CA884425-C295-4BE8-B849-F684A9C8B196}"/>
    <cellStyle name="Normal 9 2 12" xfId="8754" xr:uid="{9024D06A-4C5F-4C89-BCDB-29B8C924FF52}"/>
    <cellStyle name="Normal 9 2 13" xfId="9984" xr:uid="{69FECD9C-E5E9-4447-ADB3-9EEE17DD70A3}"/>
    <cellStyle name="Normal 9 2 14" xfId="18425" xr:uid="{96A7AE9A-EC9B-4B0C-A2A4-4FA90312C7A5}"/>
    <cellStyle name="Normal 9 2 15" xfId="26865" xr:uid="{44531DFF-6BDA-4DE8-A50C-78D4DCA3586E}"/>
    <cellStyle name="Normal 9 2 2" xfId="512" xr:uid="{00000000-0005-0000-0000-00006C1E0000}"/>
    <cellStyle name="Normal 9 2 2 10" xfId="4876" xr:uid="{00000000-0005-0000-0000-00006D1E0000}"/>
    <cellStyle name="Normal 9 2 2 10 2" xfId="14202" xr:uid="{C7CBC9E0-6B7B-46A0-BF39-D9136F10072E}"/>
    <cellStyle name="Normal 9 2 2 10 3" xfId="22643" xr:uid="{02BA9BD5-53DE-4F3E-BEC7-104DF03E227B}"/>
    <cellStyle name="Normal 9 2 2 10 4" xfId="31083" xr:uid="{62087ADD-B05C-4FB9-A406-D2826B09DC01}"/>
    <cellStyle name="Normal 9 2 2 11" xfId="8785" xr:uid="{3048542E-ED39-45ED-9C91-0140D2CF60D9}"/>
    <cellStyle name="Normal 9 2 2 12" xfId="9985" xr:uid="{ADD7A05C-69CE-46C1-9E79-71422A0CA78A}"/>
    <cellStyle name="Normal 9 2 2 13" xfId="18426" xr:uid="{8FD9FAB9-9816-4B89-9852-BFF348F7ECC2}"/>
    <cellStyle name="Normal 9 2 2 14" xfId="26866" xr:uid="{BCEADC0B-36B8-4F71-AAF9-204685FE6C1A}"/>
    <cellStyle name="Normal 9 2 2 2" xfId="513" xr:uid="{00000000-0005-0000-0000-00006E1E0000}"/>
    <cellStyle name="Normal 9 2 2 2 10" xfId="8839" xr:uid="{3B2DC7F4-4F49-4AE2-9279-EFD4857A149B}"/>
    <cellStyle name="Normal 9 2 2 2 11" xfId="9986" xr:uid="{39784A01-25E6-4732-94DF-9F4C11E05E48}"/>
    <cellStyle name="Normal 9 2 2 2 12" xfId="18427" xr:uid="{1E305174-154B-4EA9-AF73-125DFC2366F7}"/>
    <cellStyle name="Normal 9 2 2 2 13" xfId="26867" xr:uid="{489D2C55-C54D-4258-9635-11140CDA1907}"/>
    <cellStyle name="Normal 9 2 2 2 2" xfId="514" xr:uid="{00000000-0005-0000-0000-00006F1E0000}"/>
    <cellStyle name="Normal 9 2 2 2 2 10" xfId="9987" xr:uid="{E0568149-53CB-4219-BBA6-9C26EB029060}"/>
    <cellStyle name="Normal 9 2 2 2 2 11" xfId="18428" xr:uid="{9B53F479-AF43-4BE9-9273-F30B76F49962}"/>
    <cellStyle name="Normal 9 2 2 2 2 12" xfId="26868" xr:uid="{5E73EAFF-BEAF-4976-9D85-85F590C439AB}"/>
    <cellStyle name="Normal 9 2 2 2 2 2" xfId="515" xr:uid="{00000000-0005-0000-0000-0000701E0000}"/>
    <cellStyle name="Normal 9 2 2 2 2 2 10" xfId="18429" xr:uid="{32D66074-0E16-486D-B3C5-AF3E102A4D08}"/>
    <cellStyle name="Normal 9 2 2 2 2 2 11" xfId="26869" xr:uid="{28A688F8-3B1D-4283-B9C4-0DAF4BD16592}"/>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59C93AB5-40E2-4C7E-82CA-C026C6E6BDA0}"/>
    <cellStyle name="Normal 9 2 2 2 2 2 2 2 2 3" xfId="25204" xr:uid="{D0F84EDB-05C6-4D8F-B9CD-9D15777D71BF}"/>
    <cellStyle name="Normal 9 2 2 2 2 2 2 2 2 4" xfId="33644" xr:uid="{89C93C89-2554-4887-AC8A-B53F9073FF25}"/>
    <cellStyle name="Normal 9 2 2 2 2 2 2 2 3" xfId="12546" xr:uid="{9ECC1314-D91A-40D5-8DB6-6B92199BEF02}"/>
    <cellStyle name="Normal 9 2 2 2 2 2 2 2 4" xfId="20987" xr:uid="{F25F0B3C-A758-45F4-803E-3F7D7302FFD6}"/>
    <cellStyle name="Normal 9 2 2 2 2 2 2 2 5" xfId="29427" xr:uid="{B4C421D3-86EF-4118-B11A-4683C6BBBCCC}"/>
    <cellStyle name="Normal 9 2 2 2 2 2 2 3" xfId="5292" xr:uid="{00000000-0005-0000-0000-0000741E0000}"/>
    <cellStyle name="Normal 9 2 2 2 2 2 2 3 2" xfId="14618" xr:uid="{EFC71C22-C29F-4A56-B50E-216722E356AD}"/>
    <cellStyle name="Normal 9 2 2 2 2 2 2 3 3" xfId="23059" xr:uid="{7136F7E7-11ED-4D27-84CF-5AC7F07287B3}"/>
    <cellStyle name="Normal 9 2 2 2 2 2 2 3 4" xfId="31499" xr:uid="{165802CD-BA60-418E-97F9-916F1E7EE32D}"/>
    <cellStyle name="Normal 9 2 2 2 2 2 2 4" xfId="9574" xr:uid="{00EB170D-8A20-4280-B781-E452C3590555}"/>
    <cellStyle name="Normal 9 2 2 2 2 2 2 5" xfId="10401" xr:uid="{3A0D1745-09C2-49BB-B48B-055B8CFFD984}"/>
    <cellStyle name="Normal 9 2 2 2 2 2 2 6" xfId="18842" xr:uid="{E303EF6C-BF6A-4FC0-B5BC-2B12290B3733}"/>
    <cellStyle name="Normal 9 2 2 2 2 2 2 7" xfId="27282" xr:uid="{BCE39806-5491-461C-949F-2D784E74FCF1}"/>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4FE37E25-DAD3-4210-BA6C-B41D38438219}"/>
    <cellStyle name="Normal 9 2 2 2 2 2 3 2 2 3" xfId="25617" xr:uid="{004B592D-1D38-433C-ABBA-0C4FF165B14C}"/>
    <cellStyle name="Normal 9 2 2 2 2 2 3 2 2 4" xfId="34057" xr:uid="{486C1D24-2383-4C5B-AB07-24276935A85E}"/>
    <cellStyle name="Normal 9 2 2 2 2 2 3 2 3" xfId="12959" xr:uid="{B24F3C85-4000-4397-B3C6-6E56BA9E7258}"/>
    <cellStyle name="Normal 9 2 2 2 2 2 3 2 4" xfId="21400" xr:uid="{211C2CD8-2D1E-4439-B955-763ABA7C981C}"/>
    <cellStyle name="Normal 9 2 2 2 2 2 3 2 5" xfId="29840" xr:uid="{B384918E-C6B2-45A2-8F7C-55743351E5DF}"/>
    <cellStyle name="Normal 9 2 2 2 2 2 3 3" xfId="5705" xr:uid="{00000000-0005-0000-0000-0000781E0000}"/>
    <cellStyle name="Normal 9 2 2 2 2 2 3 3 2" xfId="15031" xr:uid="{F79A3230-B984-44FA-8F88-D015697AFDC0}"/>
    <cellStyle name="Normal 9 2 2 2 2 2 3 3 3" xfId="23472" xr:uid="{8355AAE3-7A58-4A6A-8B7E-7E18EF45FAF7}"/>
    <cellStyle name="Normal 9 2 2 2 2 2 3 3 4" xfId="31912" xr:uid="{505DCE31-40D5-4F07-AF25-114FB9B83344}"/>
    <cellStyle name="Normal 9 2 2 2 2 2 3 4" xfId="10814" xr:uid="{49260355-035A-4235-A7AB-8041E8538D94}"/>
    <cellStyle name="Normal 9 2 2 2 2 2 3 5" xfId="19255" xr:uid="{33154964-61BE-4FD1-BFA1-3C77DB702165}"/>
    <cellStyle name="Normal 9 2 2 2 2 2 3 6" xfId="27695" xr:uid="{95BD71E8-A126-4DE0-900C-9C04CA2F8FCA}"/>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BF057E5C-0267-4B8C-AF8C-5E63547D9692}"/>
    <cellStyle name="Normal 9 2 2 2 2 2 4 2 2 3" xfId="26030" xr:uid="{A16ECF43-E998-4F37-AEF4-AB6CF800973A}"/>
    <cellStyle name="Normal 9 2 2 2 2 2 4 2 2 4" xfId="34470" xr:uid="{BF6FE82D-D22D-4EF0-B746-2C9DAEDF0EFE}"/>
    <cellStyle name="Normal 9 2 2 2 2 2 4 2 3" xfId="13372" xr:uid="{DCC25FE5-4733-450D-B1D0-1FB78B1FB45E}"/>
    <cellStyle name="Normal 9 2 2 2 2 2 4 2 4" xfId="21813" xr:uid="{CC0F243E-C7A5-41D1-B349-22CA66081C2E}"/>
    <cellStyle name="Normal 9 2 2 2 2 2 4 2 5" xfId="30253" xr:uid="{DCA78345-5EE6-4FA9-B6B8-A0DB7FA49DFD}"/>
    <cellStyle name="Normal 9 2 2 2 2 2 4 3" xfId="6118" xr:uid="{00000000-0005-0000-0000-00007C1E0000}"/>
    <cellStyle name="Normal 9 2 2 2 2 2 4 3 2" xfId="15444" xr:uid="{8EF37607-541D-47B8-882B-AAE5EF982EDB}"/>
    <cellStyle name="Normal 9 2 2 2 2 2 4 3 3" xfId="23885" xr:uid="{8149C1E6-7A66-4154-AE2A-9C63609E2BA9}"/>
    <cellStyle name="Normal 9 2 2 2 2 2 4 3 4" xfId="32325" xr:uid="{E6286252-E19B-432D-885C-9B896EADD007}"/>
    <cellStyle name="Normal 9 2 2 2 2 2 4 4" xfId="11227" xr:uid="{0DB275B5-3BAF-4B1A-BA5D-B5FB6E1BF12C}"/>
    <cellStyle name="Normal 9 2 2 2 2 2 4 5" xfId="19668" xr:uid="{5C81DBB7-B8C1-491B-9938-2CC05FC1A008}"/>
    <cellStyle name="Normal 9 2 2 2 2 2 4 6" xfId="28108" xr:uid="{0E71BA92-FD44-45EF-9DEF-EF06B555B895}"/>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6BDEEC06-DBBC-45C2-AE85-B02ACBA2F165}"/>
    <cellStyle name="Normal 9 2 2 2 2 2 5 2 2 3" xfId="26443" xr:uid="{0DB25850-6A24-41E3-93AA-2983353DF4CA}"/>
    <cellStyle name="Normal 9 2 2 2 2 2 5 2 2 4" xfId="34883" xr:uid="{717230E5-2E05-43FE-8987-F6F847230564}"/>
    <cellStyle name="Normal 9 2 2 2 2 2 5 2 3" xfId="13785" xr:uid="{9BEB3097-764E-4AC9-BCE6-1F4293A833BA}"/>
    <cellStyle name="Normal 9 2 2 2 2 2 5 2 4" xfId="22226" xr:uid="{5BB9BECF-04F7-4976-A7E0-A861E3585E17}"/>
    <cellStyle name="Normal 9 2 2 2 2 2 5 2 5" xfId="30666" xr:uid="{C048D228-FDAE-4F6A-AD16-48F8B5147A23}"/>
    <cellStyle name="Normal 9 2 2 2 2 2 5 3" xfId="6531" xr:uid="{00000000-0005-0000-0000-0000801E0000}"/>
    <cellStyle name="Normal 9 2 2 2 2 2 5 3 2" xfId="15857" xr:uid="{DD98203E-D8E1-42D3-AD63-C49B559C256F}"/>
    <cellStyle name="Normal 9 2 2 2 2 2 5 3 3" xfId="24298" xr:uid="{E7A32B24-5594-4F4A-A54E-30A7FADD32C0}"/>
    <cellStyle name="Normal 9 2 2 2 2 2 5 3 4" xfId="32738" xr:uid="{CF818515-2008-42F1-B847-7005DDA46954}"/>
    <cellStyle name="Normal 9 2 2 2 2 2 5 4" xfId="11640" xr:uid="{7166ABBC-A85B-4646-BB8F-E4BA7227E802}"/>
    <cellStyle name="Normal 9 2 2 2 2 2 5 5" xfId="20081" xr:uid="{D1C331C2-FB03-494B-A6F8-954B495848C5}"/>
    <cellStyle name="Normal 9 2 2 2 2 2 5 6" xfId="28521" xr:uid="{02796C14-2F1A-4834-A268-E8212ECDF2EC}"/>
    <cellStyle name="Normal 9 2 2 2 2 2 6" xfId="2661" xr:uid="{00000000-0005-0000-0000-0000811E0000}"/>
    <cellStyle name="Normal 9 2 2 2 2 2 6 2" xfId="6944" xr:uid="{00000000-0005-0000-0000-0000821E0000}"/>
    <cellStyle name="Normal 9 2 2 2 2 2 6 2 2" xfId="16270" xr:uid="{3976F559-A9F5-4271-865A-1B3292E50233}"/>
    <cellStyle name="Normal 9 2 2 2 2 2 6 2 3" xfId="24711" xr:uid="{A9B71C78-970F-4363-AEE7-A32D4C1D1DA2}"/>
    <cellStyle name="Normal 9 2 2 2 2 2 6 2 4" xfId="33151" xr:uid="{6FD5263F-197D-4CED-A0DF-1D22DD158044}"/>
    <cellStyle name="Normal 9 2 2 2 2 2 6 3" xfId="12053" xr:uid="{E5011781-73B1-4397-B544-5537916A2738}"/>
    <cellStyle name="Normal 9 2 2 2 2 2 6 4" xfId="20494" xr:uid="{0EADA587-DB30-4A85-B2C7-9A62A12E4F4E}"/>
    <cellStyle name="Normal 9 2 2 2 2 2 6 5" xfId="28934" xr:uid="{650F1904-CE5E-4212-B672-B66161851FAC}"/>
    <cellStyle name="Normal 9 2 2 2 2 2 7" xfId="4879" xr:uid="{00000000-0005-0000-0000-0000831E0000}"/>
    <cellStyle name="Normal 9 2 2 2 2 2 7 2" xfId="14205" xr:uid="{D2B01CD4-AB65-4D60-B6AA-D209AD0F6718}"/>
    <cellStyle name="Normal 9 2 2 2 2 2 7 3" xfId="22646" xr:uid="{CBB3FADB-CAA6-4589-BFA4-3E46A0E36FDC}"/>
    <cellStyle name="Normal 9 2 2 2 2 2 7 4" xfId="31086" xr:uid="{650B5C9F-1AB0-4544-8D38-3445A9465CF8}"/>
    <cellStyle name="Normal 9 2 2 2 2 2 8" xfId="9149" xr:uid="{6C0BEC1E-EE3B-4956-830C-8775C93DB46A}"/>
    <cellStyle name="Normal 9 2 2 2 2 2 9" xfId="9988" xr:uid="{0CE43463-A57E-4126-8395-EC0A157C0644}"/>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17A884C0-4B59-4D1B-B7EC-9D6BAE0FD6C6}"/>
    <cellStyle name="Normal 9 2 2 2 2 3 2 2 3" xfId="25203" xr:uid="{B6361BCC-6B07-474A-93A6-B2A12B23D553}"/>
    <cellStyle name="Normal 9 2 2 2 2 3 2 2 4" xfId="33643" xr:uid="{5550CFB8-FFEC-4FC4-A243-CFA6BFA80091}"/>
    <cellStyle name="Normal 9 2 2 2 2 3 2 3" xfId="12545" xr:uid="{73842949-399C-42AA-9959-5A7030004C55}"/>
    <cellStyle name="Normal 9 2 2 2 2 3 2 4" xfId="20986" xr:uid="{FD29BDCD-2A83-4C81-BA07-2CB80CEBB416}"/>
    <cellStyle name="Normal 9 2 2 2 2 3 2 5" xfId="29426" xr:uid="{F00634DD-CFBC-4957-9828-D35C118E65BC}"/>
    <cellStyle name="Normal 9 2 2 2 2 3 3" xfId="5291" xr:uid="{00000000-0005-0000-0000-0000871E0000}"/>
    <cellStyle name="Normal 9 2 2 2 2 3 3 2" xfId="14617" xr:uid="{DDFE862C-0DF6-42A8-9848-F457149356A9}"/>
    <cellStyle name="Normal 9 2 2 2 2 3 3 3" xfId="23058" xr:uid="{190A93EC-6FE5-42E9-B8EC-569123F63768}"/>
    <cellStyle name="Normal 9 2 2 2 2 3 3 4" xfId="31498" xr:uid="{106B6F49-0550-4E35-B75F-0F5DF8AF8EA2}"/>
    <cellStyle name="Normal 9 2 2 2 2 3 4" xfId="9367" xr:uid="{4A654E22-020A-4B0F-8753-639C44EA908A}"/>
    <cellStyle name="Normal 9 2 2 2 2 3 5" xfId="10400" xr:uid="{DBE0A0C7-4A2D-4C2A-A1F4-073E725F05CC}"/>
    <cellStyle name="Normal 9 2 2 2 2 3 6" xfId="18841" xr:uid="{FD1D89DF-A454-4EE4-A64C-76FCC8C05067}"/>
    <cellStyle name="Normal 9 2 2 2 2 3 7" xfId="27281" xr:uid="{C31A7CBF-E898-4CA2-A0C7-A31A182850D6}"/>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5D94C712-F3EE-49C2-9FBD-08A2FD6C62F4}"/>
    <cellStyle name="Normal 9 2 2 2 2 4 2 2 3" xfId="25616" xr:uid="{0D732F56-FDCF-4B73-9304-CCE67062D05B}"/>
    <cellStyle name="Normal 9 2 2 2 2 4 2 2 4" xfId="34056" xr:uid="{E2293156-141F-4578-9260-D96F826DB0B8}"/>
    <cellStyle name="Normal 9 2 2 2 2 4 2 3" xfId="12958" xr:uid="{3A0FDE34-1AEA-4611-A418-2D1968301726}"/>
    <cellStyle name="Normal 9 2 2 2 2 4 2 4" xfId="21399" xr:uid="{808E29DD-E5F9-4E7E-941E-2E46DA5D9EAF}"/>
    <cellStyle name="Normal 9 2 2 2 2 4 2 5" xfId="29839" xr:uid="{7D262430-C097-4DB4-9DF6-0C5BBFF68AF7}"/>
    <cellStyle name="Normal 9 2 2 2 2 4 3" xfId="5704" xr:uid="{00000000-0005-0000-0000-00008B1E0000}"/>
    <cellStyle name="Normal 9 2 2 2 2 4 3 2" xfId="15030" xr:uid="{34D117F0-078A-4A18-BE1E-8AB532D084FB}"/>
    <cellStyle name="Normal 9 2 2 2 2 4 3 3" xfId="23471" xr:uid="{1A6F7FF0-A899-4907-8C9E-D66EAD135D21}"/>
    <cellStyle name="Normal 9 2 2 2 2 4 3 4" xfId="31911" xr:uid="{913D6EB3-C57E-4442-8096-85B79EF22788}"/>
    <cellStyle name="Normal 9 2 2 2 2 4 4" xfId="10813" xr:uid="{49F774B7-1638-4583-9F86-1863AAE40BA7}"/>
    <cellStyle name="Normal 9 2 2 2 2 4 5" xfId="19254" xr:uid="{31472D80-9BB0-40C1-B9F6-212EBA020746}"/>
    <cellStyle name="Normal 9 2 2 2 2 4 6" xfId="27694" xr:uid="{9A28DDAC-F6EC-425D-9A31-4D75CAD0ECBD}"/>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C703A662-F89B-4F2E-A07A-FFD40EA36728}"/>
    <cellStyle name="Normal 9 2 2 2 2 5 2 2 3" xfId="26029" xr:uid="{17FAEDAE-4A79-4982-B3B1-53C981068086}"/>
    <cellStyle name="Normal 9 2 2 2 2 5 2 2 4" xfId="34469" xr:uid="{3A49579F-6C8F-481B-989A-5FD2C7DFD7F4}"/>
    <cellStyle name="Normal 9 2 2 2 2 5 2 3" xfId="13371" xr:uid="{7E79378D-CF07-449A-846A-2420F64A41EC}"/>
    <cellStyle name="Normal 9 2 2 2 2 5 2 4" xfId="21812" xr:uid="{24837D35-5A5E-4634-8F53-7A5A791707E6}"/>
    <cellStyle name="Normal 9 2 2 2 2 5 2 5" xfId="30252" xr:uid="{56E7BD6C-8922-41AD-8FD6-E7E273DE2F49}"/>
    <cellStyle name="Normal 9 2 2 2 2 5 3" xfId="6117" xr:uid="{00000000-0005-0000-0000-00008F1E0000}"/>
    <cellStyle name="Normal 9 2 2 2 2 5 3 2" xfId="15443" xr:uid="{CEA74592-BAE3-495B-9375-ECE918BCDF6F}"/>
    <cellStyle name="Normal 9 2 2 2 2 5 3 3" xfId="23884" xr:uid="{9FE6CB70-78ED-4088-B137-884A1C1FF2CD}"/>
    <cellStyle name="Normal 9 2 2 2 2 5 3 4" xfId="32324" xr:uid="{53239C4C-6105-4053-B5CD-77D4F67E6F63}"/>
    <cellStyle name="Normal 9 2 2 2 2 5 4" xfId="11226" xr:uid="{96FFEB23-BEB7-419F-A3F8-5C1EA5322D7B}"/>
    <cellStyle name="Normal 9 2 2 2 2 5 5" xfId="19667" xr:uid="{173E81B5-C303-4F78-9131-DCD26F64B313}"/>
    <cellStyle name="Normal 9 2 2 2 2 5 6" xfId="28107" xr:uid="{68837356-909A-45A9-AD48-E6305343F945}"/>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3B030110-A2FE-4406-ADFD-8586463FCDF0}"/>
    <cellStyle name="Normal 9 2 2 2 2 6 2 2 3" xfId="26442" xr:uid="{59D28860-FFE5-4F99-BE4A-98122DFDCD85}"/>
    <cellStyle name="Normal 9 2 2 2 2 6 2 2 4" xfId="34882" xr:uid="{1EA63541-0EF3-4C9C-A264-0F4765AEFAE8}"/>
    <cellStyle name="Normal 9 2 2 2 2 6 2 3" xfId="13784" xr:uid="{4F11A290-23E1-4EDD-80A9-2B6BFF25EC43}"/>
    <cellStyle name="Normal 9 2 2 2 2 6 2 4" xfId="22225" xr:uid="{94E1045A-A513-4719-AC64-97BBA90D6F05}"/>
    <cellStyle name="Normal 9 2 2 2 2 6 2 5" xfId="30665" xr:uid="{3806EA0F-59E5-481D-BC9B-9AF52CA2CE12}"/>
    <cellStyle name="Normal 9 2 2 2 2 6 3" xfId="6530" xr:uid="{00000000-0005-0000-0000-0000931E0000}"/>
    <cellStyle name="Normal 9 2 2 2 2 6 3 2" xfId="15856" xr:uid="{416C35FC-CEDF-4336-9991-8B694F58712C}"/>
    <cellStyle name="Normal 9 2 2 2 2 6 3 3" xfId="24297" xr:uid="{1BCDFF71-E24D-4F8B-9E47-EFB681E2C9B1}"/>
    <cellStyle name="Normal 9 2 2 2 2 6 3 4" xfId="32737" xr:uid="{2102870C-0956-4575-8FA9-E33C07A05643}"/>
    <cellStyle name="Normal 9 2 2 2 2 6 4" xfId="11639" xr:uid="{E3FE0C31-2A3C-4C98-A293-A5885657C6E4}"/>
    <cellStyle name="Normal 9 2 2 2 2 6 5" xfId="20080" xr:uid="{50CB15A5-3B84-4EC0-9EB0-892309B45F28}"/>
    <cellStyle name="Normal 9 2 2 2 2 6 6" xfId="28520" xr:uid="{2AAA277E-0D34-4AB8-9D35-4DDDED67A0FD}"/>
    <cellStyle name="Normal 9 2 2 2 2 7" xfId="2660" xr:uid="{00000000-0005-0000-0000-0000941E0000}"/>
    <cellStyle name="Normal 9 2 2 2 2 7 2" xfId="6943" xr:uid="{00000000-0005-0000-0000-0000951E0000}"/>
    <cellStyle name="Normal 9 2 2 2 2 7 2 2" xfId="16269" xr:uid="{BC3DBAF0-2A4C-49C1-A43F-39F1DFB5DC8F}"/>
    <cellStyle name="Normal 9 2 2 2 2 7 2 3" xfId="24710" xr:uid="{7484B91D-B680-4B96-B16E-060783753426}"/>
    <cellStyle name="Normal 9 2 2 2 2 7 2 4" xfId="33150" xr:uid="{4632ED96-949A-44C6-8D98-62159961A702}"/>
    <cellStyle name="Normal 9 2 2 2 2 7 3" xfId="12052" xr:uid="{FDBF528F-1DBF-4CCA-9579-90727AD46479}"/>
    <cellStyle name="Normal 9 2 2 2 2 7 4" xfId="20493" xr:uid="{64BD1896-61A9-4254-AC2F-936BA9F656F1}"/>
    <cellStyle name="Normal 9 2 2 2 2 7 5" xfId="28933" xr:uid="{59897D5A-F0D2-424E-9BBA-1BA7AFADF3FF}"/>
    <cellStyle name="Normal 9 2 2 2 2 8" xfId="4878" xr:uid="{00000000-0005-0000-0000-0000961E0000}"/>
    <cellStyle name="Normal 9 2 2 2 2 8 2" xfId="14204" xr:uid="{79A1028B-2BFC-425F-81E5-A4BA2780FB8B}"/>
    <cellStyle name="Normal 9 2 2 2 2 8 3" xfId="22645" xr:uid="{363E5948-A6A0-4222-A5CC-339D94677459}"/>
    <cellStyle name="Normal 9 2 2 2 2 8 4" xfId="31085" xr:uid="{D210BDC7-5169-4926-8A0C-0CBE19791451}"/>
    <cellStyle name="Normal 9 2 2 2 2 9" xfId="8942" xr:uid="{0DE8A022-819C-4D6A-B102-31C1C7F429A5}"/>
    <cellStyle name="Normal 9 2 2 2 3" xfId="516" xr:uid="{00000000-0005-0000-0000-0000971E0000}"/>
    <cellStyle name="Normal 9 2 2 2 3 10" xfId="18430" xr:uid="{81D9D9AB-307A-4FDA-BDFC-836A3B579AA9}"/>
    <cellStyle name="Normal 9 2 2 2 3 11" xfId="26870" xr:uid="{08A0D824-DB79-43CD-9C4A-D069D5680749}"/>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ED58C11A-5376-4C3A-93ED-8CD272601D94}"/>
    <cellStyle name="Normal 9 2 2 2 3 2 2 2 3" xfId="25205" xr:uid="{DF7E97D2-CA23-4938-ACFA-A7E03979CE52}"/>
    <cellStyle name="Normal 9 2 2 2 3 2 2 2 4" xfId="33645" xr:uid="{67470EF3-D51B-4C34-9161-94D8106BE5AF}"/>
    <cellStyle name="Normal 9 2 2 2 3 2 2 3" xfId="12547" xr:uid="{1265D9BD-9599-4CDB-BC11-4FF080E8A25D}"/>
    <cellStyle name="Normal 9 2 2 2 3 2 2 4" xfId="20988" xr:uid="{6112F962-E925-4CD0-A221-CA1C101FCE2E}"/>
    <cellStyle name="Normal 9 2 2 2 3 2 2 5" xfId="29428" xr:uid="{68D71863-63E3-4554-A692-83ABB9DD1F93}"/>
    <cellStyle name="Normal 9 2 2 2 3 2 3" xfId="5293" xr:uid="{00000000-0005-0000-0000-00009B1E0000}"/>
    <cellStyle name="Normal 9 2 2 2 3 2 3 2" xfId="14619" xr:uid="{2C3A69E6-8772-4FED-88F0-2972A3D85493}"/>
    <cellStyle name="Normal 9 2 2 2 3 2 3 3" xfId="23060" xr:uid="{0D4D464F-3D27-4119-9A51-320294A195F7}"/>
    <cellStyle name="Normal 9 2 2 2 3 2 3 4" xfId="31500" xr:uid="{A1D15F4F-D572-4439-9CB3-370AD339C823}"/>
    <cellStyle name="Normal 9 2 2 2 3 2 4" xfId="9471" xr:uid="{E472D827-532E-42C0-B781-9E63FEBCFCF5}"/>
    <cellStyle name="Normal 9 2 2 2 3 2 5" xfId="10402" xr:uid="{42DEB36C-A13A-4DA3-AC39-287F7B9D7813}"/>
    <cellStyle name="Normal 9 2 2 2 3 2 6" xfId="18843" xr:uid="{76C8810B-0D32-435F-95EE-82A52BE5B5C1}"/>
    <cellStyle name="Normal 9 2 2 2 3 2 7" xfId="27283" xr:uid="{D73B9851-D902-4C84-8872-7BE0342E82CB}"/>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36090BD3-4DA0-499E-8B29-751ED45D3721}"/>
    <cellStyle name="Normal 9 2 2 2 3 3 2 2 3" xfId="25618" xr:uid="{08D35EE4-B177-47D0-9B6F-EE32A71C517D}"/>
    <cellStyle name="Normal 9 2 2 2 3 3 2 2 4" xfId="34058" xr:uid="{521FC559-DD9D-4C58-97DD-89BEBC0AAC1D}"/>
    <cellStyle name="Normal 9 2 2 2 3 3 2 3" xfId="12960" xr:uid="{1B2F5B1B-D376-4836-B272-D26D659A6B3B}"/>
    <cellStyle name="Normal 9 2 2 2 3 3 2 4" xfId="21401" xr:uid="{6C5CC5D8-79DB-4CCE-9D1B-64D2066490A8}"/>
    <cellStyle name="Normal 9 2 2 2 3 3 2 5" xfId="29841" xr:uid="{55D4FFEB-E22C-4BC2-8DC9-53C43D272D77}"/>
    <cellStyle name="Normal 9 2 2 2 3 3 3" xfId="5706" xr:uid="{00000000-0005-0000-0000-00009F1E0000}"/>
    <cellStyle name="Normal 9 2 2 2 3 3 3 2" xfId="15032" xr:uid="{F5F088D4-C547-4F6E-B172-4E2E132D5190}"/>
    <cellStyle name="Normal 9 2 2 2 3 3 3 3" xfId="23473" xr:uid="{982045CF-C07C-4C1E-9422-2B803C24CA12}"/>
    <cellStyle name="Normal 9 2 2 2 3 3 3 4" xfId="31913" xr:uid="{89E5FD2A-3B72-4FC0-922E-DF0A5EF656DC}"/>
    <cellStyle name="Normal 9 2 2 2 3 3 4" xfId="10815" xr:uid="{9EF7FA08-2D22-4C6B-9FD0-2C415FCE4356}"/>
    <cellStyle name="Normal 9 2 2 2 3 3 5" xfId="19256" xr:uid="{AA3704AF-51A4-46E8-AD28-0B6AD4747F77}"/>
    <cellStyle name="Normal 9 2 2 2 3 3 6" xfId="27696" xr:uid="{FA821C09-10E7-44F6-9AB5-630CDFAF5FF4}"/>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1DBFDD7D-7E85-46E1-8844-9AA7A7C6139C}"/>
    <cellStyle name="Normal 9 2 2 2 3 4 2 2 3" xfId="26031" xr:uid="{03A91476-0138-4DFC-95C8-4B3816C8A4AB}"/>
    <cellStyle name="Normal 9 2 2 2 3 4 2 2 4" xfId="34471" xr:uid="{82C27F2D-169E-486A-AF6D-D2B611682A46}"/>
    <cellStyle name="Normal 9 2 2 2 3 4 2 3" xfId="13373" xr:uid="{60FC2C77-2310-43C5-B7C1-202D01FF6DB8}"/>
    <cellStyle name="Normal 9 2 2 2 3 4 2 4" xfId="21814" xr:uid="{55ECE750-A13F-48E7-B98D-EF70D34B4AD9}"/>
    <cellStyle name="Normal 9 2 2 2 3 4 2 5" xfId="30254" xr:uid="{51CEF395-29C1-44DF-9EA9-2B41C026116F}"/>
    <cellStyle name="Normal 9 2 2 2 3 4 3" xfId="6119" xr:uid="{00000000-0005-0000-0000-0000A31E0000}"/>
    <cellStyle name="Normal 9 2 2 2 3 4 3 2" xfId="15445" xr:uid="{35C4CBDF-9F0C-48EB-B741-9A999DE22BF5}"/>
    <cellStyle name="Normal 9 2 2 2 3 4 3 3" xfId="23886" xr:uid="{4AFBD253-8F59-4056-A9A0-1C5E82D32687}"/>
    <cellStyle name="Normal 9 2 2 2 3 4 3 4" xfId="32326" xr:uid="{6D53099A-1F2F-4964-8D44-45169C4FAE50}"/>
    <cellStyle name="Normal 9 2 2 2 3 4 4" xfId="11228" xr:uid="{E0D31600-98D9-44AF-9D89-4AD6DFBCD36B}"/>
    <cellStyle name="Normal 9 2 2 2 3 4 5" xfId="19669" xr:uid="{43BED8F4-C5AF-4E95-805B-2A8CC7096B9E}"/>
    <cellStyle name="Normal 9 2 2 2 3 4 6" xfId="28109" xr:uid="{B3D6E0E6-3D60-4A53-9E5B-DF3E468BF997}"/>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69C5FC01-9A7C-4B18-B30D-7C01AA96E8CD}"/>
    <cellStyle name="Normal 9 2 2 2 3 5 2 2 3" xfId="26444" xr:uid="{581F4AD8-D1B5-448C-AAA5-FB7C32A7F3E4}"/>
    <cellStyle name="Normal 9 2 2 2 3 5 2 2 4" xfId="34884" xr:uid="{EDF9D62F-6624-49C9-A251-ED2A6A6E46F6}"/>
    <cellStyle name="Normal 9 2 2 2 3 5 2 3" xfId="13786" xr:uid="{3749D3AD-A9C5-4ACF-94AC-A9141C4EEA0D}"/>
    <cellStyle name="Normal 9 2 2 2 3 5 2 4" xfId="22227" xr:uid="{7292C5E3-5A70-41F4-9554-687D56F02513}"/>
    <cellStyle name="Normal 9 2 2 2 3 5 2 5" xfId="30667" xr:uid="{3405EF0C-9BDB-40B1-B1AB-C322AE6EA5FC}"/>
    <cellStyle name="Normal 9 2 2 2 3 5 3" xfId="6532" xr:uid="{00000000-0005-0000-0000-0000A71E0000}"/>
    <cellStyle name="Normal 9 2 2 2 3 5 3 2" xfId="15858" xr:uid="{F4180C79-F889-4175-8D37-E5BA6E47AB8D}"/>
    <cellStyle name="Normal 9 2 2 2 3 5 3 3" xfId="24299" xr:uid="{32E6DF15-94B4-45D3-9FC1-8584DF4EEAA3}"/>
    <cellStyle name="Normal 9 2 2 2 3 5 3 4" xfId="32739" xr:uid="{C97DBD27-A1A8-4B86-8AB4-59DCD03656DD}"/>
    <cellStyle name="Normal 9 2 2 2 3 5 4" xfId="11641" xr:uid="{27EC6360-22DD-40EE-AC12-EC99695E5762}"/>
    <cellStyle name="Normal 9 2 2 2 3 5 5" xfId="20082" xr:uid="{C85A801D-3444-4453-8A7E-2CAAB479D905}"/>
    <cellStyle name="Normal 9 2 2 2 3 5 6" xfId="28522" xr:uid="{94CEFC05-F131-42F2-9619-FAC0600CC8E5}"/>
    <cellStyle name="Normal 9 2 2 2 3 6" xfId="2662" xr:uid="{00000000-0005-0000-0000-0000A81E0000}"/>
    <cellStyle name="Normal 9 2 2 2 3 6 2" xfId="6945" xr:uid="{00000000-0005-0000-0000-0000A91E0000}"/>
    <cellStyle name="Normal 9 2 2 2 3 6 2 2" xfId="16271" xr:uid="{AE4A6E8C-587B-4340-9458-6E17745BCFBB}"/>
    <cellStyle name="Normal 9 2 2 2 3 6 2 3" xfId="24712" xr:uid="{63AC633B-0AC2-4261-8D46-6BE433E991A4}"/>
    <cellStyle name="Normal 9 2 2 2 3 6 2 4" xfId="33152" xr:uid="{F800463F-A8EE-457A-B332-3023B9310AA8}"/>
    <cellStyle name="Normal 9 2 2 2 3 6 3" xfId="12054" xr:uid="{42300CCE-9790-49AD-B20D-6E40228C736F}"/>
    <cellStyle name="Normal 9 2 2 2 3 6 4" xfId="20495" xr:uid="{6737DF5F-4543-422F-96F5-8E481706D4E6}"/>
    <cellStyle name="Normal 9 2 2 2 3 6 5" xfId="28935" xr:uid="{CE994071-43A3-428E-B12E-EE2A6F699139}"/>
    <cellStyle name="Normal 9 2 2 2 3 7" xfId="4880" xr:uid="{00000000-0005-0000-0000-0000AA1E0000}"/>
    <cellStyle name="Normal 9 2 2 2 3 7 2" xfId="14206" xr:uid="{688C3F6C-363C-407E-A761-367C4F84E39F}"/>
    <cellStyle name="Normal 9 2 2 2 3 7 3" xfId="22647" xr:uid="{74B60DD9-6568-461E-A98F-6A0641466644}"/>
    <cellStyle name="Normal 9 2 2 2 3 7 4" xfId="31087" xr:uid="{6EC290FD-7831-45D0-A7D2-C827F0164DA7}"/>
    <cellStyle name="Normal 9 2 2 2 3 8" xfId="9046" xr:uid="{6B7E07C7-E90B-4AE9-8FE8-76EF28E8FC85}"/>
    <cellStyle name="Normal 9 2 2 2 3 9" xfId="9989" xr:uid="{0C11BD1B-38A7-43DC-BE56-0F3AF3373C36}"/>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9DAFB214-4DAE-49BC-97F8-C75FD85D7D37}"/>
    <cellStyle name="Normal 9 2 2 2 4 2 2 3" xfId="25202" xr:uid="{801050FF-67A9-4A40-BE22-3B5AA7CC21BC}"/>
    <cellStyle name="Normal 9 2 2 2 4 2 2 4" xfId="33642" xr:uid="{B5A5AA51-B159-46B7-A5F4-9CA0010255D2}"/>
    <cellStyle name="Normal 9 2 2 2 4 2 3" xfId="12544" xr:uid="{75056EBE-BB77-4FC4-849E-59B7E068D5B3}"/>
    <cellStyle name="Normal 9 2 2 2 4 2 4" xfId="20985" xr:uid="{D3055A26-076B-4812-8B11-BB035E94D604}"/>
    <cellStyle name="Normal 9 2 2 2 4 2 5" xfId="29425" xr:uid="{CC34642F-F6BA-4A0E-A7B9-CDA0490BB181}"/>
    <cellStyle name="Normal 9 2 2 2 4 3" xfId="5290" xr:uid="{00000000-0005-0000-0000-0000AE1E0000}"/>
    <cellStyle name="Normal 9 2 2 2 4 3 2" xfId="14616" xr:uid="{E82C5627-215C-46DD-95DE-227CC0E59F22}"/>
    <cellStyle name="Normal 9 2 2 2 4 3 3" xfId="23057" xr:uid="{07177737-5388-433B-800B-AAAB57517764}"/>
    <cellStyle name="Normal 9 2 2 2 4 3 4" xfId="31497" xr:uid="{ED2FCD75-D94D-44DB-BED8-E0FDD40BDE8D}"/>
    <cellStyle name="Normal 9 2 2 2 4 4" xfId="9264" xr:uid="{0137E036-48D9-4B3B-9B73-0002A19DDE9E}"/>
    <cellStyle name="Normal 9 2 2 2 4 5" xfId="10399" xr:uid="{DEDAF57E-9472-4E56-BF11-40450E73CC43}"/>
    <cellStyle name="Normal 9 2 2 2 4 6" xfId="18840" xr:uid="{8E002101-10EF-46E1-8CFE-B714DEDF8E7E}"/>
    <cellStyle name="Normal 9 2 2 2 4 7" xfId="27280" xr:uid="{E7D6F0E1-601E-47FC-905E-C61E4FB3511F}"/>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3DB355F0-5F5E-4A3C-B5A0-91906C60BA63}"/>
    <cellStyle name="Normal 9 2 2 2 5 2 2 3" xfId="25615" xr:uid="{7EC43104-36A0-44A5-9EDB-6708FBD33E2B}"/>
    <cellStyle name="Normal 9 2 2 2 5 2 2 4" xfId="34055" xr:uid="{ACF70EF7-C4E0-47C0-A76B-E696F754CB7C}"/>
    <cellStyle name="Normal 9 2 2 2 5 2 3" xfId="12957" xr:uid="{D4E97AF5-102A-4024-A1C6-BB8BEA2B6C33}"/>
    <cellStyle name="Normal 9 2 2 2 5 2 4" xfId="21398" xr:uid="{BD4EF490-2325-4173-AF04-713CFBA5A02A}"/>
    <cellStyle name="Normal 9 2 2 2 5 2 5" xfId="29838" xr:uid="{714AED30-5DCD-40F1-9673-1788E0AA00B1}"/>
    <cellStyle name="Normal 9 2 2 2 5 3" xfId="5703" xr:uid="{00000000-0005-0000-0000-0000B21E0000}"/>
    <cellStyle name="Normal 9 2 2 2 5 3 2" xfId="15029" xr:uid="{E665DC3A-1F5F-49F2-9238-8E0D4418ED54}"/>
    <cellStyle name="Normal 9 2 2 2 5 3 3" xfId="23470" xr:uid="{9B59125E-CF9D-4CAA-8AF4-58F192503C15}"/>
    <cellStyle name="Normal 9 2 2 2 5 3 4" xfId="31910" xr:uid="{FD9AE549-A1A9-4586-B14C-8DD880D2C737}"/>
    <cellStyle name="Normal 9 2 2 2 5 4" xfId="10812" xr:uid="{8259D4DF-D733-4D09-B00F-04549B70A755}"/>
    <cellStyle name="Normal 9 2 2 2 5 5" xfId="19253" xr:uid="{58620B42-43CF-4AB1-9595-BB10E2EB4EB3}"/>
    <cellStyle name="Normal 9 2 2 2 5 6" xfId="27693" xr:uid="{EF378D25-FFAC-4619-9FF3-15E2015C9435}"/>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FE774175-E54F-4C87-84B4-5EA67DFCBB4E}"/>
    <cellStyle name="Normal 9 2 2 2 6 2 2 3" xfId="26028" xr:uid="{163C2CF9-A46B-4E08-BD8C-3FEAD6DFC4CE}"/>
    <cellStyle name="Normal 9 2 2 2 6 2 2 4" xfId="34468" xr:uid="{D3B17906-F1D9-40AA-92D2-31967A28FE26}"/>
    <cellStyle name="Normal 9 2 2 2 6 2 3" xfId="13370" xr:uid="{EF12EF11-1EB0-4D89-8F94-3E86DD98987A}"/>
    <cellStyle name="Normal 9 2 2 2 6 2 4" xfId="21811" xr:uid="{46FDD2F7-986A-4AF6-B3D5-C04521BC3798}"/>
    <cellStyle name="Normal 9 2 2 2 6 2 5" xfId="30251" xr:uid="{CC6F834B-80B7-40F1-9964-E5E9C2273917}"/>
    <cellStyle name="Normal 9 2 2 2 6 3" xfId="6116" xr:uid="{00000000-0005-0000-0000-0000B61E0000}"/>
    <cellStyle name="Normal 9 2 2 2 6 3 2" xfId="15442" xr:uid="{6D8CCA94-8CCA-4638-BC66-1980F7C6675C}"/>
    <cellStyle name="Normal 9 2 2 2 6 3 3" xfId="23883" xr:uid="{73A00767-C988-49D4-B726-A62251B0E543}"/>
    <cellStyle name="Normal 9 2 2 2 6 3 4" xfId="32323" xr:uid="{4F4FCBE8-CEB5-4B98-9461-8E8FD8175353}"/>
    <cellStyle name="Normal 9 2 2 2 6 4" xfId="11225" xr:uid="{6355C26C-0BAD-4981-87BA-02E6F62233F9}"/>
    <cellStyle name="Normal 9 2 2 2 6 5" xfId="19666" xr:uid="{49FF5419-2B88-4F9A-A818-BC4D1BBED6C7}"/>
    <cellStyle name="Normal 9 2 2 2 6 6" xfId="28106" xr:uid="{2DF4C4AB-FA3F-436A-B1F6-6C0D7E00BB62}"/>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83909BFE-AE82-4C0E-9449-C883FD67CA7A}"/>
    <cellStyle name="Normal 9 2 2 2 7 2 2 3" xfId="26441" xr:uid="{6AFE2D0C-CFF7-4BBB-9162-9C6254787D17}"/>
    <cellStyle name="Normal 9 2 2 2 7 2 2 4" xfId="34881" xr:uid="{021DB8F3-4E68-4335-9F6C-5CDDAD08FE94}"/>
    <cellStyle name="Normal 9 2 2 2 7 2 3" xfId="13783" xr:uid="{57FB4EB5-9029-4BE1-9CD9-87C6026EBF09}"/>
    <cellStyle name="Normal 9 2 2 2 7 2 4" xfId="22224" xr:uid="{086078B3-0E36-4805-8280-3FFDEB615804}"/>
    <cellStyle name="Normal 9 2 2 2 7 2 5" xfId="30664" xr:uid="{BFA84CF4-F602-4526-A967-60195CAF25EA}"/>
    <cellStyle name="Normal 9 2 2 2 7 3" xfId="6529" xr:uid="{00000000-0005-0000-0000-0000BA1E0000}"/>
    <cellStyle name="Normal 9 2 2 2 7 3 2" xfId="15855" xr:uid="{09867F9D-0139-4977-944B-21A299C6659F}"/>
    <cellStyle name="Normal 9 2 2 2 7 3 3" xfId="24296" xr:uid="{76244DDF-2619-493E-AF4B-F7A10E003881}"/>
    <cellStyle name="Normal 9 2 2 2 7 3 4" xfId="32736" xr:uid="{C710F8C1-C547-48F5-9085-A306B7B93A2F}"/>
    <cellStyle name="Normal 9 2 2 2 7 4" xfId="11638" xr:uid="{03A7ECF8-B2C4-4B85-9F50-A4C92DC3A915}"/>
    <cellStyle name="Normal 9 2 2 2 7 5" xfId="20079" xr:uid="{ECCA48BA-DA47-49C4-BC4F-29488F685355}"/>
    <cellStyle name="Normal 9 2 2 2 7 6" xfId="28519" xr:uid="{F5313F57-2188-4157-B270-FCA9CF78EA8B}"/>
    <cellStyle name="Normal 9 2 2 2 8" xfId="2659" xr:uid="{00000000-0005-0000-0000-0000BB1E0000}"/>
    <cellStyle name="Normal 9 2 2 2 8 2" xfId="6942" xr:uid="{00000000-0005-0000-0000-0000BC1E0000}"/>
    <cellStyle name="Normal 9 2 2 2 8 2 2" xfId="16268" xr:uid="{6DF4DE9F-FF88-40BF-BD4D-B586794B51C0}"/>
    <cellStyle name="Normal 9 2 2 2 8 2 3" xfId="24709" xr:uid="{A7A4124C-A137-40FB-B06A-F3A2D0F38BA8}"/>
    <cellStyle name="Normal 9 2 2 2 8 2 4" xfId="33149" xr:uid="{BE6BF7AA-86B0-4E1C-8B21-07ED7D0B337C}"/>
    <cellStyle name="Normal 9 2 2 2 8 3" xfId="12051" xr:uid="{58056863-7088-4D0F-87CB-958B0F2E6030}"/>
    <cellStyle name="Normal 9 2 2 2 8 4" xfId="20492" xr:uid="{3BDA29A8-7F0C-4996-A251-16368E16EC73}"/>
    <cellStyle name="Normal 9 2 2 2 8 5" xfId="28932" xr:uid="{5C230AFA-3282-44D1-88C3-B8A7EEBB2FEC}"/>
    <cellStyle name="Normal 9 2 2 2 9" xfId="4877" xr:uid="{00000000-0005-0000-0000-0000BD1E0000}"/>
    <cellStyle name="Normal 9 2 2 2 9 2" xfId="14203" xr:uid="{BC77A6E3-63C9-4D91-AE40-C29F66278EB9}"/>
    <cellStyle name="Normal 9 2 2 2 9 3" xfId="22644" xr:uid="{58E29015-377B-4AE7-87AA-B019D994337E}"/>
    <cellStyle name="Normal 9 2 2 2 9 4" xfId="31084" xr:uid="{8DF736DE-AA8B-4753-A8CD-D42017434845}"/>
    <cellStyle name="Normal 9 2 2 3" xfId="517" xr:uid="{00000000-0005-0000-0000-0000BE1E0000}"/>
    <cellStyle name="Normal 9 2 2 3 10" xfId="9990" xr:uid="{0D79EDDE-3ECF-40CA-A8F6-ED025CC81987}"/>
    <cellStyle name="Normal 9 2 2 3 11" xfId="18431" xr:uid="{5B09364B-293E-4343-AB5D-A083689C8B33}"/>
    <cellStyle name="Normal 9 2 2 3 12" xfId="26871" xr:uid="{A6023F31-9E7B-4C92-815A-8B6D00E33BD8}"/>
    <cellStyle name="Normal 9 2 2 3 2" xfId="518" xr:uid="{00000000-0005-0000-0000-0000BF1E0000}"/>
    <cellStyle name="Normal 9 2 2 3 2 10" xfId="18432" xr:uid="{08D99E31-046E-433D-8D41-60E66B6472C0}"/>
    <cellStyle name="Normal 9 2 2 3 2 11" xfId="26872" xr:uid="{D8E211F8-CE8C-47C6-AEA5-FAB0CD7D65CB}"/>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8AAC2C97-E7A5-43E3-AF88-14AB3CD3E93D}"/>
    <cellStyle name="Normal 9 2 2 3 2 2 2 2 3" xfId="25207" xr:uid="{8984096D-52FD-48C3-80E1-19947632D1C8}"/>
    <cellStyle name="Normal 9 2 2 3 2 2 2 2 4" xfId="33647" xr:uid="{092D841A-B65D-47A8-9360-F20265726D6C}"/>
    <cellStyle name="Normal 9 2 2 3 2 2 2 3" xfId="12549" xr:uid="{F142A61B-29B2-4080-AB55-D3296518A725}"/>
    <cellStyle name="Normal 9 2 2 3 2 2 2 4" xfId="20990" xr:uid="{F5C4AFDF-C493-4A4D-A349-CD47928E3B73}"/>
    <cellStyle name="Normal 9 2 2 3 2 2 2 5" xfId="29430" xr:uid="{61FD268B-2EF1-4684-A114-DC4D90B3BA9A}"/>
    <cellStyle name="Normal 9 2 2 3 2 2 3" xfId="5295" xr:uid="{00000000-0005-0000-0000-0000C31E0000}"/>
    <cellStyle name="Normal 9 2 2 3 2 2 3 2" xfId="14621" xr:uid="{8B434977-B50B-4B45-B508-7B427E27ADD9}"/>
    <cellStyle name="Normal 9 2 2 3 2 2 3 3" xfId="23062" xr:uid="{C6A9C07A-A3ED-4CE9-BC00-3E300CC80E4E}"/>
    <cellStyle name="Normal 9 2 2 3 2 2 3 4" xfId="31502" xr:uid="{C8745444-D9E9-44A5-BC67-828D7E3A8476}"/>
    <cellStyle name="Normal 9 2 2 3 2 2 4" xfId="9520" xr:uid="{57CFBD10-691F-4DF8-8020-B75E98FF60DD}"/>
    <cellStyle name="Normal 9 2 2 3 2 2 5" xfId="10404" xr:uid="{B47A968D-3CA7-4C22-A31F-26E61258D615}"/>
    <cellStyle name="Normal 9 2 2 3 2 2 6" xfId="18845" xr:uid="{DD03C52F-58BC-4F76-A6CD-89CA563C7B01}"/>
    <cellStyle name="Normal 9 2 2 3 2 2 7" xfId="27285" xr:uid="{9344CF85-570B-46DD-BDF2-E1C47E07A7B2}"/>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893EE672-F174-4C8A-86F6-64D86079BCBD}"/>
    <cellStyle name="Normal 9 2 2 3 2 3 2 2 3" xfId="25620" xr:uid="{AAF4B94A-2BA6-43BE-A8B5-ABF9851C2C9E}"/>
    <cellStyle name="Normal 9 2 2 3 2 3 2 2 4" xfId="34060" xr:uid="{0F5371AD-19E3-4D7B-87DC-A5D2506AC353}"/>
    <cellStyle name="Normal 9 2 2 3 2 3 2 3" xfId="12962" xr:uid="{BBABE982-C4D2-44D1-BD90-2BA06F54D704}"/>
    <cellStyle name="Normal 9 2 2 3 2 3 2 4" xfId="21403" xr:uid="{B38B44FD-C98E-445A-B892-414D8E07FACA}"/>
    <cellStyle name="Normal 9 2 2 3 2 3 2 5" xfId="29843" xr:uid="{2DFD7EF0-50BD-466F-9C8D-9D926F8A0E9B}"/>
    <cellStyle name="Normal 9 2 2 3 2 3 3" xfId="5708" xr:uid="{00000000-0005-0000-0000-0000C71E0000}"/>
    <cellStyle name="Normal 9 2 2 3 2 3 3 2" xfId="15034" xr:uid="{65B0F7E0-F0B8-4291-890F-8A496FA2AB96}"/>
    <cellStyle name="Normal 9 2 2 3 2 3 3 3" xfId="23475" xr:uid="{1ABD94C8-EEE8-4EDC-BB27-A99ABDE103A9}"/>
    <cellStyle name="Normal 9 2 2 3 2 3 3 4" xfId="31915" xr:uid="{D4514699-B52A-4FC4-B8BD-F1473A6CDC23}"/>
    <cellStyle name="Normal 9 2 2 3 2 3 4" xfId="10817" xr:uid="{4533A3EB-7312-40E4-829E-5AFD83C0EB74}"/>
    <cellStyle name="Normal 9 2 2 3 2 3 5" xfId="19258" xr:uid="{136F2BC7-8E99-45BC-AB2D-382170AFEF77}"/>
    <cellStyle name="Normal 9 2 2 3 2 3 6" xfId="27698" xr:uid="{795B9B30-50A3-4C29-89CF-CCFBC77FC6F8}"/>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78B7568B-DCA9-4D7F-8F4F-3915EFFB10AD}"/>
    <cellStyle name="Normal 9 2 2 3 2 4 2 2 3" xfId="26033" xr:uid="{1B773531-170A-4367-8ADB-5ACCDA2F322D}"/>
    <cellStyle name="Normal 9 2 2 3 2 4 2 2 4" xfId="34473" xr:uid="{400A1F5B-551C-48E1-AE00-D70C03375A68}"/>
    <cellStyle name="Normal 9 2 2 3 2 4 2 3" xfId="13375" xr:uid="{9F5FB8D8-9705-4673-986C-62B25E8C1466}"/>
    <cellStyle name="Normal 9 2 2 3 2 4 2 4" xfId="21816" xr:uid="{A597E47E-7BBF-4382-9C93-0A0FAF88EB72}"/>
    <cellStyle name="Normal 9 2 2 3 2 4 2 5" xfId="30256" xr:uid="{49E3838B-04E8-4C03-BD5B-C85E63A50E86}"/>
    <cellStyle name="Normal 9 2 2 3 2 4 3" xfId="6121" xr:uid="{00000000-0005-0000-0000-0000CB1E0000}"/>
    <cellStyle name="Normal 9 2 2 3 2 4 3 2" xfId="15447" xr:uid="{8CE371F1-56A4-4595-BA72-5DCE085EDD24}"/>
    <cellStyle name="Normal 9 2 2 3 2 4 3 3" xfId="23888" xr:uid="{E7390FA0-FB2C-4653-88E9-35C9F0EF6EB9}"/>
    <cellStyle name="Normal 9 2 2 3 2 4 3 4" xfId="32328" xr:uid="{B62E1179-24F4-45A3-8B18-CD11A090F041}"/>
    <cellStyle name="Normal 9 2 2 3 2 4 4" xfId="11230" xr:uid="{B4E48E42-A089-4785-ACE6-7A85E23F1AAC}"/>
    <cellStyle name="Normal 9 2 2 3 2 4 5" xfId="19671" xr:uid="{254DC7BD-7E6D-4298-AB2B-8D8EC56CCDC5}"/>
    <cellStyle name="Normal 9 2 2 3 2 4 6" xfId="28111" xr:uid="{F652CC25-90B1-4F5C-89CB-E4915A0A5D47}"/>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37C38837-DB1D-4354-ABA9-7B4D676DF94C}"/>
    <cellStyle name="Normal 9 2 2 3 2 5 2 2 3" xfId="26446" xr:uid="{2655298C-2CA2-4EB2-9E5C-526D78403BDB}"/>
    <cellStyle name="Normal 9 2 2 3 2 5 2 2 4" xfId="34886" xr:uid="{3880B8B2-FC63-43F2-BA9F-40C3D725DAED}"/>
    <cellStyle name="Normal 9 2 2 3 2 5 2 3" xfId="13788" xr:uid="{EBB6B4F3-0911-47AE-ACD3-8C9DF7FBFAFD}"/>
    <cellStyle name="Normal 9 2 2 3 2 5 2 4" xfId="22229" xr:uid="{FDAE6F19-9BE2-4984-A8F5-DA633214CB40}"/>
    <cellStyle name="Normal 9 2 2 3 2 5 2 5" xfId="30669" xr:uid="{5C706151-3392-4B72-BFDB-6B692375160C}"/>
    <cellStyle name="Normal 9 2 2 3 2 5 3" xfId="6534" xr:uid="{00000000-0005-0000-0000-0000CF1E0000}"/>
    <cellStyle name="Normal 9 2 2 3 2 5 3 2" xfId="15860" xr:uid="{AD98B89A-26AE-45CF-867A-E54A69494379}"/>
    <cellStyle name="Normal 9 2 2 3 2 5 3 3" xfId="24301" xr:uid="{6A8C2199-4A9B-4122-A57A-6BDACAD9F665}"/>
    <cellStyle name="Normal 9 2 2 3 2 5 3 4" xfId="32741" xr:uid="{4B4E12EF-1191-4BA2-AACF-F80DC3F7DE40}"/>
    <cellStyle name="Normal 9 2 2 3 2 5 4" xfId="11643" xr:uid="{1797BB0B-DC30-46D0-A96B-429E897BDD7B}"/>
    <cellStyle name="Normal 9 2 2 3 2 5 5" xfId="20084" xr:uid="{E277DBE2-449F-4516-BB46-FED9DC880F40}"/>
    <cellStyle name="Normal 9 2 2 3 2 5 6" xfId="28524" xr:uid="{8FC663FC-C617-46BB-97D9-92E17DF2B076}"/>
    <cellStyle name="Normal 9 2 2 3 2 6" xfId="2664" xr:uid="{00000000-0005-0000-0000-0000D01E0000}"/>
    <cellStyle name="Normal 9 2 2 3 2 6 2" xfId="6947" xr:uid="{00000000-0005-0000-0000-0000D11E0000}"/>
    <cellStyle name="Normal 9 2 2 3 2 6 2 2" xfId="16273" xr:uid="{CA51894C-B0F6-49D9-A16A-36A5E712839A}"/>
    <cellStyle name="Normal 9 2 2 3 2 6 2 3" xfId="24714" xr:uid="{6ECDE018-A4FE-41EE-8088-F961946B639F}"/>
    <cellStyle name="Normal 9 2 2 3 2 6 2 4" xfId="33154" xr:uid="{91A5C033-7908-4E28-92D1-EEE729229733}"/>
    <cellStyle name="Normal 9 2 2 3 2 6 3" xfId="12056" xr:uid="{96F49AA5-59B0-422A-ADC0-901F48ED4DCB}"/>
    <cellStyle name="Normal 9 2 2 3 2 6 4" xfId="20497" xr:uid="{58FAC09F-4FAA-4FB3-B932-80A603D182F3}"/>
    <cellStyle name="Normal 9 2 2 3 2 6 5" xfId="28937" xr:uid="{64635FC4-A8F8-4A2B-A6C6-E0ACBAD86DE8}"/>
    <cellStyle name="Normal 9 2 2 3 2 7" xfId="4882" xr:uid="{00000000-0005-0000-0000-0000D21E0000}"/>
    <cellStyle name="Normal 9 2 2 3 2 7 2" xfId="14208" xr:uid="{25FF7322-0A56-47E5-AAEA-0A6A7C8DAFD1}"/>
    <cellStyle name="Normal 9 2 2 3 2 7 3" xfId="22649" xr:uid="{287114B0-5A48-4170-BE65-082F463DB9F3}"/>
    <cellStyle name="Normal 9 2 2 3 2 7 4" xfId="31089" xr:uid="{4748E8CC-2781-488C-A038-9B7547B2478D}"/>
    <cellStyle name="Normal 9 2 2 3 2 8" xfId="9095" xr:uid="{D95088B7-D227-4E97-A9B9-DA61436DD386}"/>
    <cellStyle name="Normal 9 2 2 3 2 9" xfId="9991" xr:uid="{F0627F04-ECB5-4393-9615-F98879C63D07}"/>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31DA5546-1FCD-49C3-A3AD-786537975AF4}"/>
    <cellStyle name="Normal 9 2 2 3 3 2 2 3" xfId="25206" xr:uid="{CFF6C6B6-93B4-459A-ACDD-B87764F8C5A3}"/>
    <cellStyle name="Normal 9 2 2 3 3 2 2 4" xfId="33646" xr:uid="{88DE5541-3242-441E-B913-0F0AE8B333DD}"/>
    <cellStyle name="Normal 9 2 2 3 3 2 3" xfId="12548" xr:uid="{BB954447-7521-4DBA-8382-854BCE6683DC}"/>
    <cellStyle name="Normal 9 2 2 3 3 2 4" xfId="20989" xr:uid="{51D79D27-A239-4A4B-9E3D-4D66AF378FA8}"/>
    <cellStyle name="Normal 9 2 2 3 3 2 5" xfId="29429" xr:uid="{D20A82B1-9676-43BC-921E-94BD8B0CC39F}"/>
    <cellStyle name="Normal 9 2 2 3 3 3" xfId="5294" xr:uid="{00000000-0005-0000-0000-0000D61E0000}"/>
    <cellStyle name="Normal 9 2 2 3 3 3 2" xfId="14620" xr:uid="{EA5ED0B8-8DB7-4B3C-973B-E35C768BC91F}"/>
    <cellStyle name="Normal 9 2 2 3 3 3 3" xfId="23061" xr:uid="{F7FC8076-9CAA-4FEE-B044-8453E4E50C41}"/>
    <cellStyle name="Normal 9 2 2 3 3 3 4" xfId="31501" xr:uid="{B8425BF7-1914-4224-9CF2-3F075210FF98}"/>
    <cellStyle name="Normal 9 2 2 3 3 4" xfId="9313" xr:uid="{FDDC600D-FDDD-4FFC-9820-DFD7E0768F33}"/>
    <cellStyle name="Normal 9 2 2 3 3 5" xfId="10403" xr:uid="{EB2D2AD9-CA87-4FA9-AD52-E95D716D28E3}"/>
    <cellStyle name="Normal 9 2 2 3 3 6" xfId="18844" xr:uid="{0D10E663-1FEF-4A8E-B348-CEBFB35BA931}"/>
    <cellStyle name="Normal 9 2 2 3 3 7" xfId="27284" xr:uid="{74AF5D4A-09D2-41B0-9F64-DC963E83925B}"/>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BAF70C97-0371-4A8D-ABDE-B1C3F5A758D1}"/>
    <cellStyle name="Normal 9 2 2 3 4 2 2 3" xfId="25619" xr:uid="{DD05BBE9-06BE-40D1-9302-A7EF29F608E8}"/>
    <cellStyle name="Normal 9 2 2 3 4 2 2 4" xfId="34059" xr:uid="{325055AB-9DB1-4F9F-A0B8-DD0FBF09788D}"/>
    <cellStyle name="Normal 9 2 2 3 4 2 3" xfId="12961" xr:uid="{708AEDF3-F85B-4521-B6DC-374E827B05D3}"/>
    <cellStyle name="Normal 9 2 2 3 4 2 4" xfId="21402" xr:uid="{6036822E-3CDF-4609-90C9-1952CDE63F8E}"/>
    <cellStyle name="Normal 9 2 2 3 4 2 5" xfId="29842" xr:uid="{140EBD63-7DD0-453E-9AE3-9C27FE6B0805}"/>
    <cellStyle name="Normal 9 2 2 3 4 3" xfId="5707" xr:uid="{00000000-0005-0000-0000-0000DA1E0000}"/>
    <cellStyle name="Normal 9 2 2 3 4 3 2" xfId="15033" xr:uid="{9B841CFF-D55C-4E72-9D7F-B246AF0EF65F}"/>
    <cellStyle name="Normal 9 2 2 3 4 3 3" xfId="23474" xr:uid="{6BA05B88-A6FA-4E5D-A807-7E0F4F2AD7EC}"/>
    <cellStyle name="Normal 9 2 2 3 4 3 4" xfId="31914" xr:uid="{9924D374-F117-4E21-AF03-799FA5E2E5E8}"/>
    <cellStyle name="Normal 9 2 2 3 4 4" xfId="10816" xr:uid="{37AC69CE-A373-4AC4-B76E-85A000BF4813}"/>
    <cellStyle name="Normal 9 2 2 3 4 5" xfId="19257" xr:uid="{B7896E93-3495-4FAB-B1CB-DF99EC0A192B}"/>
    <cellStyle name="Normal 9 2 2 3 4 6" xfId="27697" xr:uid="{D67AA934-16B2-4CF8-BFE7-41DB371C1013}"/>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C14319A1-2464-4DA1-BE95-5FE3BD9DB1BC}"/>
    <cellStyle name="Normal 9 2 2 3 5 2 2 3" xfId="26032" xr:uid="{ACA5E32B-B04D-4C85-8FEB-95EBADA2727D}"/>
    <cellStyle name="Normal 9 2 2 3 5 2 2 4" xfId="34472" xr:uid="{C082F562-C44A-4A2C-B6F7-9863DFF41D2E}"/>
    <cellStyle name="Normal 9 2 2 3 5 2 3" xfId="13374" xr:uid="{10F15ECB-B55A-46B2-B89F-FBAF18E6AEA1}"/>
    <cellStyle name="Normal 9 2 2 3 5 2 4" xfId="21815" xr:uid="{EC0E5D43-B951-405C-91F9-7AF2B94E0880}"/>
    <cellStyle name="Normal 9 2 2 3 5 2 5" xfId="30255" xr:uid="{A60B51CE-9E01-4B06-B1B3-953F84DB430E}"/>
    <cellStyle name="Normal 9 2 2 3 5 3" xfId="6120" xr:uid="{00000000-0005-0000-0000-0000DE1E0000}"/>
    <cellStyle name="Normal 9 2 2 3 5 3 2" xfId="15446" xr:uid="{A064EAEB-7869-4571-AAE1-8FA733532BF8}"/>
    <cellStyle name="Normal 9 2 2 3 5 3 3" xfId="23887" xr:uid="{CC5BDB6B-5786-49DC-A1A8-27AD20396011}"/>
    <cellStyle name="Normal 9 2 2 3 5 3 4" xfId="32327" xr:uid="{586816FD-F4FE-4744-809B-6A4E91C67D39}"/>
    <cellStyle name="Normal 9 2 2 3 5 4" xfId="11229" xr:uid="{F9966014-9E78-4635-A64D-A2AE10719032}"/>
    <cellStyle name="Normal 9 2 2 3 5 5" xfId="19670" xr:uid="{BE549C7A-B68E-499A-9FEA-8CE770E9746C}"/>
    <cellStyle name="Normal 9 2 2 3 5 6" xfId="28110" xr:uid="{ABEDE71B-9614-4E2D-84C2-6D8A70E30FE9}"/>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7C505050-5D45-48BD-9EE2-21ACB9D9AB23}"/>
    <cellStyle name="Normal 9 2 2 3 6 2 2 3" xfId="26445" xr:uid="{89F76496-8CB2-45F7-A1CC-47D0B72E647D}"/>
    <cellStyle name="Normal 9 2 2 3 6 2 2 4" xfId="34885" xr:uid="{8C798742-1B75-40B6-B209-B820334684A3}"/>
    <cellStyle name="Normal 9 2 2 3 6 2 3" xfId="13787" xr:uid="{BF8CDB41-50C4-420E-8B70-3C199354965F}"/>
    <cellStyle name="Normal 9 2 2 3 6 2 4" xfId="22228" xr:uid="{796C7C9C-7FFF-4EB0-9963-1B3D68B7A665}"/>
    <cellStyle name="Normal 9 2 2 3 6 2 5" xfId="30668" xr:uid="{1F1D5E09-6335-48D1-B229-DDA2AD4ABFD0}"/>
    <cellStyle name="Normal 9 2 2 3 6 3" xfId="6533" xr:uid="{00000000-0005-0000-0000-0000E21E0000}"/>
    <cellStyle name="Normal 9 2 2 3 6 3 2" xfId="15859" xr:uid="{6245EEC2-E091-4A5E-A3D7-1C39F292E7DE}"/>
    <cellStyle name="Normal 9 2 2 3 6 3 3" xfId="24300" xr:uid="{90840C54-74E2-49FE-BD4B-10C6A01959CA}"/>
    <cellStyle name="Normal 9 2 2 3 6 3 4" xfId="32740" xr:uid="{5B4BE376-31DE-49EF-9EB1-F2C18A4A4BBB}"/>
    <cellStyle name="Normal 9 2 2 3 6 4" xfId="11642" xr:uid="{E0082F99-70F7-4208-B8F7-773A9FB31A24}"/>
    <cellStyle name="Normal 9 2 2 3 6 5" xfId="20083" xr:uid="{7F47CE19-A556-4F26-AD14-4D14FB855C13}"/>
    <cellStyle name="Normal 9 2 2 3 6 6" xfId="28523" xr:uid="{5A434A3F-3EEA-457F-8F9E-64D061B17B6F}"/>
    <cellStyle name="Normal 9 2 2 3 7" xfId="2663" xr:uid="{00000000-0005-0000-0000-0000E31E0000}"/>
    <cellStyle name="Normal 9 2 2 3 7 2" xfId="6946" xr:uid="{00000000-0005-0000-0000-0000E41E0000}"/>
    <cellStyle name="Normal 9 2 2 3 7 2 2" xfId="16272" xr:uid="{5EAA2D25-A5B6-435F-A146-1C8B1C0283AE}"/>
    <cellStyle name="Normal 9 2 2 3 7 2 3" xfId="24713" xr:uid="{2E1E97C3-D844-4DD7-BB27-0219CB05E385}"/>
    <cellStyle name="Normal 9 2 2 3 7 2 4" xfId="33153" xr:uid="{749A0FFC-483F-4112-90E4-F9F6F98A7474}"/>
    <cellStyle name="Normal 9 2 2 3 7 3" xfId="12055" xr:uid="{3E22B825-9E11-4189-A0EC-89FCF08B6F4C}"/>
    <cellStyle name="Normal 9 2 2 3 7 4" xfId="20496" xr:uid="{450255D6-AAAE-44D0-9057-65E6FB3AA213}"/>
    <cellStyle name="Normal 9 2 2 3 7 5" xfId="28936" xr:uid="{8B820836-5299-4043-A393-E1C9D13EE497}"/>
    <cellStyle name="Normal 9 2 2 3 8" xfId="4881" xr:uid="{00000000-0005-0000-0000-0000E51E0000}"/>
    <cellStyle name="Normal 9 2 2 3 8 2" xfId="14207" xr:uid="{1D7F118B-94C3-478F-B068-7A20FFABFEEB}"/>
    <cellStyle name="Normal 9 2 2 3 8 3" xfId="22648" xr:uid="{377CDE74-4507-4252-81DE-9B9C6C78E098}"/>
    <cellStyle name="Normal 9 2 2 3 8 4" xfId="31088" xr:uid="{8FC06D66-719C-41BB-B4B8-109F07C6BD2A}"/>
    <cellStyle name="Normal 9 2 2 3 9" xfId="8888" xr:uid="{47457178-62A7-4ACA-95A1-433BF4FD3D65}"/>
    <cellStyle name="Normal 9 2 2 4" xfId="519" xr:uid="{00000000-0005-0000-0000-0000E61E0000}"/>
    <cellStyle name="Normal 9 2 2 4 10" xfId="18433" xr:uid="{172080B7-C7A6-4290-B2FA-D78AD6770895}"/>
    <cellStyle name="Normal 9 2 2 4 11" xfId="26873" xr:uid="{12F8669E-A3EE-461C-B191-DA9E8A910C74}"/>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BEB769A4-A631-486E-8074-A6CCE6DCDF3C}"/>
    <cellStyle name="Normal 9 2 2 4 2 2 2 3" xfId="25208" xr:uid="{3DE2A56C-5696-4E42-96B7-565BDCF5D312}"/>
    <cellStyle name="Normal 9 2 2 4 2 2 2 4" xfId="33648" xr:uid="{75558B0D-8B65-4360-A544-1A65BAAB43B9}"/>
    <cellStyle name="Normal 9 2 2 4 2 2 3" xfId="12550" xr:uid="{C1E30AB4-56E0-4BEF-B764-0A1FEF396759}"/>
    <cellStyle name="Normal 9 2 2 4 2 2 4" xfId="20991" xr:uid="{6EAACD59-095B-4C96-9A5B-A2DCFAB91D4E}"/>
    <cellStyle name="Normal 9 2 2 4 2 2 5" xfId="29431" xr:uid="{2A5823F6-9B0A-49DA-B3B7-AD783E78282B}"/>
    <cellStyle name="Normal 9 2 2 4 2 3" xfId="5296" xr:uid="{00000000-0005-0000-0000-0000EA1E0000}"/>
    <cellStyle name="Normal 9 2 2 4 2 3 2" xfId="14622" xr:uid="{53ABE0E4-C357-4572-BE91-D7E484B99C65}"/>
    <cellStyle name="Normal 9 2 2 4 2 3 3" xfId="23063" xr:uid="{06C92903-BDF2-4CF9-824B-3E239CF18C31}"/>
    <cellStyle name="Normal 9 2 2 4 2 3 4" xfId="31503" xr:uid="{EAB4AEAB-90AB-4922-8711-4B98C3282664}"/>
    <cellStyle name="Normal 9 2 2 4 2 4" xfId="9417" xr:uid="{FDB8A679-B5B8-4E9B-808D-E68F6CA01958}"/>
    <cellStyle name="Normal 9 2 2 4 2 5" xfId="10405" xr:uid="{3B1078B1-2E3D-4216-8FC7-B8978ADAAF2C}"/>
    <cellStyle name="Normal 9 2 2 4 2 6" xfId="18846" xr:uid="{B15494EA-C6D2-4264-A7C2-97BBD7FCBF97}"/>
    <cellStyle name="Normal 9 2 2 4 2 7" xfId="27286" xr:uid="{49232DDD-3F7C-4429-90DF-5DCA1D88947A}"/>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CF7781CA-3FA5-49AF-B3C0-EF5FE78DF43F}"/>
    <cellStyle name="Normal 9 2 2 4 3 2 2 3" xfId="25621" xr:uid="{2EB2ED62-B690-45A5-AD11-70D7F5F8FA26}"/>
    <cellStyle name="Normal 9 2 2 4 3 2 2 4" xfId="34061" xr:uid="{9CA578F5-D1B5-402C-8E31-57465EF4142E}"/>
    <cellStyle name="Normal 9 2 2 4 3 2 3" xfId="12963" xr:uid="{6B09F936-C970-4EC2-9C9D-833F2D1D63F5}"/>
    <cellStyle name="Normal 9 2 2 4 3 2 4" xfId="21404" xr:uid="{DDC07757-CC9F-4473-AFD7-A0C0A818D9E7}"/>
    <cellStyle name="Normal 9 2 2 4 3 2 5" xfId="29844" xr:uid="{90CD03C9-BD8D-47F6-9F6A-63E17EFB4F56}"/>
    <cellStyle name="Normal 9 2 2 4 3 3" xfId="5709" xr:uid="{00000000-0005-0000-0000-0000EE1E0000}"/>
    <cellStyle name="Normal 9 2 2 4 3 3 2" xfId="15035" xr:uid="{7635C263-32CC-4F26-8230-99D94459E3A3}"/>
    <cellStyle name="Normal 9 2 2 4 3 3 3" xfId="23476" xr:uid="{4ADE360B-B16B-46D1-9328-A23832B7D9E5}"/>
    <cellStyle name="Normal 9 2 2 4 3 3 4" xfId="31916" xr:uid="{A7C59864-15F5-414D-AD9C-92FCD836E765}"/>
    <cellStyle name="Normal 9 2 2 4 3 4" xfId="10818" xr:uid="{225D2590-0294-4D96-B1D5-C1D3E8ABF108}"/>
    <cellStyle name="Normal 9 2 2 4 3 5" xfId="19259" xr:uid="{1CC5B203-7C33-4AD8-916E-3E98B9DC5F29}"/>
    <cellStyle name="Normal 9 2 2 4 3 6" xfId="27699" xr:uid="{084F6A7D-256F-426C-85C3-7007F5FE0AE3}"/>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71DC04BE-EB7D-4716-BAD5-14300ABC35AE}"/>
    <cellStyle name="Normal 9 2 2 4 4 2 2 3" xfId="26034" xr:uid="{1B340ABA-539B-445B-9AE5-F47D482DFE4B}"/>
    <cellStyle name="Normal 9 2 2 4 4 2 2 4" xfId="34474" xr:uid="{0004F63A-A00C-4174-ABE4-B24E37DF340C}"/>
    <cellStyle name="Normal 9 2 2 4 4 2 3" xfId="13376" xr:uid="{604E8068-104E-44DC-9BB1-0F053B795E7E}"/>
    <cellStyle name="Normal 9 2 2 4 4 2 4" xfId="21817" xr:uid="{8F30B1FF-76E2-4318-BCFE-68FDF585A3C8}"/>
    <cellStyle name="Normal 9 2 2 4 4 2 5" xfId="30257" xr:uid="{2C0BC975-DBDA-4BC8-B659-B0777F2649CD}"/>
    <cellStyle name="Normal 9 2 2 4 4 3" xfId="6122" xr:uid="{00000000-0005-0000-0000-0000F21E0000}"/>
    <cellStyle name="Normal 9 2 2 4 4 3 2" xfId="15448" xr:uid="{CF2F5701-35DB-4B77-867D-83D96EE63BE2}"/>
    <cellStyle name="Normal 9 2 2 4 4 3 3" xfId="23889" xr:uid="{024470A8-C343-48C8-A551-7C43A6E5D778}"/>
    <cellStyle name="Normal 9 2 2 4 4 3 4" xfId="32329" xr:uid="{809734E0-C5F9-47DE-AECA-76F22986B4DB}"/>
    <cellStyle name="Normal 9 2 2 4 4 4" xfId="11231" xr:uid="{57870E52-3841-45FC-9E73-A84516DD287E}"/>
    <cellStyle name="Normal 9 2 2 4 4 5" xfId="19672" xr:uid="{4ADB3F7A-2AE8-43DC-A8BA-7F4840408494}"/>
    <cellStyle name="Normal 9 2 2 4 4 6" xfId="28112" xr:uid="{99E3B748-18AB-441C-A2F8-3C73F1B64C4F}"/>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59E7E16B-0BD1-4665-A991-8AC5378CDA42}"/>
    <cellStyle name="Normal 9 2 2 4 5 2 2 3" xfId="26447" xr:uid="{C8E90BFC-4913-453D-BAF9-79BD98C26EFA}"/>
    <cellStyle name="Normal 9 2 2 4 5 2 2 4" xfId="34887" xr:uid="{2104CCED-8A49-4541-AEC0-5D34FAD6AE69}"/>
    <cellStyle name="Normal 9 2 2 4 5 2 3" xfId="13789" xr:uid="{CCA873BF-C9C9-455A-8A79-DB37AA915768}"/>
    <cellStyle name="Normal 9 2 2 4 5 2 4" xfId="22230" xr:uid="{F21B6F9E-B7D2-478C-8AA9-E9C46AA8288D}"/>
    <cellStyle name="Normal 9 2 2 4 5 2 5" xfId="30670" xr:uid="{C85A90E8-0189-4FE4-97B3-531F855482D0}"/>
    <cellStyle name="Normal 9 2 2 4 5 3" xfId="6535" xr:uid="{00000000-0005-0000-0000-0000F61E0000}"/>
    <cellStyle name="Normal 9 2 2 4 5 3 2" xfId="15861" xr:uid="{01775858-ED68-44F0-B0DF-9FBF6E66E387}"/>
    <cellStyle name="Normal 9 2 2 4 5 3 3" xfId="24302" xr:uid="{E25F738A-983E-4199-A37E-10E6C841B300}"/>
    <cellStyle name="Normal 9 2 2 4 5 3 4" xfId="32742" xr:uid="{91E99FA8-A58B-47C1-9A38-B8978D8AA60D}"/>
    <cellStyle name="Normal 9 2 2 4 5 4" xfId="11644" xr:uid="{9D793759-80FE-4475-9F62-3E4182589313}"/>
    <cellStyle name="Normal 9 2 2 4 5 5" xfId="20085" xr:uid="{E6D9A622-B968-411E-B6CE-5F75BD535CCF}"/>
    <cellStyle name="Normal 9 2 2 4 5 6" xfId="28525" xr:uid="{94D25788-ACC1-42EB-89B2-5AD5BDFA8D9E}"/>
    <cellStyle name="Normal 9 2 2 4 6" xfId="2665" xr:uid="{00000000-0005-0000-0000-0000F71E0000}"/>
    <cellStyle name="Normal 9 2 2 4 6 2" xfId="6948" xr:uid="{00000000-0005-0000-0000-0000F81E0000}"/>
    <cellStyle name="Normal 9 2 2 4 6 2 2" xfId="16274" xr:uid="{D58B63A4-6946-4541-AA1D-DDC36FCB3481}"/>
    <cellStyle name="Normal 9 2 2 4 6 2 3" xfId="24715" xr:uid="{81042BFE-A176-4997-BA93-D472885CB8D9}"/>
    <cellStyle name="Normal 9 2 2 4 6 2 4" xfId="33155" xr:uid="{4B09CAD9-E90E-4823-8170-C6840EF79F23}"/>
    <cellStyle name="Normal 9 2 2 4 6 3" xfId="12057" xr:uid="{5F7E352B-681F-41AC-BC3F-DE0AADB0B3D3}"/>
    <cellStyle name="Normal 9 2 2 4 6 4" xfId="20498" xr:uid="{87E97068-CE81-4612-9F53-C1C18431ABFF}"/>
    <cellStyle name="Normal 9 2 2 4 6 5" xfId="28938" xr:uid="{C2DAA0E6-B226-4452-8724-A28F3BFD7E3B}"/>
    <cellStyle name="Normal 9 2 2 4 7" xfId="4883" xr:uid="{00000000-0005-0000-0000-0000F91E0000}"/>
    <cellStyle name="Normal 9 2 2 4 7 2" xfId="14209" xr:uid="{C1E6049C-C697-41A4-9D0C-7AC74D1D012B}"/>
    <cellStyle name="Normal 9 2 2 4 7 3" xfId="22650" xr:uid="{10977BF8-73B0-4085-B17D-A96C0A669658}"/>
    <cellStyle name="Normal 9 2 2 4 7 4" xfId="31090" xr:uid="{0D6CAD22-BFF9-4939-BB5F-C6E9B9FC8A95}"/>
    <cellStyle name="Normal 9 2 2 4 8" xfId="8992" xr:uid="{8AFFF8AD-8552-4B33-AAFF-7DACAE25085E}"/>
    <cellStyle name="Normal 9 2 2 4 9" xfId="9992" xr:uid="{9016CC5D-33AC-42FE-8EEB-2A6CBB650266}"/>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8A143D25-426C-4E08-A4A6-BAFC7A71054D}"/>
    <cellStyle name="Normal 9 2 2 5 2 2 3" xfId="25201" xr:uid="{6CFB3DC7-FDE0-4D1D-8FFC-B8202B0935AA}"/>
    <cellStyle name="Normal 9 2 2 5 2 2 4" xfId="33641" xr:uid="{8C0BC017-4205-423B-9549-1C568DD67326}"/>
    <cellStyle name="Normal 9 2 2 5 2 3" xfId="12543" xr:uid="{9E2D50E5-F37C-4223-BB58-509E690F40EE}"/>
    <cellStyle name="Normal 9 2 2 5 2 4" xfId="20984" xr:uid="{6CE8AAD0-D9DB-428C-8926-ED1BC5BB02B5}"/>
    <cellStyle name="Normal 9 2 2 5 2 5" xfId="29424" xr:uid="{4CAD73AC-855D-4A0F-B53D-748AF883C7F0}"/>
    <cellStyle name="Normal 9 2 2 5 3" xfId="5289" xr:uid="{00000000-0005-0000-0000-0000FD1E0000}"/>
    <cellStyle name="Normal 9 2 2 5 3 2" xfId="14615" xr:uid="{833C1B54-2E24-49D4-A103-222BFAAF7BED}"/>
    <cellStyle name="Normal 9 2 2 5 3 3" xfId="23056" xr:uid="{E469B630-025E-4491-B400-D61B88DB4643}"/>
    <cellStyle name="Normal 9 2 2 5 3 4" xfId="31496" xr:uid="{49267A78-8879-4657-8E2D-96DC5907FA86}"/>
    <cellStyle name="Normal 9 2 2 5 4" xfId="9209" xr:uid="{66E66B93-842C-41D8-A807-A065C03CFEBD}"/>
    <cellStyle name="Normal 9 2 2 5 5" xfId="10398" xr:uid="{25CB0968-BF49-434F-830D-275C12270855}"/>
    <cellStyle name="Normal 9 2 2 5 6" xfId="18839" xr:uid="{F6D3D514-75A0-4A02-9BDE-6B70BD22FAF5}"/>
    <cellStyle name="Normal 9 2 2 5 7" xfId="27279" xr:uid="{06407332-3D6A-49BE-BB90-1A2B0BECF615}"/>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D213DB59-2664-4A3C-811C-C13AEDA5A19E}"/>
    <cellStyle name="Normal 9 2 2 6 2 2 3" xfId="25614" xr:uid="{736EEC4A-1A51-4666-AA60-56FAED060DFF}"/>
    <cellStyle name="Normal 9 2 2 6 2 2 4" xfId="34054" xr:uid="{F034B736-BB51-4085-A8A5-C3AFF9C428D8}"/>
    <cellStyle name="Normal 9 2 2 6 2 3" xfId="12956" xr:uid="{E60CF689-B480-4A53-9F1B-E5C886604968}"/>
    <cellStyle name="Normal 9 2 2 6 2 4" xfId="21397" xr:uid="{DFED7816-A969-4C79-BEB7-719BE355BBB7}"/>
    <cellStyle name="Normal 9 2 2 6 2 5" xfId="29837" xr:uid="{A9D69055-0BFF-4B24-9262-3CA5AE157D4F}"/>
    <cellStyle name="Normal 9 2 2 6 3" xfId="5702" xr:uid="{00000000-0005-0000-0000-0000011F0000}"/>
    <cellStyle name="Normal 9 2 2 6 3 2" xfId="15028" xr:uid="{8257DFA0-C6A0-4F13-8DE9-D54AF659BB5F}"/>
    <cellStyle name="Normal 9 2 2 6 3 3" xfId="23469" xr:uid="{047F0235-6B40-4B0C-A433-2CDB5D9AD8EC}"/>
    <cellStyle name="Normal 9 2 2 6 3 4" xfId="31909" xr:uid="{748FA78D-1B48-43B3-BD80-D5E464F8E925}"/>
    <cellStyle name="Normal 9 2 2 6 4" xfId="10811" xr:uid="{8364DD78-1E1C-440C-9BD3-12AE79AAA726}"/>
    <cellStyle name="Normal 9 2 2 6 5" xfId="19252" xr:uid="{09F42F0B-7A86-4111-88D8-EB2511286E5F}"/>
    <cellStyle name="Normal 9 2 2 6 6" xfId="27692" xr:uid="{CF9A75DC-E6A9-4E7B-A29B-472FEA0D1974}"/>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BAC84DCC-AA1D-43C8-B4F0-A67269DF2CEB}"/>
    <cellStyle name="Normal 9 2 2 7 2 2 3" xfId="26027" xr:uid="{106B90B0-7C07-431B-9E18-74A3226E9922}"/>
    <cellStyle name="Normal 9 2 2 7 2 2 4" xfId="34467" xr:uid="{822C2D4F-B10D-4C81-A8D8-70A4F09F0A6F}"/>
    <cellStyle name="Normal 9 2 2 7 2 3" xfId="13369" xr:uid="{5ED824D1-99D3-495B-880A-E13AC695F1CB}"/>
    <cellStyle name="Normal 9 2 2 7 2 4" xfId="21810" xr:uid="{EC6258FF-03F1-460B-914A-62EEA040A5F6}"/>
    <cellStyle name="Normal 9 2 2 7 2 5" xfId="30250" xr:uid="{173D75B8-A9F1-4598-A855-9ABC3C76C94B}"/>
    <cellStyle name="Normal 9 2 2 7 3" xfId="6115" xr:uid="{00000000-0005-0000-0000-0000051F0000}"/>
    <cellStyle name="Normal 9 2 2 7 3 2" xfId="15441" xr:uid="{657980EB-CF56-4642-B164-C5A45AF4E3DF}"/>
    <cellStyle name="Normal 9 2 2 7 3 3" xfId="23882" xr:uid="{57493D22-8817-459A-8CE0-19EED8814703}"/>
    <cellStyle name="Normal 9 2 2 7 3 4" xfId="32322" xr:uid="{90DFCB63-934D-455A-94F6-92F5B9777533}"/>
    <cellStyle name="Normal 9 2 2 7 4" xfId="11224" xr:uid="{BCD71B0B-FF48-4B29-A383-9770CABAF273}"/>
    <cellStyle name="Normal 9 2 2 7 5" xfId="19665" xr:uid="{D1C3F53B-010A-4F10-B81F-FCDA6C91221F}"/>
    <cellStyle name="Normal 9 2 2 7 6" xfId="28105" xr:uid="{69A90188-AA6E-4DAA-9FC1-74AC4A61A746}"/>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DA786658-FD71-4082-8776-8C8A583DF5E0}"/>
    <cellStyle name="Normal 9 2 2 8 2 2 3" xfId="26440" xr:uid="{0F39B40E-3BE9-4511-8CDF-7908578015D3}"/>
    <cellStyle name="Normal 9 2 2 8 2 2 4" xfId="34880" xr:uid="{02623D4E-5973-4F01-AA10-9804CEDA80FF}"/>
    <cellStyle name="Normal 9 2 2 8 2 3" xfId="13782" xr:uid="{90F0AD23-D427-4351-B96D-930CA79FB4BD}"/>
    <cellStyle name="Normal 9 2 2 8 2 4" xfId="22223" xr:uid="{6A7C3550-BFED-4486-AB40-2CC6DB66D7FD}"/>
    <cellStyle name="Normal 9 2 2 8 2 5" xfId="30663" xr:uid="{528BF625-D963-4623-BE08-EEF974081E22}"/>
    <cellStyle name="Normal 9 2 2 8 3" xfId="6528" xr:uid="{00000000-0005-0000-0000-0000091F0000}"/>
    <cellStyle name="Normal 9 2 2 8 3 2" xfId="15854" xr:uid="{D63B04FF-8D3C-4154-843B-10C4907788C3}"/>
    <cellStyle name="Normal 9 2 2 8 3 3" xfId="24295" xr:uid="{1B336FB0-4B8C-421A-BED8-2432859F3199}"/>
    <cellStyle name="Normal 9 2 2 8 3 4" xfId="32735" xr:uid="{A3C3CDB4-BEF8-4BDC-B9A7-A50D676DC238}"/>
    <cellStyle name="Normal 9 2 2 8 4" xfId="11637" xr:uid="{2904A281-0BFD-4569-9761-3AD4F6651051}"/>
    <cellStyle name="Normal 9 2 2 8 5" xfId="20078" xr:uid="{FA9F3DE7-AE13-482A-84BD-214CD03A441A}"/>
    <cellStyle name="Normal 9 2 2 8 6" xfId="28518" xr:uid="{6991ECEE-9A6E-4DD1-9275-0FEE065FE53B}"/>
    <cellStyle name="Normal 9 2 2 9" xfId="2658" xr:uid="{00000000-0005-0000-0000-00000A1F0000}"/>
    <cellStyle name="Normal 9 2 2 9 2" xfId="6941" xr:uid="{00000000-0005-0000-0000-00000B1F0000}"/>
    <cellStyle name="Normal 9 2 2 9 2 2" xfId="16267" xr:uid="{D5AD407A-4F8F-4A92-9688-8811EC56CB84}"/>
    <cellStyle name="Normal 9 2 2 9 2 3" xfId="24708" xr:uid="{A3B5DDDC-8991-4FD6-9849-87375D391B6E}"/>
    <cellStyle name="Normal 9 2 2 9 2 4" xfId="33148" xr:uid="{E740AD90-FAAE-444B-9C43-7A26FFC777D3}"/>
    <cellStyle name="Normal 9 2 2 9 3" xfId="12050" xr:uid="{3906B467-72C4-4823-950D-0D8ADE4DB044}"/>
    <cellStyle name="Normal 9 2 2 9 4" xfId="20491" xr:uid="{D4701627-EE08-4751-A45D-B2BB3EA59523}"/>
    <cellStyle name="Normal 9 2 2 9 5" xfId="28931" xr:uid="{9C34D606-4F7E-4AA6-A34B-9B69CDE14EC8}"/>
    <cellStyle name="Normal 9 2 3" xfId="520" xr:uid="{00000000-0005-0000-0000-00000C1F0000}"/>
    <cellStyle name="Normal 9 2 3 10" xfId="8838" xr:uid="{3F59BADF-95CF-4831-9CE1-8ACBDD585DF1}"/>
    <cellStyle name="Normal 9 2 3 11" xfId="9993" xr:uid="{D408030D-6903-4E58-AA30-C3289C205328}"/>
    <cellStyle name="Normal 9 2 3 12" xfId="18434" xr:uid="{46ADCB0C-0ECE-4951-A4EC-29382B0602EF}"/>
    <cellStyle name="Normal 9 2 3 13" xfId="26874" xr:uid="{C5DBAE26-3C9E-480A-BB42-1274E57664C5}"/>
    <cellStyle name="Normal 9 2 3 2" xfId="521" xr:uid="{00000000-0005-0000-0000-00000D1F0000}"/>
    <cellStyle name="Normal 9 2 3 2 10" xfId="9994" xr:uid="{ACCBDFA0-C5BA-4864-85C0-45F9B5C8764F}"/>
    <cellStyle name="Normal 9 2 3 2 11" xfId="18435" xr:uid="{97D59FF7-4B22-4896-B323-9775F376F83C}"/>
    <cellStyle name="Normal 9 2 3 2 12" xfId="26875" xr:uid="{03FBB40E-6658-4716-ACBF-61476266BA13}"/>
    <cellStyle name="Normal 9 2 3 2 2" xfId="522" xr:uid="{00000000-0005-0000-0000-00000E1F0000}"/>
    <cellStyle name="Normal 9 2 3 2 2 10" xfId="18436" xr:uid="{9B98C92B-66CE-44C6-A096-BE0DD3259F2E}"/>
    <cellStyle name="Normal 9 2 3 2 2 11" xfId="26876" xr:uid="{79ECD930-D4D4-4CF7-A1D1-20B2B4BD95DD}"/>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F64B0D64-23EA-47BB-A814-D06DF6E544D3}"/>
    <cellStyle name="Normal 9 2 3 2 2 2 2 2 3" xfId="25211" xr:uid="{6F12092F-FD99-4EBA-9886-F8C29686BCA4}"/>
    <cellStyle name="Normal 9 2 3 2 2 2 2 2 4" xfId="33651" xr:uid="{2CE324E3-2A33-4D8F-8DB2-3EFFD27708BC}"/>
    <cellStyle name="Normal 9 2 3 2 2 2 2 3" xfId="12553" xr:uid="{A400AEAC-8E70-4CD7-91DE-5A285146E80C}"/>
    <cellStyle name="Normal 9 2 3 2 2 2 2 4" xfId="20994" xr:uid="{FA7EBAFF-1245-48DA-B28A-74AB01CC8310}"/>
    <cellStyle name="Normal 9 2 3 2 2 2 2 5" xfId="29434" xr:uid="{CCCCBCFE-FD21-4FA0-B93B-CC58488C5364}"/>
    <cellStyle name="Normal 9 2 3 2 2 2 3" xfId="5299" xr:uid="{00000000-0005-0000-0000-0000121F0000}"/>
    <cellStyle name="Normal 9 2 3 2 2 2 3 2" xfId="14625" xr:uid="{FE9BDFAE-C386-4057-8D78-5F62793D5D7E}"/>
    <cellStyle name="Normal 9 2 3 2 2 2 3 3" xfId="23066" xr:uid="{C3C59691-9203-4A82-9D7E-189CD5F8BB79}"/>
    <cellStyle name="Normal 9 2 3 2 2 2 3 4" xfId="31506" xr:uid="{080D542B-2A69-4AC0-B27F-A839E3D14B0E}"/>
    <cellStyle name="Normal 9 2 3 2 2 2 4" xfId="9573" xr:uid="{376F8566-2407-40B8-9531-D3E757BE7A23}"/>
    <cellStyle name="Normal 9 2 3 2 2 2 5" xfId="10408" xr:uid="{9AC360A3-A016-40FB-9C9C-738A03371DEF}"/>
    <cellStyle name="Normal 9 2 3 2 2 2 6" xfId="18849" xr:uid="{F08BC30E-F6C5-45C9-9A18-717F5C2649E6}"/>
    <cellStyle name="Normal 9 2 3 2 2 2 7" xfId="27289" xr:uid="{B77CD617-5262-4F92-B3D7-6813A73EBD06}"/>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9B141D44-4969-4A16-B54A-B1FC696991E6}"/>
    <cellStyle name="Normal 9 2 3 2 2 3 2 2 3" xfId="25624" xr:uid="{BC246FE8-F4C3-4B52-8A4C-3ACCC9113AC6}"/>
    <cellStyle name="Normal 9 2 3 2 2 3 2 2 4" xfId="34064" xr:uid="{59827124-D95F-4D58-898F-7E580B8D48F9}"/>
    <cellStyle name="Normal 9 2 3 2 2 3 2 3" xfId="12966" xr:uid="{3BC5863B-8A5F-4432-BCA7-22526E26E660}"/>
    <cellStyle name="Normal 9 2 3 2 2 3 2 4" xfId="21407" xr:uid="{F39E1727-0D41-484F-AA4A-FCBBAD508584}"/>
    <cellStyle name="Normal 9 2 3 2 2 3 2 5" xfId="29847" xr:uid="{D0D7BE3C-94E0-4E48-9201-9CD002ACAA3B}"/>
    <cellStyle name="Normal 9 2 3 2 2 3 3" xfId="5712" xr:uid="{00000000-0005-0000-0000-0000161F0000}"/>
    <cellStyle name="Normal 9 2 3 2 2 3 3 2" xfId="15038" xr:uid="{9C834399-4FFD-4DD6-A9D2-B088EFB59BBD}"/>
    <cellStyle name="Normal 9 2 3 2 2 3 3 3" xfId="23479" xr:uid="{172AE55C-E63B-49D4-B9DB-9BF397C7D4BA}"/>
    <cellStyle name="Normal 9 2 3 2 2 3 3 4" xfId="31919" xr:uid="{8205F31D-DC6D-4E3C-886F-345CC5E7026A}"/>
    <cellStyle name="Normal 9 2 3 2 2 3 4" xfId="10821" xr:uid="{E6311E20-9B10-4F6F-A005-D0A63D139175}"/>
    <cellStyle name="Normal 9 2 3 2 2 3 5" xfId="19262" xr:uid="{E3997646-63C1-4679-B8ED-002488768922}"/>
    <cellStyle name="Normal 9 2 3 2 2 3 6" xfId="27702" xr:uid="{B6CA2C60-2E3B-4C45-9139-0B686F9647E4}"/>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CDBD5FC9-34E5-4DC3-8AC5-D324D54322F4}"/>
    <cellStyle name="Normal 9 2 3 2 2 4 2 2 3" xfId="26037" xr:uid="{5E57C1B3-3FBF-4DDE-A0D8-CF0662DB96D5}"/>
    <cellStyle name="Normal 9 2 3 2 2 4 2 2 4" xfId="34477" xr:uid="{5BDC089B-ACFC-4DA2-A182-36E54D71E189}"/>
    <cellStyle name="Normal 9 2 3 2 2 4 2 3" xfId="13379" xr:uid="{CCCAE5A5-D6B4-4B33-9BC6-DEC9F2CB2DA0}"/>
    <cellStyle name="Normal 9 2 3 2 2 4 2 4" xfId="21820" xr:uid="{61251F5D-9F10-4E08-85F6-95E99021455D}"/>
    <cellStyle name="Normal 9 2 3 2 2 4 2 5" xfId="30260" xr:uid="{D99F45FD-1DE7-4C87-A7F3-294BA66771A1}"/>
    <cellStyle name="Normal 9 2 3 2 2 4 3" xfId="6125" xr:uid="{00000000-0005-0000-0000-00001A1F0000}"/>
    <cellStyle name="Normal 9 2 3 2 2 4 3 2" xfId="15451" xr:uid="{275993FF-2B8D-4830-B4F5-FB8CA60F2697}"/>
    <cellStyle name="Normal 9 2 3 2 2 4 3 3" xfId="23892" xr:uid="{CB3F794D-2CD3-4DDE-B808-1821694730D3}"/>
    <cellStyle name="Normal 9 2 3 2 2 4 3 4" xfId="32332" xr:uid="{EBEE0314-A0C3-4539-82F6-CB68A1F17B42}"/>
    <cellStyle name="Normal 9 2 3 2 2 4 4" xfId="11234" xr:uid="{978A5F47-DA9B-49C9-B91B-BB15F1CE86F2}"/>
    <cellStyle name="Normal 9 2 3 2 2 4 5" xfId="19675" xr:uid="{E5C65053-24A3-4575-84E5-1B30B0BBEFDB}"/>
    <cellStyle name="Normal 9 2 3 2 2 4 6" xfId="28115" xr:uid="{D9044C76-B696-4DA5-90E9-F95133085C08}"/>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2382A277-33C6-4B7A-961A-04125F28688B}"/>
    <cellStyle name="Normal 9 2 3 2 2 5 2 2 3" xfId="26450" xr:uid="{0872F447-EAA1-45DC-9ACE-96B01CD0342F}"/>
    <cellStyle name="Normal 9 2 3 2 2 5 2 2 4" xfId="34890" xr:uid="{8C1C89D1-C819-47BA-A79A-EC3151C4F88C}"/>
    <cellStyle name="Normal 9 2 3 2 2 5 2 3" xfId="13792" xr:uid="{B971CC6C-2ECA-4E21-9484-25E5FB47539A}"/>
    <cellStyle name="Normal 9 2 3 2 2 5 2 4" xfId="22233" xr:uid="{2AEF63C3-AF22-4F4B-8DCB-1DAE45C9D06E}"/>
    <cellStyle name="Normal 9 2 3 2 2 5 2 5" xfId="30673" xr:uid="{0E56EF7F-E1D7-4E9A-BFAF-9BFC5E4057B4}"/>
    <cellStyle name="Normal 9 2 3 2 2 5 3" xfId="6538" xr:uid="{00000000-0005-0000-0000-00001E1F0000}"/>
    <cellStyle name="Normal 9 2 3 2 2 5 3 2" xfId="15864" xr:uid="{E6FC7940-C348-4996-8417-212769FF3579}"/>
    <cellStyle name="Normal 9 2 3 2 2 5 3 3" xfId="24305" xr:uid="{C673370C-6412-48D6-9818-7061A433E0A6}"/>
    <cellStyle name="Normal 9 2 3 2 2 5 3 4" xfId="32745" xr:uid="{73319BE7-467E-47AA-BF60-7A097FBEB046}"/>
    <cellStyle name="Normal 9 2 3 2 2 5 4" xfId="11647" xr:uid="{506443EB-50A2-49B1-AC3D-596C67202E55}"/>
    <cellStyle name="Normal 9 2 3 2 2 5 5" xfId="20088" xr:uid="{36CA7756-D41B-4D55-B11F-25BC57B0F63A}"/>
    <cellStyle name="Normal 9 2 3 2 2 5 6" xfId="28528" xr:uid="{F75D0F97-9683-48BC-BD0F-B6C649A38562}"/>
    <cellStyle name="Normal 9 2 3 2 2 6" xfId="2668" xr:uid="{00000000-0005-0000-0000-00001F1F0000}"/>
    <cellStyle name="Normal 9 2 3 2 2 6 2" xfId="6951" xr:uid="{00000000-0005-0000-0000-0000201F0000}"/>
    <cellStyle name="Normal 9 2 3 2 2 6 2 2" xfId="16277" xr:uid="{F77B08F6-4CD5-4216-925A-430C4146DE8E}"/>
    <cellStyle name="Normal 9 2 3 2 2 6 2 3" xfId="24718" xr:uid="{34327AE6-EE75-4226-8884-907554163701}"/>
    <cellStyle name="Normal 9 2 3 2 2 6 2 4" xfId="33158" xr:uid="{36BC12E8-B73B-4562-A6C4-2D8D116FEAA4}"/>
    <cellStyle name="Normal 9 2 3 2 2 6 3" xfId="12060" xr:uid="{CF477015-A3AC-408B-A572-F736B3F77C66}"/>
    <cellStyle name="Normal 9 2 3 2 2 6 4" xfId="20501" xr:uid="{8D21AD4C-C0C8-4B17-8677-D55F91CD6975}"/>
    <cellStyle name="Normal 9 2 3 2 2 6 5" xfId="28941" xr:uid="{1D480C39-7B36-4BB0-B334-ACB6E227F7FB}"/>
    <cellStyle name="Normal 9 2 3 2 2 7" xfId="4886" xr:uid="{00000000-0005-0000-0000-0000211F0000}"/>
    <cellStyle name="Normal 9 2 3 2 2 7 2" xfId="14212" xr:uid="{2BF37441-A591-4576-848A-78A766A83348}"/>
    <cellStyle name="Normal 9 2 3 2 2 7 3" xfId="22653" xr:uid="{5801421F-C043-4D08-91C1-1E5D7A31E8D1}"/>
    <cellStyle name="Normal 9 2 3 2 2 7 4" xfId="31093" xr:uid="{DECCBF7B-7963-489F-8657-D94564492CA7}"/>
    <cellStyle name="Normal 9 2 3 2 2 8" xfId="9148" xr:uid="{E1A2F3F0-C8EA-47FA-BB37-18F117041A87}"/>
    <cellStyle name="Normal 9 2 3 2 2 9" xfId="9995" xr:uid="{78DE6F89-FD88-4666-A959-2C810BC34C72}"/>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CCC102EE-0479-408F-8AAC-71CCE2BA6F20}"/>
    <cellStyle name="Normal 9 2 3 2 3 2 2 3" xfId="25210" xr:uid="{846AE6CB-B0D1-4D4F-815F-AB840C7FAB16}"/>
    <cellStyle name="Normal 9 2 3 2 3 2 2 4" xfId="33650" xr:uid="{63227AA8-ADC3-40C9-B370-5958AEB150C7}"/>
    <cellStyle name="Normal 9 2 3 2 3 2 3" xfId="12552" xr:uid="{419EA9AE-B9C6-4ABA-88BC-72EE90FD15F9}"/>
    <cellStyle name="Normal 9 2 3 2 3 2 4" xfId="20993" xr:uid="{EE96E7EB-F20F-45CF-9FE6-F38DAA83E475}"/>
    <cellStyle name="Normal 9 2 3 2 3 2 5" xfId="29433" xr:uid="{A1ED1449-2DA1-4AC2-93E1-4A79FD05A6FA}"/>
    <cellStyle name="Normal 9 2 3 2 3 3" xfId="5298" xr:uid="{00000000-0005-0000-0000-0000251F0000}"/>
    <cellStyle name="Normal 9 2 3 2 3 3 2" xfId="14624" xr:uid="{9B65C539-07CA-4E7A-A938-B964B2FB04CC}"/>
    <cellStyle name="Normal 9 2 3 2 3 3 3" xfId="23065" xr:uid="{B7589FF0-CB84-4F51-80A5-56B889A75BA3}"/>
    <cellStyle name="Normal 9 2 3 2 3 3 4" xfId="31505" xr:uid="{4F0F51EE-4C2E-40A6-AC70-9A3F79765862}"/>
    <cellStyle name="Normal 9 2 3 2 3 4" xfId="9366" xr:uid="{136A6B94-9CAA-4F6C-B09D-7385900FCA38}"/>
    <cellStyle name="Normal 9 2 3 2 3 5" xfId="10407" xr:uid="{96EFB377-ECF1-40B0-A3FF-2C90DFA22DE9}"/>
    <cellStyle name="Normal 9 2 3 2 3 6" xfId="18848" xr:uid="{38E783A4-CA36-4259-89D8-A0F400CC1EAD}"/>
    <cellStyle name="Normal 9 2 3 2 3 7" xfId="27288" xr:uid="{DB6C8796-F299-4C27-A0FB-4EF9EBA453F9}"/>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5BB476A1-6BA1-4EAD-886E-870842591A3C}"/>
    <cellStyle name="Normal 9 2 3 2 4 2 2 3" xfId="25623" xr:uid="{0000AFFF-169D-4A28-B6CD-10B1DCDCD1AC}"/>
    <cellStyle name="Normal 9 2 3 2 4 2 2 4" xfId="34063" xr:uid="{9E0E0F58-A4F3-43A7-915F-4BBDC6198775}"/>
    <cellStyle name="Normal 9 2 3 2 4 2 3" xfId="12965" xr:uid="{9C1BFDE0-619F-429A-A584-3B8478EDF5E9}"/>
    <cellStyle name="Normal 9 2 3 2 4 2 4" xfId="21406" xr:uid="{C8A3CD52-4044-45A1-A438-9F035EB3026B}"/>
    <cellStyle name="Normal 9 2 3 2 4 2 5" xfId="29846" xr:uid="{59756122-C00C-4B20-956F-483F4101E5DA}"/>
    <cellStyle name="Normal 9 2 3 2 4 3" xfId="5711" xr:uid="{00000000-0005-0000-0000-0000291F0000}"/>
    <cellStyle name="Normal 9 2 3 2 4 3 2" xfId="15037" xr:uid="{1EB331C4-9184-4890-A647-A2D87E1EA904}"/>
    <cellStyle name="Normal 9 2 3 2 4 3 3" xfId="23478" xr:uid="{31D77605-976F-466E-AFB8-290D2DF21E16}"/>
    <cellStyle name="Normal 9 2 3 2 4 3 4" xfId="31918" xr:uid="{FAD8A086-D662-463E-A4AD-434A7B923744}"/>
    <cellStyle name="Normal 9 2 3 2 4 4" xfId="10820" xr:uid="{153478E3-87A2-4A59-B726-1551964D9702}"/>
    <cellStyle name="Normal 9 2 3 2 4 5" xfId="19261" xr:uid="{9D883AF9-FDD9-4C14-8573-D19A94B6A654}"/>
    <cellStyle name="Normal 9 2 3 2 4 6" xfId="27701" xr:uid="{DFE7E5E4-B3BA-466D-A337-0DA73AFCA630}"/>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124B6E6E-DC8B-4EE3-8B31-93F3180CFB32}"/>
    <cellStyle name="Normal 9 2 3 2 5 2 2 3" xfId="26036" xr:uid="{243A6442-D3C6-4C0A-AB70-4A86CA976074}"/>
    <cellStyle name="Normal 9 2 3 2 5 2 2 4" xfId="34476" xr:uid="{F122C366-4C34-4423-9721-5AED88B8E43D}"/>
    <cellStyle name="Normal 9 2 3 2 5 2 3" xfId="13378" xr:uid="{41B66CDA-22B9-4877-8E87-146BCBF0B397}"/>
    <cellStyle name="Normal 9 2 3 2 5 2 4" xfId="21819" xr:uid="{43EE0E10-078B-4764-8A3D-61630BCFCAC6}"/>
    <cellStyle name="Normal 9 2 3 2 5 2 5" xfId="30259" xr:uid="{968F0364-DC96-404E-8030-0459D3B5DEF7}"/>
    <cellStyle name="Normal 9 2 3 2 5 3" xfId="6124" xr:uid="{00000000-0005-0000-0000-00002D1F0000}"/>
    <cellStyle name="Normal 9 2 3 2 5 3 2" xfId="15450" xr:uid="{BF85C395-9E9E-4A17-95A0-71F178C52FBF}"/>
    <cellStyle name="Normal 9 2 3 2 5 3 3" xfId="23891" xr:uid="{4A099339-DB8C-46F9-9F6D-82A8050F4574}"/>
    <cellStyle name="Normal 9 2 3 2 5 3 4" xfId="32331" xr:uid="{94848E6E-F3E3-4A80-BE63-FED215A2AD3E}"/>
    <cellStyle name="Normal 9 2 3 2 5 4" xfId="11233" xr:uid="{4BE6AC84-69A3-44EE-8062-18DA4860D0A6}"/>
    <cellStyle name="Normal 9 2 3 2 5 5" xfId="19674" xr:uid="{7B1139ED-49E3-4A68-94D8-7579A32F4258}"/>
    <cellStyle name="Normal 9 2 3 2 5 6" xfId="28114" xr:uid="{50F05BD3-3195-4476-9E4E-BBC48EF03DF1}"/>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B900B02C-A58F-4EE7-818D-8E27698DC87A}"/>
    <cellStyle name="Normal 9 2 3 2 6 2 2 3" xfId="26449" xr:uid="{DDDEBFA0-B40F-4C28-84EF-0DAF2C63E44A}"/>
    <cellStyle name="Normal 9 2 3 2 6 2 2 4" xfId="34889" xr:uid="{ED2A0285-ECF3-4DED-A9FD-210EE55939D0}"/>
    <cellStyle name="Normal 9 2 3 2 6 2 3" xfId="13791" xr:uid="{D0D53BD2-AD2C-4A3E-88BA-CBB4E7096A44}"/>
    <cellStyle name="Normal 9 2 3 2 6 2 4" xfId="22232" xr:uid="{6883108B-43EA-4EFE-8C6E-78BAA072A18C}"/>
    <cellStyle name="Normal 9 2 3 2 6 2 5" xfId="30672" xr:uid="{F67BF8C2-8FE3-4445-875B-CB4970CCBBC0}"/>
    <cellStyle name="Normal 9 2 3 2 6 3" xfId="6537" xr:uid="{00000000-0005-0000-0000-0000311F0000}"/>
    <cellStyle name="Normal 9 2 3 2 6 3 2" xfId="15863" xr:uid="{91F38907-45DB-47B2-8919-F72DA0E63809}"/>
    <cellStyle name="Normal 9 2 3 2 6 3 3" xfId="24304" xr:uid="{2A9E7F0F-F224-4DCF-B53F-A4EF9FCF2A37}"/>
    <cellStyle name="Normal 9 2 3 2 6 3 4" xfId="32744" xr:uid="{1F0F4918-0E06-42E3-82FE-C71B287E8E4F}"/>
    <cellStyle name="Normal 9 2 3 2 6 4" xfId="11646" xr:uid="{4067B3D1-FBD4-4FA1-A76A-11BAA3C0FD6C}"/>
    <cellStyle name="Normal 9 2 3 2 6 5" xfId="20087" xr:uid="{D5C1D3B0-D75E-441D-851E-E1A5A6497C20}"/>
    <cellStyle name="Normal 9 2 3 2 6 6" xfId="28527" xr:uid="{50BA533A-D18B-4591-8A68-9EC646F50EA5}"/>
    <cellStyle name="Normal 9 2 3 2 7" xfId="2667" xr:uid="{00000000-0005-0000-0000-0000321F0000}"/>
    <cellStyle name="Normal 9 2 3 2 7 2" xfId="6950" xr:uid="{00000000-0005-0000-0000-0000331F0000}"/>
    <cellStyle name="Normal 9 2 3 2 7 2 2" xfId="16276" xr:uid="{950E70C6-A501-45D5-861B-B8251A7F39FD}"/>
    <cellStyle name="Normal 9 2 3 2 7 2 3" xfId="24717" xr:uid="{A21143B6-458F-4BC2-9AD0-F6AC9169C28F}"/>
    <cellStyle name="Normal 9 2 3 2 7 2 4" xfId="33157" xr:uid="{B536A656-2CB5-423B-8DAE-87D4D0FE449A}"/>
    <cellStyle name="Normal 9 2 3 2 7 3" xfId="12059" xr:uid="{43A18EC3-068D-4F0C-9E4E-898F3AD45772}"/>
    <cellStyle name="Normal 9 2 3 2 7 4" xfId="20500" xr:uid="{BB1677AB-B428-421F-B41E-BA1E81A7D1AA}"/>
    <cellStyle name="Normal 9 2 3 2 7 5" xfId="28940" xr:uid="{462C7DD1-F6AD-4A06-8BF0-F97EBD1A3AD7}"/>
    <cellStyle name="Normal 9 2 3 2 8" xfId="4885" xr:uid="{00000000-0005-0000-0000-0000341F0000}"/>
    <cellStyle name="Normal 9 2 3 2 8 2" xfId="14211" xr:uid="{112E6FF0-836E-4E6A-BECB-F5A7F7579CCD}"/>
    <cellStyle name="Normal 9 2 3 2 8 3" xfId="22652" xr:uid="{37962C96-8F93-4120-93FD-66B53F36359E}"/>
    <cellStyle name="Normal 9 2 3 2 8 4" xfId="31092" xr:uid="{C1F1447F-9563-4491-8C5B-71DF0E9A92E3}"/>
    <cellStyle name="Normal 9 2 3 2 9" xfId="8941" xr:uid="{DDA1E375-E708-45D0-9119-207D493A75BA}"/>
    <cellStyle name="Normal 9 2 3 3" xfId="523" xr:uid="{00000000-0005-0000-0000-0000351F0000}"/>
    <cellStyle name="Normal 9 2 3 3 10" xfId="18437" xr:uid="{A1E8E5B5-B504-4A50-B88C-31268199D642}"/>
    <cellStyle name="Normal 9 2 3 3 11" xfId="26877" xr:uid="{C17169B0-2BDA-4B82-9158-E25877DA7BE5}"/>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B945040F-6E50-4425-97E5-ABB2C1C6057A}"/>
    <cellStyle name="Normal 9 2 3 3 2 2 2 3" xfId="25212" xr:uid="{CCDB2186-A0B1-4CC2-9D7C-872AE40DD372}"/>
    <cellStyle name="Normal 9 2 3 3 2 2 2 4" xfId="33652" xr:uid="{95FD6E86-B4C1-426E-84B9-E5A574EC155A}"/>
    <cellStyle name="Normal 9 2 3 3 2 2 3" xfId="12554" xr:uid="{4955E38F-A0B3-46D7-8C6D-E11008B324DA}"/>
    <cellStyle name="Normal 9 2 3 3 2 2 4" xfId="20995" xr:uid="{0C7FAF1A-11D9-462B-9A24-6615FFB86A33}"/>
    <cellStyle name="Normal 9 2 3 3 2 2 5" xfId="29435" xr:uid="{95202B66-D732-456C-B367-9F99FF6DD02B}"/>
    <cellStyle name="Normal 9 2 3 3 2 3" xfId="5300" xr:uid="{00000000-0005-0000-0000-0000391F0000}"/>
    <cellStyle name="Normal 9 2 3 3 2 3 2" xfId="14626" xr:uid="{E6FF216E-B149-48B1-9792-46D3B1C9BA65}"/>
    <cellStyle name="Normal 9 2 3 3 2 3 3" xfId="23067" xr:uid="{DB171BFB-6053-46F8-AE44-8F26CEFBC458}"/>
    <cellStyle name="Normal 9 2 3 3 2 3 4" xfId="31507" xr:uid="{4DEC2005-0F91-42D4-AB11-4456ADA66150}"/>
    <cellStyle name="Normal 9 2 3 3 2 4" xfId="9470" xr:uid="{B46EA5E7-4A9D-405A-94B0-2C155F0DE1F1}"/>
    <cellStyle name="Normal 9 2 3 3 2 5" xfId="10409" xr:uid="{A2089819-A095-45F7-9131-ACE56BA2DEE6}"/>
    <cellStyle name="Normal 9 2 3 3 2 6" xfId="18850" xr:uid="{69AB68DF-BE09-43AD-9201-36CB8D5D068E}"/>
    <cellStyle name="Normal 9 2 3 3 2 7" xfId="27290" xr:uid="{79683E47-4EBA-416A-8006-55F54B76E9F1}"/>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0E035CA8-988F-4EDE-AA4A-E6ED53C84D56}"/>
    <cellStyle name="Normal 9 2 3 3 3 2 2 3" xfId="25625" xr:uid="{9F1F8FF4-21BD-4C6D-976E-93AB9BA702F9}"/>
    <cellStyle name="Normal 9 2 3 3 3 2 2 4" xfId="34065" xr:uid="{3B19CF65-6F97-4DDB-AFBB-D34DD66DAB1C}"/>
    <cellStyle name="Normal 9 2 3 3 3 2 3" xfId="12967" xr:uid="{76405C84-F587-42D9-BF8F-AAAA01A89F4A}"/>
    <cellStyle name="Normal 9 2 3 3 3 2 4" xfId="21408" xr:uid="{C676B873-65B5-414A-AE72-44812B55AAEC}"/>
    <cellStyle name="Normal 9 2 3 3 3 2 5" xfId="29848" xr:uid="{F71F66F1-1EB9-4350-AA0B-EDE9FA400D1A}"/>
    <cellStyle name="Normal 9 2 3 3 3 3" xfId="5713" xr:uid="{00000000-0005-0000-0000-00003D1F0000}"/>
    <cellStyle name="Normal 9 2 3 3 3 3 2" xfId="15039" xr:uid="{87DE39A0-D7CB-4F8A-AD43-C653BACC9EA1}"/>
    <cellStyle name="Normal 9 2 3 3 3 3 3" xfId="23480" xr:uid="{D23EAC47-8940-4464-9B4F-7189DC1FB914}"/>
    <cellStyle name="Normal 9 2 3 3 3 3 4" xfId="31920" xr:uid="{6C8CEDA2-A6D1-4E3B-85B2-3E278DCF920E}"/>
    <cellStyle name="Normal 9 2 3 3 3 4" xfId="10822" xr:uid="{D6B1D0E6-C826-4E40-8F24-A43C906CFC45}"/>
    <cellStyle name="Normal 9 2 3 3 3 5" xfId="19263" xr:uid="{51D577DB-785E-4497-BA5D-EC4413676DEE}"/>
    <cellStyle name="Normal 9 2 3 3 3 6" xfId="27703" xr:uid="{A588DEFA-EC6A-4A7C-B8F3-2217106804E9}"/>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31D22B56-2766-4956-8482-618E5A34A008}"/>
    <cellStyle name="Normal 9 2 3 3 4 2 2 3" xfId="26038" xr:uid="{256E893E-9058-4580-9719-2E5BBF3F6CCE}"/>
    <cellStyle name="Normal 9 2 3 3 4 2 2 4" xfId="34478" xr:uid="{776D783B-7691-44D1-A27F-48E46FD7F35F}"/>
    <cellStyle name="Normal 9 2 3 3 4 2 3" xfId="13380" xr:uid="{D980EFAF-902E-4295-BFA1-A2CFFD32D840}"/>
    <cellStyle name="Normal 9 2 3 3 4 2 4" xfId="21821" xr:uid="{31CC92EA-AC44-478C-9D26-693C277BB665}"/>
    <cellStyle name="Normal 9 2 3 3 4 2 5" xfId="30261" xr:uid="{A77234C2-DEEF-4F4A-8BFB-CE824EE0FC87}"/>
    <cellStyle name="Normal 9 2 3 3 4 3" xfId="6126" xr:uid="{00000000-0005-0000-0000-0000411F0000}"/>
    <cellStyle name="Normal 9 2 3 3 4 3 2" xfId="15452" xr:uid="{A885F4DD-CEB3-4018-8FB9-A8D71B4D408C}"/>
    <cellStyle name="Normal 9 2 3 3 4 3 3" xfId="23893" xr:uid="{0C317FCF-ABBD-4A91-86CD-07BD1836F2EA}"/>
    <cellStyle name="Normal 9 2 3 3 4 3 4" xfId="32333" xr:uid="{3A2CB684-C714-4298-AE94-59348C109C41}"/>
    <cellStyle name="Normal 9 2 3 3 4 4" xfId="11235" xr:uid="{5565FA15-8B83-49DE-910C-A7724707DE49}"/>
    <cellStyle name="Normal 9 2 3 3 4 5" xfId="19676" xr:uid="{6769010C-BFCA-4DE5-964C-EAB72D6B18EE}"/>
    <cellStyle name="Normal 9 2 3 3 4 6" xfId="28116" xr:uid="{39ECD018-00F9-4FFC-A27A-75708EAA9429}"/>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FF20DE36-1472-40EF-9212-E90BAD73D4A7}"/>
    <cellStyle name="Normal 9 2 3 3 5 2 2 3" xfId="26451" xr:uid="{BEC43DCD-A1F5-4085-A270-B05224240707}"/>
    <cellStyle name="Normal 9 2 3 3 5 2 2 4" xfId="34891" xr:uid="{31CFF9E2-2BB6-4B4F-98E6-0477CF8A6D87}"/>
    <cellStyle name="Normal 9 2 3 3 5 2 3" xfId="13793" xr:uid="{DB3FE8DB-32B3-4AB4-95C3-D5AC754A3F96}"/>
    <cellStyle name="Normal 9 2 3 3 5 2 4" xfId="22234" xr:uid="{69C9B71D-1870-4F11-99D2-F98F77B888C1}"/>
    <cellStyle name="Normal 9 2 3 3 5 2 5" xfId="30674" xr:uid="{3D130EFC-1F0A-4ED0-BBCD-F9508835DD23}"/>
    <cellStyle name="Normal 9 2 3 3 5 3" xfId="6539" xr:uid="{00000000-0005-0000-0000-0000451F0000}"/>
    <cellStyle name="Normal 9 2 3 3 5 3 2" xfId="15865" xr:uid="{39273BC6-EFB9-4CA7-93EE-DE53FF98C858}"/>
    <cellStyle name="Normal 9 2 3 3 5 3 3" xfId="24306" xr:uid="{2F29AF70-A871-40DC-AE9C-9AA008518659}"/>
    <cellStyle name="Normal 9 2 3 3 5 3 4" xfId="32746" xr:uid="{DE0895A5-06C7-4D89-8453-543542B0409E}"/>
    <cellStyle name="Normal 9 2 3 3 5 4" xfId="11648" xr:uid="{00B7C5FE-9D19-4A09-A213-8D357762DDA3}"/>
    <cellStyle name="Normal 9 2 3 3 5 5" xfId="20089" xr:uid="{A121FEB1-CA9E-45BE-94D8-E83C3ADD7E78}"/>
    <cellStyle name="Normal 9 2 3 3 5 6" xfId="28529" xr:uid="{65C76B9E-7960-460E-91F2-281E7FD3C409}"/>
    <cellStyle name="Normal 9 2 3 3 6" xfId="2669" xr:uid="{00000000-0005-0000-0000-0000461F0000}"/>
    <cellStyle name="Normal 9 2 3 3 6 2" xfId="6952" xr:uid="{00000000-0005-0000-0000-0000471F0000}"/>
    <cellStyle name="Normal 9 2 3 3 6 2 2" xfId="16278" xr:uid="{E01D6379-D47A-4AD2-B5C8-2C2AA2186844}"/>
    <cellStyle name="Normal 9 2 3 3 6 2 3" xfId="24719" xr:uid="{23E564C2-DBF0-4FC1-872A-2858269F2C8C}"/>
    <cellStyle name="Normal 9 2 3 3 6 2 4" xfId="33159" xr:uid="{DBCF4BDA-445D-45AF-AC36-719E53DB5147}"/>
    <cellStyle name="Normal 9 2 3 3 6 3" xfId="12061" xr:uid="{3100723B-7D66-4E0A-A386-9DEEDC91ED8C}"/>
    <cellStyle name="Normal 9 2 3 3 6 4" xfId="20502" xr:uid="{CC5CD11F-0A69-4E72-AED3-997F8856255F}"/>
    <cellStyle name="Normal 9 2 3 3 6 5" xfId="28942" xr:uid="{27D3F18A-AC30-4CFB-9B85-7F33F65BDCBB}"/>
    <cellStyle name="Normal 9 2 3 3 7" xfId="4887" xr:uid="{00000000-0005-0000-0000-0000481F0000}"/>
    <cellStyle name="Normal 9 2 3 3 7 2" xfId="14213" xr:uid="{49899A24-DA41-484E-B85C-B9AC8AAE9C02}"/>
    <cellStyle name="Normal 9 2 3 3 7 3" xfId="22654" xr:uid="{A822D531-19DB-4260-85EB-6EB57FE8DC91}"/>
    <cellStyle name="Normal 9 2 3 3 7 4" xfId="31094" xr:uid="{7FB0AF21-84BE-4C10-8F22-014AB3491532}"/>
    <cellStyle name="Normal 9 2 3 3 8" xfId="9045" xr:uid="{CD23D75F-FCE1-471A-A55A-DAC6FB15D069}"/>
    <cellStyle name="Normal 9 2 3 3 9" xfId="9996" xr:uid="{F3DE4147-CF86-4BF3-BDFB-3A83578C1B05}"/>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55A26CF1-8DCE-438A-82A3-DA9785FC9A60}"/>
    <cellStyle name="Normal 9 2 3 4 2 2 3" xfId="25209" xr:uid="{DB4564CF-AD4D-4FA5-899C-D2202BE6E2F0}"/>
    <cellStyle name="Normal 9 2 3 4 2 2 4" xfId="33649" xr:uid="{2D973760-A945-4ED3-83F9-6164DD4CCEF4}"/>
    <cellStyle name="Normal 9 2 3 4 2 3" xfId="12551" xr:uid="{1BD382BC-5475-465C-BE71-7EE24B38396C}"/>
    <cellStyle name="Normal 9 2 3 4 2 4" xfId="20992" xr:uid="{341B8F6F-FC51-4AD7-96F3-43C465D27499}"/>
    <cellStyle name="Normal 9 2 3 4 2 5" xfId="29432" xr:uid="{FB608E18-2515-4F02-ADF5-9C7F6A3AC514}"/>
    <cellStyle name="Normal 9 2 3 4 3" xfId="5297" xr:uid="{00000000-0005-0000-0000-00004C1F0000}"/>
    <cellStyle name="Normal 9 2 3 4 3 2" xfId="14623" xr:uid="{534B7015-D3DD-4F41-A741-CAAB485990A4}"/>
    <cellStyle name="Normal 9 2 3 4 3 3" xfId="23064" xr:uid="{35CCEAE8-1662-40A9-9328-71426D52B2ED}"/>
    <cellStyle name="Normal 9 2 3 4 3 4" xfId="31504" xr:uid="{9B75A292-7153-43C3-9BFC-C3233682CB53}"/>
    <cellStyle name="Normal 9 2 3 4 4" xfId="9263" xr:uid="{8E7B719A-F76B-4A2B-A5A7-1A883FD6976F}"/>
    <cellStyle name="Normal 9 2 3 4 5" xfId="10406" xr:uid="{A2803A31-9F98-4813-BA08-8CB4C07FE567}"/>
    <cellStyle name="Normal 9 2 3 4 6" xfId="18847" xr:uid="{FDC313D0-9FBB-4E5B-8401-7E06267FB4D3}"/>
    <cellStyle name="Normal 9 2 3 4 7" xfId="27287" xr:uid="{3CD5A2F3-14BB-4416-BFD2-C8494C350595}"/>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E807056F-1FB0-4704-AD9F-7EA9AFEBA750}"/>
    <cellStyle name="Normal 9 2 3 5 2 2 3" xfId="25622" xr:uid="{95894321-2D8E-404F-B8A0-073100B64033}"/>
    <cellStyle name="Normal 9 2 3 5 2 2 4" xfId="34062" xr:uid="{59A7F18D-56BD-474E-A289-85D7A22C4331}"/>
    <cellStyle name="Normal 9 2 3 5 2 3" xfId="12964" xr:uid="{D90977A3-9437-4D44-A94E-2E5D7DB9B4DB}"/>
    <cellStyle name="Normal 9 2 3 5 2 4" xfId="21405" xr:uid="{EFED1904-D94B-419D-B745-19590DD282C4}"/>
    <cellStyle name="Normal 9 2 3 5 2 5" xfId="29845" xr:uid="{0D2E7747-7A5D-4E5C-8480-3776E073A254}"/>
    <cellStyle name="Normal 9 2 3 5 3" xfId="5710" xr:uid="{00000000-0005-0000-0000-0000501F0000}"/>
    <cellStyle name="Normal 9 2 3 5 3 2" xfId="15036" xr:uid="{79F09286-B2AF-48FA-ADDB-2D85EAFD313C}"/>
    <cellStyle name="Normal 9 2 3 5 3 3" xfId="23477" xr:uid="{6C90C079-58F2-4E23-B995-4E082596F918}"/>
    <cellStyle name="Normal 9 2 3 5 3 4" xfId="31917" xr:uid="{39AC275A-38DE-4BBE-B6EE-F58726232C3C}"/>
    <cellStyle name="Normal 9 2 3 5 4" xfId="10819" xr:uid="{B286083D-479E-4ACB-9EB3-226D034FEF61}"/>
    <cellStyle name="Normal 9 2 3 5 5" xfId="19260" xr:uid="{5A422B5F-1677-4CEB-8767-F1F9FB6A2893}"/>
    <cellStyle name="Normal 9 2 3 5 6" xfId="27700" xr:uid="{BE8D3DAC-D084-4A7B-8FDE-3C4FF7C494C0}"/>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DC59BB37-CF1D-4ED4-A74B-F002BDE9EFEF}"/>
    <cellStyle name="Normal 9 2 3 6 2 2 3" xfId="26035" xr:uid="{A37AB021-C552-4C7D-953C-80A358B82149}"/>
    <cellStyle name="Normal 9 2 3 6 2 2 4" xfId="34475" xr:uid="{AEBB4F7C-215E-45DE-AE8E-7B6EEB7B023F}"/>
    <cellStyle name="Normal 9 2 3 6 2 3" xfId="13377" xr:uid="{B32B1439-094F-4836-B841-8CA729056169}"/>
    <cellStyle name="Normal 9 2 3 6 2 4" xfId="21818" xr:uid="{EFAB982F-CC5E-4E55-B909-543944C980CB}"/>
    <cellStyle name="Normal 9 2 3 6 2 5" xfId="30258" xr:uid="{8D992599-AEAF-4F76-BD7D-0BEFCAADF8C6}"/>
    <cellStyle name="Normal 9 2 3 6 3" xfId="6123" xr:uid="{00000000-0005-0000-0000-0000541F0000}"/>
    <cellStyle name="Normal 9 2 3 6 3 2" xfId="15449" xr:uid="{C1235931-9E15-4355-8833-BCC9A7FFD755}"/>
    <cellStyle name="Normal 9 2 3 6 3 3" xfId="23890" xr:uid="{D6733BCB-5A84-402B-9E2D-960A4AC221C6}"/>
    <cellStyle name="Normal 9 2 3 6 3 4" xfId="32330" xr:uid="{500F5D2D-35BD-4099-AA6F-88559D4CCEE3}"/>
    <cellStyle name="Normal 9 2 3 6 4" xfId="11232" xr:uid="{45F58939-BE7A-44B6-A7F9-39299F1F1729}"/>
    <cellStyle name="Normal 9 2 3 6 5" xfId="19673" xr:uid="{2A96C539-0BA7-40ED-9D62-18A68B8B2A1E}"/>
    <cellStyle name="Normal 9 2 3 6 6" xfId="28113" xr:uid="{1EBD6816-EBBF-43CC-B4F0-CE9E132EFCA2}"/>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28D333AA-B51A-45C4-9A45-B0B809CA5238}"/>
    <cellStyle name="Normal 9 2 3 7 2 2 3" xfId="26448" xr:uid="{E160EDC4-A2F5-468B-9905-26D153C6D18C}"/>
    <cellStyle name="Normal 9 2 3 7 2 2 4" xfId="34888" xr:uid="{B59859C1-8109-4EFF-8FA6-3D4389E50D87}"/>
    <cellStyle name="Normal 9 2 3 7 2 3" xfId="13790" xr:uid="{EC193148-AAC2-4C79-A32B-867B87F2C560}"/>
    <cellStyle name="Normal 9 2 3 7 2 4" xfId="22231" xr:uid="{9524D0F8-AAC2-4265-B716-0585428105F3}"/>
    <cellStyle name="Normal 9 2 3 7 2 5" xfId="30671" xr:uid="{0F4A612F-94ED-49F2-A8BA-FDE431C3AD6B}"/>
    <cellStyle name="Normal 9 2 3 7 3" xfId="6536" xr:uid="{00000000-0005-0000-0000-0000581F0000}"/>
    <cellStyle name="Normal 9 2 3 7 3 2" xfId="15862" xr:uid="{C7384FA5-E0B8-4813-BC0A-1B5FA8191500}"/>
    <cellStyle name="Normal 9 2 3 7 3 3" xfId="24303" xr:uid="{9939CF88-A7A9-492A-987E-A9C343410FDA}"/>
    <cellStyle name="Normal 9 2 3 7 3 4" xfId="32743" xr:uid="{A0C9A3BF-B80D-44BF-B71F-3F6110ABEAD5}"/>
    <cellStyle name="Normal 9 2 3 7 4" xfId="11645" xr:uid="{E215E1BB-1C8F-4FC5-9827-853982454EC2}"/>
    <cellStyle name="Normal 9 2 3 7 5" xfId="20086" xr:uid="{6597C0F0-A4A3-4EE4-9FCF-3DE6BC77953F}"/>
    <cellStyle name="Normal 9 2 3 7 6" xfId="28526" xr:uid="{10226467-9125-4877-ACE9-EBE4EABABBB2}"/>
    <cellStyle name="Normal 9 2 3 8" xfId="2666" xr:uid="{00000000-0005-0000-0000-0000591F0000}"/>
    <cellStyle name="Normal 9 2 3 8 2" xfId="6949" xr:uid="{00000000-0005-0000-0000-00005A1F0000}"/>
    <cellStyle name="Normal 9 2 3 8 2 2" xfId="16275" xr:uid="{EFB9C612-EC06-4302-9ED9-6782AF14C644}"/>
    <cellStyle name="Normal 9 2 3 8 2 3" xfId="24716" xr:uid="{6A18AD28-A530-4016-A811-E4FF26FA2F77}"/>
    <cellStyle name="Normal 9 2 3 8 2 4" xfId="33156" xr:uid="{838114E9-82B2-4389-8641-141F6DF24237}"/>
    <cellStyle name="Normal 9 2 3 8 3" xfId="12058" xr:uid="{FDAF6AB4-DE44-428F-9F67-3841828230E3}"/>
    <cellStyle name="Normal 9 2 3 8 4" xfId="20499" xr:uid="{A3056E40-BB0C-4E94-BABF-F08A44F7B86E}"/>
    <cellStyle name="Normal 9 2 3 8 5" xfId="28939" xr:uid="{C0C47D95-DC86-4898-A99F-50FDCB2C735B}"/>
    <cellStyle name="Normal 9 2 3 9" xfId="4884" xr:uid="{00000000-0005-0000-0000-00005B1F0000}"/>
    <cellStyle name="Normal 9 2 3 9 2" xfId="14210" xr:uid="{6910E497-C49D-47DD-939E-FAFDA2B070DF}"/>
    <cellStyle name="Normal 9 2 3 9 3" xfId="22651" xr:uid="{7BF5E697-D34E-478F-94B2-660AC2BF1402}"/>
    <cellStyle name="Normal 9 2 3 9 4" xfId="31091" xr:uid="{7405A213-1201-45DD-97E0-2F5857B5D654}"/>
    <cellStyle name="Normal 9 2 4" xfId="524" xr:uid="{00000000-0005-0000-0000-00005C1F0000}"/>
    <cellStyle name="Normal 9 2 4 10" xfId="9997" xr:uid="{2441C2E3-6FB7-4935-9AEF-0007DD1615BC}"/>
    <cellStyle name="Normal 9 2 4 11" xfId="18438" xr:uid="{443F95CF-FBE7-4065-AE75-454654B9D5A1}"/>
    <cellStyle name="Normal 9 2 4 12" xfId="26878" xr:uid="{C6394763-028E-474C-9E12-268A78633038}"/>
    <cellStyle name="Normal 9 2 4 2" xfId="525" xr:uid="{00000000-0005-0000-0000-00005D1F0000}"/>
    <cellStyle name="Normal 9 2 4 2 10" xfId="18439" xr:uid="{EA2B362D-F344-4241-BE58-B79237176559}"/>
    <cellStyle name="Normal 9 2 4 2 11" xfId="26879" xr:uid="{8BF156F8-DF26-47CD-9F53-19BDF6E4E1BB}"/>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F55E2B80-F821-4FBE-BB53-ED346562A8BF}"/>
    <cellStyle name="Normal 9 2 4 2 2 2 2 3" xfId="25214" xr:uid="{0182D52C-1A38-4645-9E2A-406076B0C1E2}"/>
    <cellStyle name="Normal 9 2 4 2 2 2 2 4" xfId="33654" xr:uid="{E2F506BA-4ED3-4924-B585-81466C3B3DA9}"/>
    <cellStyle name="Normal 9 2 4 2 2 2 3" xfId="12556" xr:uid="{D94B5D83-7202-42C7-A576-5505EF1CDF94}"/>
    <cellStyle name="Normal 9 2 4 2 2 2 4" xfId="20997" xr:uid="{8C8F8241-7AA1-43BA-9505-81AABF8FA131}"/>
    <cellStyle name="Normal 9 2 4 2 2 2 5" xfId="29437" xr:uid="{79A3561F-4F4E-403D-AB9B-BBA78101BBF5}"/>
    <cellStyle name="Normal 9 2 4 2 2 3" xfId="5302" xr:uid="{00000000-0005-0000-0000-0000611F0000}"/>
    <cellStyle name="Normal 9 2 4 2 2 3 2" xfId="14628" xr:uid="{32D80ED7-62CF-4626-9FCA-D95C1A30D951}"/>
    <cellStyle name="Normal 9 2 4 2 2 3 3" xfId="23069" xr:uid="{FAB6D51B-9671-43CB-97D8-BFF66C11B18B}"/>
    <cellStyle name="Normal 9 2 4 2 2 3 4" xfId="31509" xr:uid="{F7D07A68-E161-451A-A7BD-6D458541B5B9}"/>
    <cellStyle name="Normal 9 2 4 2 2 4" xfId="9489" xr:uid="{4BA9DC16-58A7-4D6B-90A6-6BB0C51A0279}"/>
    <cellStyle name="Normal 9 2 4 2 2 5" xfId="10411" xr:uid="{08E0272A-9F66-4FB6-9906-2837AB76F039}"/>
    <cellStyle name="Normal 9 2 4 2 2 6" xfId="18852" xr:uid="{72889DF4-3609-4717-9BE2-4556324F9978}"/>
    <cellStyle name="Normal 9 2 4 2 2 7" xfId="27292" xr:uid="{03C1E945-9765-4ED8-8600-E42506C8DE6C}"/>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513399A9-CB79-48A4-AF17-33F156C4F6EE}"/>
    <cellStyle name="Normal 9 2 4 2 3 2 2 3" xfId="25627" xr:uid="{DACBE543-589F-495F-BA8C-6992F82EB8C6}"/>
    <cellStyle name="Normal 9 2 4 2 3 2 2 4" xfId="34067" xr:uid="{85537EF5-0816-442A-8A5B-AB7E36966D75}"/>
    <cellStyle name="Normal 9 2 4 2 3 2 3" xfId="12969" xr:uid="{B6E6F628-8358-4A8A-A90D-C5D18049A3E6}"/>
    <cellStyle name="Normal 9 2 4 2 3 2 4" xfId="21410" xr:uid="{C59C5D34-6EC7-421E-A5C0-797F78492EB4}"/>
    <cellStyle name="Normal 9 2 4 2 3 2 5" xfId="29850" xr:uid="{8E865435-B82A-4444-8D5F-5ABE51A45A1B}"/>
    <cellStyle name="Normal 9 2 4 2 3 3" xfId="5715" xr:uid="{00000000-0005-0000-0000-0000651F0000}"/>
    <cellStyle name="Normal 9 2 4 2 3 3 2" xfId="15041" xr:uid="{FB978920-7451-4D73-B8F9-7CD542D4255B}"/>
    <cellStyle name="Normal 9 2 4 2 3 3 3" xfId="23482" xr:uid="{15FB57E4-A443-49C7-A786-38B8AF8EFE3E}"/>
    <cellStyle name="Normal 9 2 4 2 3 3 4" xfId="31922" xr:uid="{06EA56D1-E7F2-433F-92BC-3EECA353062C}"/>
    <cellStyle name="Normal 9 2 4 2 3 4" xfId="10824" xr:uid="{1AFFCA0C-A4A8-43DC-A5E2-76C381812441}"/>
    <cellStyle name="Normal 9 2 4 2 3 5" xfId="19265" xr:uid="{034282FB-8772-4134-8CE6-0E9144F6C8C3}"/>
    <cellStyle name="Normal 9 2 4 2 3 6" xfId="27705" xr:uid="{6EE3BD06-6AFF-46C0-8E80-01F6E269802A}"/>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3876B37F-C970-4A06-A451-F0135049D84F}"/>
    <cellStyle name="Normal 9 2 4 2 4 2 2 3" xfId="26040" xr:uid="{16FC3A71-D386-4CF9-B474-B319461C295E}"/>
    <cellStyle name="Normal 9 2 4 2 4 2 2 4" xfId="34480" xr:uid="{ADAB7D6B-EF0C-4F2E-A54C-EC88D4810113}"/>
    <cellStyle name="Normal 9 2 4 2 4 2 3" xfId="13382" xr:uid="{77075509-94DF-49F6-80C4-B05500608D0C}"/>
    <cellStyle name="Normal 9 2 4 2 4 2 4" xfId="21823" xr:uid="{2426FC5C-A3D2-4CB6-A6F1-0A7840FA3D5A}"/>
    <cellStyle name="Normal 9 2 4 2 4 2 5" xfId="30263" xr:uid="{8A883A26-3522-44BA-896F-84C769D98EEA}"/>
    <cellStyle name="Normal 9 2 4 2 4 3" xfId="6128" xr:uid="{00000000-0005-0000-0000-0000691F0000}"/>
    <cellStyle name="Normal 9 2 4 2 4 3 2" xfId="15454" xr:uid="{BBB99B88-1312-4C6A-B6DD-73DFB4A240A7}"/>
    <cellStyle name="Normal 9 2 4 2 4 3 3" xfId="23895" xr:uid="{65F18FB7-75CB-42B2-B744-A77FF8B39344}"/>
    <cellStyle name="Normal 9 2 4 2 4 3 4" xfId="32335" xr:uid="{E91D0933-3D8D-48BE-A42D-7C70BFAC023C}"/>
    <cellStyle name="Normal 9 2 4 2 4 4" xfId="11237" xr:uid="{C016B597-BAA6-4433-B5C1-842F9BC07B13}"/>
    <cellStyle name="Normal 9 2 4 2 4 5" xfId="19678" xr:uid="{A9E8CA12-BBD3-4A13-A1E2-1D3B7C196A3F}"/>
    <cellStyle name="Normal 9 2 4 2 4 6" xfId="28118" xr:uid="{BC46C5D6-0CFC-410F-A323-E5B0C88E7761}"/>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7BE49F5C-F181-4B6F-926E-936FB701DB55}"/>
    <cellStyle name="Normal 9 2 4 2 5 2 2 3" xfId="26453" xr:uid="{C3EFBE71-BA31-4214-A598-2FBE6507026C}"/>
    <cellStyle name="Normal 9 2 4 2 5 2 2 4" xfId="34893" xr:uid="{166FC225-973C-4A83-A37B-65EBEF2F02E9}"/>
    <cellStyle name="Normal 9 2 4 2 5 2 3" xfId="13795" xr:uid="{677222CA-2757-44FD-AB25-E5E828C8ABE5}"/>
    <cellStyle name="Normal 9 2 4 2 5 2 4" xfId="22236" xr:uid="{4FD9C203-AE03-4041-BF14-A39ADE946BD5}"/>
    <cellStyle name="Normal 9 2 4 2 5 2 5" xfId="30676" xr:uid="{774A17FF-0949-49AC-8F2B-827816BAD02C}"/>
    <cellStyle name="Normal 9 2 4 2 5 3" xfId="6541" xr:uid="{00000000-0005-0000-0000-00006D1F0000}"/>
    <cellStyle name="Normal 9 2 4 2 5 3 2" xfId="15867" xr:uid="{837847BA-025B-45AF-B50B-31A84E98CFF8}"/>
    <cellStyle name="Normal 9 2 4 2 5 3 3" xfId="24308" xr:uid="{3DEAB6FA-4BA8-436F-A8CC-AF6745D8198A}"/>
    <cellStyle name="Normal 9 2 4 2 5 3 4" xfId="32748" xr:uid="{6FC98546-4F77-475E-A52B-24CCD2D4E14F}"/>
    <cellStyle name="Normal 9 2 4 2 5 4" xfId="11650" xr:uid="{D028274C-7CB5-4A77-A340-CE41E6B94CA5}"/>
    <cellStyle name="Normal 9 2 4 2 5 5" xfId="20091" xr:uid="{B9DF972E-D797-4279-B099-0D23D39AEABB}"/>
    <cellStyle name="Normal 9 2 4 2 5 6" xfId="28531" xr:uid="{068965BE-0DC1-4807-9CEB-C62CC6B7FACC}"/>
    <cellStyle name="Normal 9 2 4 2 6" xfId="2671" xr:uid="{00000000-0005-0000-0000-00006E1F0000}"/>
    <cellStyle name="Normal 9 2 4 2 6 2" xfId="6954" xr:uid="{00000000-0005-0000-0000-00006F1F0000}"/>
    <cellStyle name="Normal 9 2 4 2 6 2 2" xfId="16280" xr:uid="{004FDDC1-BEB0-4FAA-8ABD-DB499CE36FA1}"/>
    <cellStyle name="Normal 9 2 4 2 6 2 3" xfId="24721" xr:uid="{7F193F31-E7C6-4A48-A9F1-09AFB2365404}"/>
    <cellStyle name="Normal 9 2 4 2 6 2 4" xfId="33161" xr:uid="{AA3624F4-E10B-42FE-9663-4D0D96A88782}"/>
    <cellStyle name="Normal 9 2 4 2 6 3" xfId="12063" xr:uid="{9344B868-A570-4D9D-8289-A08AFA63C150}"/>
    <cellStyle name="Normal 9 2 4 2 6 4" xfId="20504" xr:uid="{FDCE1CB7-66AF-487A-A93F-6E6BA5BCDAE8}"/>
    <cellStyle name="Normal 9 2 4 2 6 5" xfId="28944" xr:uid="{3517DED2-B723-493A-A038-96022053D033}"/>
    <cellStyle name="Normal 9 2 4 2 7" xfId="4889" xr:uid="{00000000-0005-0000-0000-0000701F0000}"/>
    <cellStyle name="Normal 9 2 4 2 7 2" xfId="14215" xr:uid="{05E29642-0CD6-4E31-84F5-115A9E1AEA87}"/>
    <cellStyle name="Normal 9 2 4 2 7 3" xfId="22656" xr:uid="{580B4CAE-51A8-498E-ABAB-EA843E0788CB}"/>
    <cellStyle name="Normal 9 2 4 2 7 4" xfId="31096" xr:uid="{306242C7-4B01-4739-AEA8-C0D7DD48D6F6}"/>
    <cellStyle name="Normal 9 2 4 2 8" xfId="9064" xr:uid="{7D4090C3-C767-4FFF-8A1F-282B2C8BAE68}"/>
    <cellStyle name="Normal 9 2 4 2 9" xfId="9998" xr:uid="{43C1D187-2968-4478-AB55-4FBF598F00E9}"/>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E682190D-183E-4F76-AD04-F7F86F1E7BB6}"/>
    <cellStyle name="Normal 9 2 4 3 2 2 3" xfId="25213" xr:uid="{D65446D9-49C1-4264-ADF6-D5281EBDAA99}"/>
    <cellStyle name="Normal 9 2 4 3 2 2 4" xfId="33653" xr:uid="{6580FF1B-8189-4ADD-99C6-69C8330E7475}"/>
    <cellStyle name="Normal 9 2 4 3 2 3" xfId="12555" xr:uid="{8EB918BF-0ABC-4547-A858-328B41131FF6}"/>
    <cellStyle name="Normal 9 2 4 3 2 4" xfId="20996" xr:uid="{6624EC6D-4D7F-4E6D-BE00-577A60E3F585}"/>
    <cellStyle name="Normal 9 2 4 3 2 5" xfId="29436" xr:uid="{2C9FB1DE-6EBD-45E3-9775-283B45398011}"/>
    <cellStyle name="Normal 9 2 4 3 3" xfId="5301" xr:uid="{00000000-0005-0000-0000-0000741F0000}"/>
    <cellStyle name="Normal 9 2 4 3 3 2" xfId="14627" xr:uid="{B5BD6956-EC3C-457C-A11E-CA346222C8AD}"/>
    <cellStyle name="Normal 9 2 4 3 3 3" xfId="23068" xr:uid="{60D20232-BD39-4D9D-A985-E13A81C693BD}"/>
    <cellStyle name="Normal 9 2 4 3 3 4" xfId="31508" xr:uid="{C06D3E9F-F028-471D-9024-BC381C034F63}"/>
    <cellStyle name="Normal 9 2 4 3 4" xfId="9282" xr:uid="{2471E5AC-3D06-4E90-9462-C54FACA9B22B}"/>
    <cellStyle name="Normal 9 2 4 3 5" xfId="10410" xr:uid="{2B8A6998-704F-48FB-BD71-BB7432A71A8C}"/>
    <cellStyle name="Normal 9 2 4 3 6" xfId="18851" xr:uid="{F037FA3E-2D7D-466E-A595-436052AFA132}"/>
    <cellStyle name="Normal 9 2 4 3 7" xfId="27291" xr:uid="{387AFC45-F278-41B0-8BC7-EA61183AB07D}"/>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85740885-6BFC-4E66-BA84-BB263BC40389}"/>
    <cellStyle name="Normal 9 2 4 4 2 2 3" xfId="25626" xr:uid="{EB8E3F91-BC8A-4F7C-BAD9-F86BBD271C2D}"/>
    <cellStyle name="Normal 9 2 4 4 2 2 4" xfId="34066" xr:uid="{2EEC0E55-3701-4FD3-BA26-52F237CA0052}"/>
    <cellStyle name="Normal 9 2 4 4 2 3" xfId="12968" xr:uid="{C09B6DED-950A-4512-8BB2-2BF4A6BC8404}"/>
    <cellStyle name="Normal 9 2 4 4 2 4" xfId="21409" xr:uid="{3C11BF03-0148-4BAC-9B70-9F970A0DE184}"/>
    <cellStyle name="Normal 9 2 4 4 2 5" xfId="29849" xr:uid="{D376E42D-7641-48B6-9881-9A03D01234E8}"/>
    <cellStyle name="Normal 9 2 4 4 3" xfId="5714" xr:uid="{00000000-0005-0000-0000-0000781F0000}"/>
    <cellStyle name="Normal 9 2 4 4 3 2" xfId="15040" xr:uid="{28F28280-7E51-4B24-BED5-06CF03289790}"/>
    <cellStyle name="Normal 9 2 4 4 3 3" xfId="23481" xr:uid="{A9277470-E4F6-413A-9CCE-505A6C10DCF1}"/>
    <cellStyle name="Normal 9 2 4 4 3 4" xfId="31921" xr:uid="{6DAB8B6D-92F4-4EB4-8448-989A8AF4D28F}"/>
    <cellStyle name="Normal 9 2 4 4 4" xfId="10823" xr:uid="{5D0A6CEE-6C3B-47DF-AD2C-827D483DEF5F}"/>
    <cellStyle name="Normal 9 2 4 4 5" xfId="19264" xr:uid="{535FBB20-68A8-43F8-9123-FCA6C809CE35}"/>
    <cellStyle name="Normal 9 2 4 4 6" xfId="27704" xr:uid="{39571633-847E-491B-9C15-DEA5CE25EBCA}"/>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B940078F-BDE4-44F9-8C4D-3846375A854B}"/>
    <cellStyle name="Normal 9 2 4 5 2 2 3" xfId="26039" xr:uid="{3AC41428-FF9A-4243-8289-488D49001A75}"/>
    <cellStyle name="Normal 9 2 4 5 2 2 4" xfId="34479" xr:uid="{54CC7CE5-C396-4797-8EF4-17BB63E37451}"/>
    <cellStyle name="Normal 9 2 4 5 2 3" xfId="13381" xr:uid="{92883AE9-B938-448F-899D-0C14D688674E}"/>
    <cellStyle name="Normal 9 2 4 5 2 4" xfId="21822" xr:uid="{525C1037-DDF6-40FB-A69A-9E9FCFB5B051}"/>
    <cellStyle name="Normal 9 2 4 5 2 5" xfId="30262" xr:uid="{35631159-F0FB-4A8A-93B4-4EC47A05494F}"/>
    <cellStyle name="Normal 9 2 4 5 3" xfId="6127" xr:uid="{00000000-0005-0000-0000-00007C1F0000}"/>
    <cellStyle name="Normal 9 2 4 5 3 2" xfId="15453" xr:uid="{A8677085-BBC3-4431-B614-82BBC0F4DABF}"/>
    <cellStyle name="Normal 9 2 4 5 3 3" xfId="23894" xr:uid="{CAAE82F5-07E1-4BF0-88D4-3E71C0E9180A}"/>
    <cellStyle name="Normal 9 2 4 5 3 4" xfId="32334" xr:uid="{366BE5EB-50BF-47BF-AB22-8D29196AB8F7}"/>
    <cellStyle name="Normal 9 2 4 5 4" xfId="11236" xr:uid="{3A11496C-CF0C-4693-BA1D-976FC61DCBAC}"/>
    <cellStyle name="Normal 9 2 4 5 5" xfId="19677" xr:uid="{0BB6A587-A8F7-471F-AA9C-9558C4C43F1A}"/>
    <cellStyle name="Normal 9 2 4 5 6" xfId="28117" xr:uid="{52007672-23BA-4CAF-BF63-6A71E8A9E75B}"/>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27ABE583-1EE1-4E62-8DB8-1F933E09F9BB}"/>
    <cellStyle name="Normal 9 2 4 6 2 2 3" xfId="26452" xr:uid="{40B007B6-F21D-4932-B404-A6F00A3B7AB0}"/>
    <cellStyle name="Normal 9 2 4 6 2 2 4" xfId="34892" xr:uid="{BEF200A3-EEB4-443E-8DF7-3D2C74B7710C}"/>
    <cellStyle name="Normal 9 2 4 6 2 3" xfId="13794" xr:uid="{7D29E83A-9C03-4C8D-9B0F-59F6ADFA5DC1}"/>
    <cellStyle name="Normal 9 2 4 6 2 4" xfId="22235" xr:uid="{CB5F11FE-6F71-467E-8372-C1AB28F7E974}"/>
    <cellStyle name="Normal 9 2 4 6 2 5" xfId="30675" xr:uid="{BC5BDF3B-67AA-4309-8F44-0DABB9097DC8}"/>
    <cellStyle name="Normal 9 2 4 6 3" xfId="6540" xr:uid="{00000000-0005-0000-0000-0000801F0000}"/>
    <cellStyle name="Normal 9 2 4 6 3 2" xfId="15866" xr:uid="{7291F70C-EDEB-4DBD-9D40-F22ED263B112}"/>
    <cellStyle name="Normal 9 2 4 6 3 3" xfId="24307" xr:uid="{1F18C8D8-C6DA-4C14-9AE2-CF60EFEA21E2}"/>
    <cellStyle name="Normal 9 2 4 6 3 4" xfId="32747" xr:uid="{F519F14C-509E-4565-9383-3D0F3C3485BC}"/>
    <cellStyle name="Normal 9 2 4 6 4" xfId="11649" xr:uid="{E6C5F8D4-FA64-427F-B0EA-AA5B148B814D}"/>
    <cellStyle name="Normal 9 2 4 6 5" xfId="20090" xr:uid="{157D7E0C-A26F-4699-A10B-36280D9EA725}"/>
    <cellStyle name="Normal 9 2 4 6 6" xfId="28530" xr:uid="{72B0A47D-F9E3-44F4-8A1E-E040C3F2B558}"/>
    <cellStyle name="Normal 9 2 4 7" xfId="2670" xr:uid="{00000000-0005-0000-0000-0000811F0000}"/>
    <cellStyle name="Normal 9 2 4 7 2" xfId="6953" xr:uid="{00000000-0005-0000-0000-0000821F0000}"/>
    <cellStyle name="Normal 9 2 4 7 2 2" xfId="16279" xr:uid="{4382521A-BBC4-482A-85EA-BACF0C20DBC8}"/>
    <cellStyle name="Normal 9 2 4 7 2 3" xfId="24720" xr:uid="{A24530AC-24DA-4C72-9273-5F23C75BDCBC}"/>
    <cellStyle name="Normal 9 2 4 7 2 4" xfId="33160" xr:uid="{FFDE5F0A-C833-4B4A-9A30-B90683DA974C}"/>
    <cellStyle name="Normal 9 2 4 7 3" xfId="12062" xr:uid="{C8BA98DE-F510-45A2-8A87-5137DB0AD487}"/>
    <cellStyle name="Normal 9 2 4 7 4" xfId="20503" xr:uid="{798F521E-2A0E-43B1-8435-0B3917B157BB}"/>
    <cellStyle name="Normal 9 2 4 7 5" xfId="28943" xr:uid="{1E4BB125-6945-4866-8379-51299BB7DE29}"/>
    <cellStyle name="Normal 9 2 4 8" xfId="4888" xr:uid="{00000000-0005-0000-0000-0000831F0000}"/>
    <cellStyle name="Normal 9 2 4 8 2" xfId="14214" xr:uid="{95FFE389-C3BC-4281-9C2C-643693B301F2}"/>
    <cellStyle name="Normal 9 2 4 8 3" xfId="22655" xr:uid="{5F004EA4-9067-45F4-B042-9C4346EA7827}"/>
    <cellStyle name="Normal 9 2 4 8 4" xfId="31095" xr:uid="{621D4457-E672-49E7-B96A-DC61AA70E010}"/>
    <cellStyle name="Normal 9 2 4 9" xfId="8857" xr:uid="{D785C0E6-B403-4CCC-AB0B-78E822EF1E40}"/>
    <cellStyle name="Normal 9 2 5" xfId="526" xr:uid="{00000000-0005-0000-0000-0000841F0000}"/>
    <cellStyle name="Normal 9 2 5 10" xfId="18440" xr:uid="{68170EDF-9A7D-4CD2-BEED-9506E92AA001}"/>
    <cellStyle name="Normal 9 2 5 11" xfId="26880" xr:uid="{81C68DA5-78E3-4AC3-8F7B-7A06115ADAA3}"/>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66075E38-ED51-43F5-B648-49A14001F436}"/>
    <cellStyle name="Normal 9 2 5 2 2 2 3" xfId="25215" xr:uid="{C022E089-F690-47ED-9831-5D96D498A5C6}"/>
    <cellStyle name="Normal 9 2 5 2 2 2 4" xfId="33655" xr:uid="{93C56CD7-D691-4561-9041-D0A9EC22E8C2}"/>
    <cellStyle name="Normal 9 2 5 2 2 3" xfId="12557" xr:uid="{E6D69BBF-4D52-4390-98A1-145CB3AACDBA}"/>
    <cellStyle name="Normal 9 2 5 2 2 4" xfId="20998" xr:uid="{1F7C9AFC-C18A-4534-8E34-F28DE602487E}"/>
    <cellStyle name="Normal 9 2 5 2 2 5" xfId="29438" xr:uid="{C2C87854-F83B-4F1A-A809-DA24B3E22556}"/>
    <cellStyle name="Normal 9 2 5 2 3" xfId="5303" xr:uid="{00000000-0005-0000-0000-0000881F0000}"/>
    <cellStyle name="Normal 9 2 5 2 3 2" xfId="14629" xr:uid="{F6C8E1D2-0260-42F7-82F6-B6D86AB8BCF9}"/>
    <cellStyle name="Normal 9 2 5 2 3 3" xfId="23070" xr:uid="{75B878AA-288D-403D-AB2B-975626376B4F}"/>
    <cellStyle name="Normal 9 2 5 2 3 4" xfId="31510" xr:uid="{141D8462-2DEB-4887-86E1-7B3B9A22FF83}"/>
    <cellStyle name="Normal 9 2 5 2 4" xfId="9398" xr:uid="{5B2A416E-986C-4898-8893-9EAFDDDBCDD4}"/>
    <cellStyle name="Normal 9 2 5 2 5" xfId="10412" xr:uid="{7E8D4BC5-05EA-47F8-BE11-56343487BD6A}"/>
    <cellStyle name="Normal 9 2 5 2 6" xfId="18853" xr:uid="{6732EFA5-7AA6-4AD2-B624-EF792808FB40}"/>
    <cellStyle name="Normal 9 2 5 2 7" xfId="27293" xr:uid="{B7386C4E-EC8D-4A07-83A7-4714BEE15C4D}"/>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AEECDA78-8A6B-4092-97DB-71CB5486914F}"/>
    <cellStyle name="Normal 9 2 5 3 2 2 3" xfId="25628" xr:uid="{5A84F521-0B99-4B74-AADB-6DC49DC91BDD}"/>
    <cellStyle name="Normal 9 2 5 3 2 2 4" xfId="34068" xr:uid="{4E17904A-7DDC-434A-B325-6D0DD2A35D1C}"/>
    <cellStyle name="Normal 9 2 5 3 2 3" xfId="12970" xr:uid="{08C0107A-CFCE-4277-8AF1-2AB296E5A57C}"/>
    <cellStyle name="Normal 9 2 5 3 2 4" xfId="21411" xr:uid="{DBD6475F-55E4-4275-B4E5-C23C76B95F13}"/>
    <cellStyle name="Normal 9 2 5 3 2 5" xfId="29851" xr:uid="{C35A235E-2E2E-4143-BDD7-BB590CD0FB08}"/>
    <cellStyle name="Normal 9 2 5 3 3" xfId="5716" xr:uid="{00000000-0005-0000-0000-00008C1F0000}"/>
    <cellStyle name="Normal 9 2 5 3 3 2" xfId="15042" xr:uid="{E0CEBE7F-D2FA-476F-A8E1-566F2E0E099B}"/>
    <cellStyle name="Normal 9 2 5 3 3 3" xfId="23483" xr:uid="{7CF94E58-8482-49B4-AEFD-E50C46CE892E}"/>
    <cellStyle name="Normal 9 2 5 3 3 4" xfId="31923" xr:uid="{6CECF1C3-6BD3-4360-8BC6-EC1028A8C323}"/>
    <cellStyle name="Normal 9 2 5 3 4" xfId="10825" xr:uid="{9C4E9F0A-80D1-4AC7-A72A-0F0A86D1F9CC}"/>
    <cellStyle name="Normal 9 2 5 3 5" xfId="19266" xr:uid="{AA69FFA3-BD9D-4792-A6C1-E243BA626B46}"/>
    <cellStyle name="Normal 9 2 5 3 6" xfId="27706" xr:uid="{B896CD14-CE44-49C7-89F0-C4EF10B83D9E}"/>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D120729D-F163-4A47-9622-8EF41A7E6587}"/>
    <cellStyle name="Normal 9 2 5 4 2 2 3" xfId="26041" xr:uid="{EBB63C7D-7E8F-422A-82DD-AE8E3026A54B}"/>
    <cellStyle name="Normal 9 2 5 4 2 2 4" xfId="34481" xr:uid="{4D9D1094-F6BB-4107-AC00-DC9791C79EB5}"/>
    <cellStyle name="Normal 9 2 5 4 2 3" xfId="13383" xr:uid="{F1112339-1F56-48FE-974F-158C46BB7AF9}"/>
    <cellStyle name="Normal 9 2 5 4 2 4" xfId="21824" xr:uid="{BFA8E8AF-218C-4827-BE9C-A2F4E0C816FA}"/>
    <cellStyle name="Normal 9 2 5 4 2 5" xfId="30264" xr:uid="{CC2061F5-A844-4480-878A-B48217B0707A}"/>
    <cellStyle name="Normal 9 2 5 4 3" xfId="6129" xr:uid="{00000000-0005-0000-0000-0000901F0000}"/>
    <cellStyle name="Normal 9 2 5 4 3 2" xfId="15455" xr:uid="{5081BC06-2CB0-4F47-AD97-DEA009353635}"/>
    <cellStyle name="Normal 9 2 5 4 3 3" xfId="23896" xr:uid="{483C47CB-D8DB-4A94-93F2-A510C52FEC4E}"/>
    <cellStyle name="Normal 9 2 5 4 3 4" xfId="32336" xr:uid="{AF8F9DC3-FA10-4F78-9ED4-93B6CBEEAEA7}"/>
    <cellStyle name="Normal 9 2 5 4 4" xfId="11238" xr:uid="{6DB2933C-BAAE-436F-A4D9-416407378EC8}"/>
    <cellStyle name="Normal 9 2 5 4 5" xfId="19679" xr:uid="{6C1015E1-39CD-42BC-9142-BA0FE680D1EB}"/>
    <cellStyle name="Normal 9 2 5 4 6" xfId="28119" xr:uid="{63BF7DAE-EDE6-4E6D-901A-11C9DF6F8761}"/>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C2B4DABD-88CF-4A1C-AF71-121CA16464AF}"/>
    <cellStyle name="Normal 9 2 5 5 2 2 3" xfId="26454" xr:uid="{D92BE5C8-DB8E-4B42-A89C-553B9C4C7F33}"/>
    <cellStyle name="Normal 9 2 5 5 2 2 4" xfId="34894" xr:uid="{71876C9C-6B8B-44DE-9D8F-FF94BEF4CCA0}"/>
    <cellStyle name="Normal 9 2 5 5 2 3" xfId="13796" xr:uid="{EEE44765-39CB-49CA-A17B-A0F043955B73}"/>
    <cellStyle name="Normal 9 2 5 5 2 4" xfId="22237" xr:uid="{3093E1FC-95D1-4D7B-8C52-765DF605C604}"/>
    <cellStyle name="Normal 9 2 5 5 2 5" xfId="30677" xr:uid="{F5465ABC-9F1B-4FEA-8B5E-86E0BB3B766D}"/>
    <cellStyle name="Normal 9 2 5 5 3" xfId="6542" xr:uid="{00000000-0005-0000-0000-0000941F0000}"/>
    <cellStyle name="Normal 9 2 5 5 3 2" xfId="15868" xr:uid="{672C209D-628D-4DEF-841B-2BC64FB3F2FA}"/>
    <cellStyle name="Normal 9 2 5 5 3 3" xfId="24309" xr:uid="{D9404D6A-F37A-476C-A9B2-C25E8CCE252F}"/>
    <cellStyle name="Normal 9 2 5 5 3 4" xfId="32749" xr:uid="{15D48BB4-0586-4206-9149-53D6713B84F4}"/>
    <cellStyle name="Normal 9 2 5 5 4" xfId="11651" xr:uid="{EB3165B7-EB57-4DF2-98B0-3626EB7730AC}"/>
    <cellStyle name="Normal 9 2 5 5 5" xfId="20092" xr:uid="{BDC4BC2C-0088-459D-8947-E695A3CDD888}"/>
    <cellStyle name="Normal 9 2 5 5 6" xfId="28532" xr:uid="{C941D3AC-899B-433A-83AA-7A8C6275914F}"/>
    <cellStyle name="Normal 9 2 5 6" xfId="2672" xr:uid="{00000000-0005-0000-0000-0000951F0000}"/>
    <cellStyle name="Normal 9 2 5 6 2" xfId="6955" xr:uid="{00000000-0005-0000-0000-0000961F0000}"/>
    <cellStyle name="Normal 9 2 5 6 2 2" xfId="16281" xr:uid="{FCD942C8-ED80-45F9-A920-AED06DF9638E}"/>
    <cellStyle name="Normal 9 2 5 6 2 3" xfId="24722" xr:uid="{1DA15775-9201-4CAC-9A95-52434741A44C}"/>
    <cellStyle name="Normal 9 2 5 6 2 4" xfId="33162" xr:uid="{27B2BEC4-7D14-4E84-9B6D-BCC434248E8D}"/>
    <cellStyle name="Normal 9 2 5 6 3" xfId="12064" xr:uid="{EEAF358D-9348-45C1-B6FC-1728E5C901EC}"/>
    <cellStyle name="Normal 9 2 5 6 4" xfId="20505" xr:uid="{4ED2EDD6-2833-4962-8000-931AA903B5DF}"/>
    <cellStyle name="Normal 9 2 5 6 5" xfId="28945" xr:uid="{01E8AFC1-240C-4F0B-84A0-083DBD9134E3}"/>
    <cellStyle name="Normal 9 2 5 7" xfId="4890" xr:uid="{00000000-0005-0000-0000-0000971F0000}"/>
    <cellStyle name="Normal 9 2 5 7 2" xfId="14216" xr:uid="{5F6414A1-2D45-470B-85F9-184DC7E368E1}"/>
    <cellStyle name="Normal 9 2 5 7 3" xfId="22657" xr:uid="{52AD03A1-A8D4-4A39-96DE-D21225A70632}"/>
    <cellStyle name="Normal 9 2 5 7 4" xfId="31097" xr:uid="{5982DC0F-D855-4EFB-AD88-3BE55E3D9C0F}"/>
    <cellStyle name="Normal 9 2 5 8" xfId="8973" xr:uid="{BA9464C2-72F7-4B38-B1BD-6986FFA433D9}"/>
    <cellStyle name="Normal 9 2 5 9" xfId="9999" xr:uid="{E4B60B05-5578-478F-94C1-F00066413E96}"/>
    <cellStyle name="Normal 9 2 6" xfId="978" xr:uid="{00000000-0005-0000-0000-0000981F0000}"/>
    <cellStyle name="Normal 9 2 6 2" xfId="3211" xr:uid="{00000000-0005-0000-0000-0000991F0000}"/>
    <cellStyle name="Normal 9 2 6 2 2" xfId="7433" xr:uid="{00000000-0005-0000-0000-00009A1F0000}"/>
    <cellStyle name="Normal 9 2 6 2 2 2" xfId="16759" xr:uid="{0A811122-6E0F-4023-AC25-E36BA1EF5191}"/>
    <cellStyle name="Normal 9 2 6 2 2 3" xfId="25200" xr:uid="{3EEBC6AF-5A0A-4722-BC34-F53054CA8848}"/>
    <cellStyle name="Normal 9 2 6 2 2 4" xfId="33640" xr:uid="{30717C01-92D5-4F34-B26C-DFAD0C1E192B}"/>
    <cellStyle name="Normal 9 2 6 2 3" xfId="12542" xr:uid="{655DDE00-6576-45C5-95C9-83A318C67430}"/>
    <cellStyle name="Normal 9 2 6 2 4" xfId="20983" xr:uid="{9A16EE57-F34A-4D57-8DC1-4349019B0B40}"/>
    <cellStyle name="Normal 9 2 6 2 5" xfId="29423" xr:uid="{1671809B-08F7-402A-991D-B64577213198}"/>
    <cellStyle name="Normal 9 2 6 3" xfId="5288" xr:uid="{00000000-0005-0000-0000-00009B1F0000}"/>
    <cellStyle name="Normal 9 2 6 3 2" xfId="14614" xr:uid="{EBB3A82A-A05A-4CE1-95D0-072595C4ED4C}"/>
    <cellStyle name="Normal 9 2 6 3 3" xfId="23055" xr:uid="{109A1EF1-6937-47D7-8CCD-165281E621F8}"/>
    <cellStyle name="Normal 9 2 6 3 4" xfId="31495" xr:uid="{BBF50ABE-3980-47FD-952C-8085DE63303B}"/>
    <cellStyle name="Normal 9 2 6 4" xfId="9176" xr:uid="{F3933A08-5B20-47C9-B0FC-7B73F4B0BA7D}"/>
    <cellStyle name="Normal 9 2 6 5" xfId="10397" xr:uid="{DDA0DF6E-BD96-4522-AAFC-73D374DFC600}"/>
    <cellStyle name="Normal 9 2 6 6" xfId="18838" xr:uid="{1DA03E2B-47AE-47F1-BBF4-E288BC4D6D43}"/>
    <cellStyle name="Normal 9 2 6 7" xfId="27278" xr:uid="{55F4C3B2-7E79-41F9-B6B1-DD64B367A4F1}"/>
    <cellStyle name="Normal 9 2 7" xfId="1394" xr:uid="{00000000-0005-0000-0000-00009C1F0000}"/>
    <cellStyle name="Normal 9 2 7 2" xfId="3624" xr:uid="{00000000-0005-0000-0000-00009D1F0000}"/>
    <cellStyle name="Normal 9 2 7 2 2" xfId="7846" xr:uid="{00000000-0005-0000-0000-00009E1F0000}"/>
    <cellStyle name="Normal 9 2 7 2 2 2" xfId="17172" xr:uid="{78703D6A-BD41-4BB2-ACEB-AC008B852945}"/>
    <cellStyle name="Normal 9 2 7 2 2 3" xfId="25613" xr:uid="{F3AD6329-7F6A-4292-AFDD-73E2160C79BE}"/>
    <cellStyle name="Normal 9 2 7 2 2 4" xfId="34053" xr:uid="{4A569A19-E5CB-472E-B133-E56A321DA845}"/>
    <cellStyle name="Normal 9 2 7 2 3" xfId="12955" xr:uid="{977BE56C-931C-4FAA-957B-536C3F1C7CD3}"/>
    <cellStyle name="Normal 9 2 7 2 4" xfId="21396" xr:uid="{32CB5730-97E8-4771-A3C7-C415B3A838FA}"/>
    <cellStyle name="Normal 9 2 7 2 5" xfId="29836" xr:uid="{2A38ECB8-3E20-4C61-B357-2A9836148916}"/>
    <cellStyle name="Normal 9 2 7 3" xfId="5701" xr:uid="{00000000-0005-0000-0000-00009F1F0000}"/>
    <cellStyle name="Normal 9 2 7 3 2" xfId="15027" xr:uid="{0A5FFC01-FD70-44D0-BAB6-8718CAC5D3B9}"/>
    <cellStyle name="Normal 9 2 7 3 3" xfId="23468" xr:uid="{420B46CE-9E20-439F-9A76-BABD14AA5786}"/>
    <cellStyle name="Normal 9 2 7 3 4" xfId="31908" xr:uid="{4B91026C-FCF3-4734-B834-252C71EEDD80}"/>
    <cellStyle name="Normal 9 2 7 4" xfId="10810" xr:uid="{3DE19213-DD4B-46E0-96DE-7892CE9306DB}"/>
    <cellStyle name="Normal 9 2 7 5" xfId="19251" xr:uid="{89EE3E49-7781-433C-9C4D-A1CCC98FE5F1}"/>
    <cellStyle name="Normal 9 2 7 6" xfId="27691" xr:uid="{22BDBA8B-756B-4162-A6DD-8DD28BF15230}"/>
    <cellStyle name="Normal 9 2 8" xfId="1807" xr:uid="{00000000-0005-0000-0000-0000A01F0000}"/>
    <cellStyle name="Normal 9 2 8 2" xfId="4037" xr:uid="{00000000-0005-0000-0000-0000A11F0000}"/>
    <cellStyle name="Normal 9 2 8 2 2" xfId="8259" xr:uid="{00000000-0005-0000-0000-0000A21F0000}"/>
    <cellStyle name="Normal 9 2 8 2 2 2" xfId="17585" xr:uid="{7590D5EE-A33E-47BD-83CA-B55624BB7286}"/>
    <cellStyle name="Normal 9 2 8 2 2 3" xfId="26026" xr:uid="{B35AEEE4-5B95-4191-8A5A-F912B277CD05}"/>
    <cellStyle name="Normal 9 2 8 2 2 4" xfId="34466" xr:uid="{EA97EBA2-4966-46FF-9624-B3270FDC324F}"/>
    <cellStyle name="Normal 9 2 8 2 3" xfId="13368" xr:uid="{B414BD64-1B9C-4C81-A331-37F4438730E0}"/>
    <cellStyle name="Normal 9 2 8 2 4" xfId="21809" xr:uid="{331732C9-0D55-4278-8F3C-B3714653C1F8}"/>
    <cellStyle name="Normal 9 2 8 2 5" xfId="30249" xr:uid="{02749BB0-3A9C-4A49-ACB2-5564DDC4BCF8}"/>
    <cellStyle name="Normal 9 2 8 3" xfId="6114" xr:uid="{00000000-0005-0000-0000-0000A31F0000}"/>
    <cellStyle name="Normal 9 2 8 3 2" xfId="15440" xr:uid="{3073D716-A976-4CDE-8443-2D4B48821D69}"/>
    <cellStyle name="Normal 9 2 8 3 3" xfId="23881" xr:uid="{59EAD719-039D-4F92-A487-76AD90AEE690}"/>
    <cellStyle name="Normal 9 2 8 3 4" xfId="32321" xr:uid="{114FE126-C4A7-4396-B70C-636133C8E6A3}"/>
    <cellStyle name="Normal 9 2 8 4" xfId="11223" xr:uid="{94D6E7E9-063C-43DF-AAE5-76B1BB9A5FD5}"/>
    <cellStyle name="Normal 9 2 8 5" xfId="19664" xr:uid="{F0BF83BA-18EE-48E8-97C8-1D72E8CC10A3}"/>
    <cellStyle name="Normal 9 2 8 6" xfId="28104" xr:uid="{02CB58F5-8CAF-44E9-B602-647D88F49E61}"/>
    <cellStyle name="Normal 9 2 9" xfId="2221" xr:uid="{00000000-0005-0000-0000-0000A41F0000}"/>
    <cellStyle name="Normal 9 2 9 2" xfId="4450" xr:uid="{00000000-0005-0000-0000-0000A51F0000}"/>
    <cellStyle name="Normal 9 2 9 2 2" xfId="8672" xr:uid="{00000000-0005-0000-0000-0000A61F0000}"/>
    <cellStyle name="Normal 9 2 9 2 2 2" xfId="17998" xr:uid="{5897C879-E56A-4963-81C6-DCFDDE331105}"/>
    <cellStyle name="Normal 9 2 9 2 2 3" xfId="26439" xr:uid="{8838B0E3-6DAE-4ADD-9FDD-77F2F583FF6B}"/>
    <cellStyle name="Normal 9 2 9 2 2 4" xfId="34879" xr:uid="{F851B1D3-A91A-41A7-B6FB-C15A1E3C494E}"/>
    <cellStyle name="Normal 9 2 9 2 3" xfId="13781" xr:uid="{B316F1BC-AD5F-43F3-8ED7-A79359D88FF8}"/>
    <cellStyle name="Normal 9 2 9 2 4" xfId="22222" xr:uid="{FC5E869A-93AD-48E8-9930-FB8ECD0A51EB}"/>
    <cellStyle name="Normal 9 2 9 2 5" xfId="30662" xr:uid="{EE297519-FE0F-4857-AD1D-C0198717F7D8}"/>
    <cellStyle name="Normal 9 2 9 3" xfId="6527" xr:uid="{00000000-0005-0000-0000-0000A71F0000}"/>
    <cellStyle name="Normal 9 2 9 3 2" xfId="15853" xr:uid="{5E5831C3-1926-4998-8FB6-4C5900650E76}"/>
    <cellStyle name="Normal 9 2 9 3 3" xfId="24294" xr:uid="{15059531-9D94-485F-B303-55E694A9A46D}"/>
    <cellStyle name="Normal 9 2 9 3 4" xfId="32734" xr:uid="{51DCAC6E-A18F-4291-B82A-CE85BF6872A0}"/>
    <cellStyle name="Normal 9 2 9 4" xfId="11636" xr:uid="{27C2C0AC-5EC9-43CE-B147-473D81A5EC21}"/>
    <cellStyle name="Normal 9 2 9 5" xfId="20077" xr:uid="{12CE1662-E005-4F11-BA88-6E920EFA0CC0}"/>
    <cellStyle name="Normal 9 2 9 6" xfId="28517" xr:uid="{54780A7D-90BF-4414-BF36-3F3D3562D9D6}"/>
    <cellStyle name="Normal 9 3" xfId="527" xr:uid="{00000000-0005-0000-0000-0000A81F0000}"/>
    <cellStyle name="Normal 9 3 10" xfId="4891" xr:uid="{00000000-0005-0000-0000-0000A91F0000}"/>
    <cellStyle name="Normal 9 3 10 2" xfId="14217" xr:uid="{14DDC531-858A-4D1A-BD8F-A58E8E7A47C3}"/>
    <cellStyle name="Normal 9 3 10 3" xfId="22658" xr:uid="{CBD2BF46-FA85-4188-9281-DF0A5C9C2E60}"/>
    <cellStyle name="Normal 9 3 10 4" xfId="31098" xr:uid="{9CB93C30-4065-451F-B7E8-16CE8EF73396}"/>
    <cellStyle name="Normal 9 3 11" xfId="8777" xr:uid="{1F3D7E21-FC22-4F0C-9371-3D8250746BB7}"/>
    <cellStyle name="Normal 9 3 12" xfId="10000" xr:uid="{9611E95E-336E-4C76-B289-959DB5AC296F}"/>
    <cellStyle name="Normal 9 3 13" xfId="18441" xr:uid="{CDFD81F1-E369-4142-B168-9466952BFDB2}"/>
    <cellStyle name="Normal 9 3 14" xfId="26881" xr:uid="{9DF9741C-094D-4C5C-8C6D-9FD555E2245D}"/>
    <cellStyle name="Normal 9 3 2" xfId="528" xr:uid="{00000000-0005-0000-0000-0000AA1F0000}"/>
    <cellStyle name="Normal 9 3 2 10" xfId="8840" xr:uid="{94797BE2-1721-4871-A768-79D4D45F48BB}"/>
    <cellStyle name="Normal 9 3 2 11" xfId="10001" xr:uid="{47F8A57C-C4D7-4A1B-99B1-B032F086610B}"/>
    <cellStyle name="Normal 9 3 2 12" xfId="18442" xr:uid="{29C31CE6-8A8F-456E-86A4-439B1EF546ED}"/>
    <cellStyle name="Normal 9 3 2 13" xfId="26882" xr:uid="{A1A09B79-0422-4C3C-BDB1-B8E98871E21D}"/>
    <cellStyle name="Normal 9 3 2 2" xfId="529" xr:uid="{00000000-0005-0000-0000-0000AB1F0000}"/>
    <cellStyle name="Normal 9 3 2 2 10" xfId="10002" xr:uid="{4C5E8A09-C8C8-4FBA-8964-F58A069519C4}"/>
    <cellStyle name="Normal 9 3 2 2 11" xfId="18443" xr:uid="{8C6EA9A6-0687-4FCE-A65B-2A838AA24EE2}"/>
    <cellStyle name="Normal 9 3 2 2 12" xfId="26883" xr:uid="{C367CBDA-E3CE-4050-B9AA-C33134D26104}"/>
    <cellStyle name="Normal 9 3 2 2 2" xfId="530" xr:uid="{00000000-0005-0000-0000-0000AC1F0000}"/>
    <cellStyle name="Normal 9 3 2 2 2 10" xfId="18444" xr:uid="{B173BE14-CB9E-48B8-935F-2D56DBB4BE1B}"/>
    <cellStyle name="Normal 9 3 2 2 2 11" xfId="26884" xr:uid="{313AF670-1FA1-40B5-88F7-7A1012123CA7}"/>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6AFF8262-231A-4C4A-A0DF-824F74941F49}"/>
    <cellStyle name="Normal 9 3 2 2 2 2 2 2 3" xfId="25219" xr:uid="{E3A0C212-540C-47F0-AA88-9699B0025808}"/>
    <cellStyle name="Normal 9 3 2 2 2 2 2 2 4" xfId="33659" xr:uid="{31377EF8-E95E-4958-87E1-6A8EB72A9368}"/>
    <cellStyle name="Normal 9 3 2 2 2 2 2 3" xfId="12561" xr:uid="{7C7C9690-06CF-4070-B568-3B500FC334F4}"/>
    <cellStyle name="Normal 9 3 2 2 2 2 2 4" xfId="21002" xr:uid="{8A02239A-09D7-436C-828D-F45874ED2BDC}"/>
    <cellStyle name="Normal 9 3 2 2 2 2 2 5" xfId="29442" xr:uid="{B9C0C195-5931-4B97-856C-9995B3341694}"/>
    <cellStyle name="Normal 9 3 2 2 2 2 3" xfId="5307" xr:uid="{00000000-0005-0000-0000-0000B01F0000}"/>
    <cellStyle name="Normal 9 3 2 2 2 2 3 2" xfId="14633" xr:uid="{B34AA88C-3C19-4A71-AAE5-7295E67FD212}"/>
    <cellStyle name="Normal 9 3 2 2 2 2 3 3" xfId="23074" xr:uid="{F07DD01B-459A-42AA-94F1-C72F7EBE0F51}"/>
    <cellStyle name="Normal 9 3 2 2 2 2 3 4" xfId="31514" xr:uid="{079577AF-FF63-4CBE-8C17-DDF38A217F62}"/>
    <cellStyle name="Normal 9 3 2 2 2 2 4" xfId="9575" xr:uid="{DA05DE06-1987-4B8E-8439-C692853FF296}"/>
    <cellStyle name="Normal 9 3 2 2 2 2 5" xfId="10416" xr:uid="{3204DF17-BA33-4F25-ABD3-6FA298DAC78A}"/>
    <cellStyle name="Normal 9 3 2 2 2 2 6" xfId="18857" xr:uid="{06E5D4AF-4494-453D-A0E6-3FA8518D2DC1}"/>
    <cellStyle name="Normal 9 3 2 2 2 2 7" xfId="27297" xr:uid="{08F524D7-58E6-466A-B705-CAA637209B9A}"/>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ACD1723A-DCF2-4161-B886-E13619C80F50}"/>
    <cellStyle name="Normal 9 3 2 2 2 3 2 2 3" xfId="25632" xr:uid="{DB1E4A54-B669-4B45-801B-9B7C5DCC60B7}"/>
    <cellStyle name="Normal 9 3 2 2 2 3 2 2 4" xfId="34072" xr:uid="{43B812CA-5E19-4882-8A90-99E7370A27CD}"/>
    <cellStyle name="Normal 9 3 2 2 2 3 2 3" xfId="12974" xr:uid="{374BB3A8-0724-4FF7-9BED-AA75057DEC23}"/>
    <cellStyle name="Normal 9 3 2 2 2 3 2 4" xfId="21415" xr:uid="{A81E1F5F-2000-4307-ABD8-4B6875045AD9}"/>
    <cellStyle name="Normal 9 3 2 2 2 3 2 5" xfId="29855" xr:uid="{806041AC-21CA-4479-9DEF-40B20B57FC8E}"/>
    <cellStyle name="Normal 9 3 2 2 2 3 3" xfId="5720" xr:uid="{00000000-0005-0000-0000-0000B41F0000}"/>
    <cellStyle name="Normal 9 3 2 2 2 3 3 2" xfId="15046" xr:uid="{32A1515E-0D09-49B9-BD2E-DE295EA716FB}"/>
    <cellStyle name="Normal 9 3 2 2 2 3 3 3" xfId="23487" xr:uid="{5DB083E1-C699-4E18-BEB8-F619C753CFAD}"/>
    <cellStyle name="Normal 9 3 2 2 2 3 3 4" xfId="31927" xr:uid="{80CC1D50-A488-4B85-934B-FEA06DE08995}"/>
    <cellStyle name="Normal 9 3 2 2 2 3 4" xfId="10829" xr:uid="{45379B66-2700-4BAA-9982-EC6BC43FF4B6}"/>
    <cellStyle name="Normal 9 3 2 2 2 3 5" xfId="19270" xr:uid="{DAB249EC-2290-433B-91EA-904FA1560735}"/>
    <cellStyle name="Normal 9 3 2 2 2 3 6" xfId="27710" xr:uid="{54875BB2-73F3-4F2E-A21F-A3D2C05D24F3}"/>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F4D87901-1A8A-48AB-8F18-9686DEB8D888}"/>
    <cellStyle name="Normal 9 3 2 2 2 4 2 2 3" xfId="26045" xr:uid="{A6A9A176-8506-47BD-9AE0-0550C36C59D1}"/>
    <cellStyle name="Normal 9 3 2 2 2 4 2 2 4" xfId="34485" xr:uid="{FE0A0236-E231-4E72-8942-E61C86122F36}"/>
    <cellStyle name="Normal 9 3 2 2 2 4 2 3" xfId="13387" xr:uid="{450B51BE-6596-469E-8A59-FF0477DC3CCE}"/>
    <cellStyle name="Normal 9 3 2 2 2 4 2 4" xfId="21828" xr:uid="{9F30AE8F-4D85-4BA1-BE7C-17C7B8F0AE53}"/>
    <cellStyle name="Normal 9 3 2 2 2 4 2 5" xfId="30268" xr:uid="{9A530A87-D280-4184-B655-365C6A87AF2D}"/>
    <cellStyle name="Normal 9 3 2 2 2 4 3" xfId="6133" xr:uid="{00000000-0005-0000-0000-0000B81F0000}"/>
    <cellStyle name="Normal 9 3 2 2 2 4 3 2" xfId="15459" xr:uid="{61A63FF2-0FDF-425C-9189-374D83CA0BB6}"/>
    <cellStyle name="Normal 9 3 2 2 2 4 3 3" xfId="23900" xr:uid="{C951AC06-020A-435C-A7AA-ACBAE6521044}"/>
    <cellStyle name="Normal 9 3 2 2 2 4 3 4" xfId="32340" xr:uid="{12C4B0F9-3BF9-4306-802F-3C64E4762B46}"/>
    <cellStyle name="Normal 9 3 2 2 2 4 4" xfId="11242" xr:uid="{5631E4CB-4DB2-401C-B16F-3B34EE3F61A3}"/>
    <cellStyle name="Normal 9 3 2 2 2 4 5" xfId="19683" xr:uid="{41380F0D-A276-473F-B9E2-1A679E784C28}"/>
    <cellStyle name="Normal 9 3 2 2 2 4 6" xfId="28123" xr:uid="{300C6202-C8AA-4D66-B401-A31EAE50D33F}"/>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B75F4D8A-E361-4063-BD31-4B46A5922901}"/>
    <cellStyle name="Normal 9 3 2 2 2 5 2 2 3" xfId="26458" xr:uid="{4E303DB1-8B52-45D5-9CBB-8E0DB57E9519}"/>
    <cellStyle name="Normal 9 3 2 2 2 5 2 2 4" xfId="34898" xr:uid="{9B1AECF3-C67D-46CD-887B-04922E42BB09}"/>
    <cellStyle name="Normal 9 3 2 2 2 5 2 3" xfId="13800" xr:uid="{76DE6043-E501-4D57-810C-64298A6432C1}"/>
    <cellStyle name="Normal 9 3 2 2 2 5 2 4" xfId="22241" xr:uid="{08B4FE90-C5FB-41DA-942B-D4A96E5D56CB}"/>
    <cellStyle name="Normal 9 3 2 2 2 5 2 5" xfId="30681" xr:uid="{4F6BD209-5F03-4F70-8FB1-986D994401B5}"/>
    <cellStyle name="Normal 9 3 2 2 2 5 3" xfId="6546" xr:uid="{00000000-0005-0000-0000-0000BC1F0000}"/>
    <cellStyle name="Normal 9 3 2 2 2 5 3 2" xfId="15872" xr:uid="{EF477696-7AC6-499B-90C3-9B9791290593}"/>
    <cellStyle name="Normal 9 3 2 2 2 5 3 3" xfId="24313" xr:uid="{B33FD5CF-9287-488B-96E9-FCA8BDE50A9D}"/>
    <cellStyle name="Normal 9 3 2 2 2 5 3 4" xfId="32753" xr:uid="{AB331D9C-0603-489C-9AEE-0B4BFFC28343}"/>
    <cellStyle name="Normal 9 3 2 2 2 5 4" xfId="11655" xr:uid="{A11E4074-AD98-4416-BD8F-5438A4FDF0E8}"/>
    <cellStyle name="Normal 9 3 2 2 2 5 5" xfId="20096" xr:uid="{97703B10-00BE-461A-84F8-15D8C7514539}"/>
    <cellStyle name="Normal 9 3 2 2 2 5 6" xfId="28536" xr:uid="{36FB9BDB-24CA-4134-9290-7B60635215AB}"/>
    <cellStyle name="Normal 9 3 2 2 2 6" xfId="2676" xr:uid="{00000000-0005-0000-0000-0000BD1F0000}"/>
    <cellStyle name="Normal 9 3 2 2 2 6 2" xfId="6959" xr:uid="{00000000-0005-0000-0000-0000BE1F0000}"/>
    <cellStyle name="Normal 9 3 2 2 2 6 2 2" xfId="16285" xr:uid="{5FAD43DB-1279-4AAD-83D7-6EF344219DEE}"/>
    <cellStyle name="Normal 9 3 2 2 2 6 2 3" xfId="24726" xr:uid="{4E127C0C-E643-4143-8EC0-989643C16F34}"/>
    <cellStyle name="Normal 9 3 2 2 2 6 2 4" xfId="33166" xr:uid="{9D444F44-1359-4614-9DDE-45C383D34C4C}"/>
    <cellStyle name="Normal 9 3 2 2 2 6 3" xfId="12068" xr:uid="{93065AB5-9EA4-4FF1-B900-D2F6B3FF1857}"/>
    <cellStyle name="Normal 9 3 2 2 2 6 4" xfId="20509" xr:uid="{A859E69B-D68F-4B1B-88A7-758C10691D2E}"/>
    <cellStyle name="Normal 9 3 2 2 2 6 5" xfId="28949" xr:uid="{63C545B0-3A0D-4F9A-9433-78E8A808AE11}"/>
    <cellStyle name="Normal 9 3 2 2 2 7" xfId="4894" xr:uid="{00000000-0005-0000-0000-0000BF1F0000}"/>
    <cellStyle name="Normal 9 3 2 2 2 7 2" xfId="14220" xr:uid="{D4AA48FF-CEC8-409D-8557-4775C502E1A9}"/>
    <cellStyle name="Normal 9 3 2 2 2 7 3" xfId="22661" xr:uid="{5295CE1E-28D1-47F5-8CD4-DD79A8AE01DE}"/>
    <cellStyle name="Normal 9 3 2 2 2 7 4" xfId="31101" xr:uid="{2556EAD6-FE92-49E6-BB6D-51753681E8F5}"/>
    <cellStyle name="Normal 9 3 2 2 2 8" xfId="9150" xr:uid="{F54F74BE-A583-4C94-A198-8E0D27AD7F4F}"/>
    <cellStyle name="Normal 9 3 2 2 2 9" xfId="10003" xr:uid="{B01FC242-9C42-41E1-A81F-8B2BC9D9E227}"/>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C9885CB1-5E5C-4286-A213-43D33DC3EACF}"/>
    <cellStyle name="Normal 9 3 2 2 3 2 2 3" xfId="25218" xr:uid="{871CFED6-25FE-4F2B-A701-F4846638F132}"/>
    <cellStyle name="Normal 9 3 2 2 3 2 2 4" xfId="33658" xr:uid="{23F51476-A13B-49FC-9389-728CA66EB16A}"/>
    <cellStyle name="Normal 9 3 2 2 3 2 3" xfId="12560" xr:uid="{08362C62-A810-4554-AFFB-821DBBC47206}"/>
    <cellStyle name="Normal 9 3 2 2 3 2 4" xfId="21001" xr:uid="{BAE4E9DC-5FB4-4CE1-84F4-80DB65168235}"/>
    <cellStyle name="Normal 9 3 2 2 3 2 5" xfId="29441" xr:uid="{C0E0870E-2BA0-4A76-B591-E1545FE1D9C5}"/>
    <cellStyle name="Normal 9 3 2 2 3 3" xfId="5306" xr:uid="{00000000-0005-0000-0000-0000C31F0000}"/>
    <cellStyle name="Normal 9 3 2 2 3 3 2" xfId="14632" xr:uid="{A724B6AB-526F-4D57-AFA7-C7926E3762ED}"/>
    <cellStyle name="Normal 9 3 2 2 3 3 3" xfId="23073" xr:uid="{011185B2-0A2B-4813-86D9-95202D29C7B3}"/>
    <cellStyle name="Normal 9 3 2 2 3 3 4" xfId="31513" xr:uid="{0A90EE54-9BE7-48C0-A5E1-5C41B08714D8}"/>
    <cellStyle name="Normal 9 3 2 2 3 4" xfId="9368" xr:uid="{B3189122-1774-442D-BD5B-8DA329618536}"/>
    <cellStyle name="Normal 9 3 2 2 3 5" xfId="10415" xr:uid="{92D7F4CD-A443-4125-8AA1-0EB4A0243702}"/>
    <cellStyle name="Normal 9 3 2 2 3 6" xfId="18856" xr:uid="{41621A5E-852A-49B7-B7C4-F37DB2DD7B23}"/>
    <cellStyle name="Normal 9 3 2 2 3 7" xfId="27296" xr:uid="{29A64445-4247-4D9E-B155-17D5C6D83F8C}"/>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71FF642F-8086-48C2-AE4A-4C8771BD5635}"/>
    <cellStyle name="Normal 9 3 2 2 4 2 2 3" xfId="25631" xr:uid="{79C76609-4CF1-4D20-94D2-F872809697F2}"/>
    <cellStyle name="Normal 9 3 2 2 4 2 2 4" xfId="34071" xr:uid="{A9FE981D-3CB5-4BF5-822D-BC47048671D9}"/>
    <cellStyle name="Normal 9 3 2 2 4 2 3" xfId="12973" xr:uid="{AC719237-B10C-47E1-867D-8B25F8D57E76}"/>
    <cellStyle name="Normal 9 3 2 2 4 2 4" xfId="21414" xr:uid="{D6B05483-535C-49A5-AC06-488D12EFD646}"/>
    <cellStyle name="Normal 9 3 2 2 4 2 5" xfId="29854" xr:uid="{C713C40F-2243-4385-ACBC-96A59C180667}"/>
    <cellStyle name="Normal 9 3 2 2 4 3" xfId="5719" xr:uid="{00000000-0005-0000-0000-0000C71F0000}"/>
    <cellStyle name="Normal 9 3 2 2 4 3 2" xfId="15045" xr:uid="{F9761C51-1148-498C-BA58-2E72802B20D8}"/>
    <cellStyle name="Normal 9 3 2 2 4 3 3" xfId="23486" xr:uid="{700AD93A-D71F-44DC-8137-2EE4786A5409}"/>
    <cellStyle name="Normal 9 3 2 2 4 3 4" xfId="31926" xr:uid="{F4127E9E-FF5C-4B30-ADA1-9A154467AB63}"/>
    <cellStyle name="Normal 9 3 2 2 4 4" xfId="10828" xr:uid="{1B8C0D8D-DCF9-4C62-A4EB-CA15636E75E9}"/>
    <cellStyle name="Normal 9 3 2 2 4 5" xfId="19269" xr:uid="{14192193-C6B1-4ECC-A0AA-F70A4B8FAAE1}"/>
    <cellStyle name="Normal 9 3 2 2 4 6" xfId="27709" xr:uid="{12B3778F-B749-43B0-B1D9-EF64BF53E007}"/>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C86FB665-C138-4349-8049-C1DCBC13858B}"/>
    <cellStyle name="Normal 9 3 2 2 5 2 2 3" xfId="26044" xr:uid="{0687E004-608B-4F3C-8765-F49029C5ACBA}"/>
    <cellStyle name="Normal 9 3 2 2 5 2 2 4" xfId="34484" xr:uid="{4CEB6317-5A0A-43B5-B788-EEFB660E340D}"/>
    <cellStyle name="Normal 9 3 2 2 5 2 3" xfId="13386" xr:uid="{C6B673D3-C6E6-4115-8661-59EF2682F5F8}"/>
    <cellStyle name="Normal 9 3 2 2 5 2 4" xfId="21827" xr:uid="{614540B4-2BFF-44B0-B339-D213F81EEF82}"/>
    <cellStyle name="Normal 9 3 2 2 5 2 5" xfId="30267" xr:uid="{CEAB78BB-E746-4E5E-887F-AFC9522D6C3B}"/>
    <cellStyle name="Normal 9 3 2 2 5 3" xfId="6132" xr:uid="{00000000-0005-0000-0000-0000CB1F0000}"/>
    <cellStyle name="Normal 9 3 2 2 5 3 2" xfId="15458" xr:uid="{96CED2DF-21D9-47E6-A33C-3C546D665FC6}"/>
    <cellStyle name="Normal 9 3 2 2 5 3 3" xfId="23899" xr:uid="{3F7B12FA-1EAA-4A4E-A7ED-34C0B9E4D9E6}"/>
    <cellStyle name="Normal 9 3 2 2 5 3 4" xfId="32339" xr:uid="{A3D37C4F-C385-43C1-9C50-332DF720AC81}"/>
    <cellStyle name="Normal 9 3 2 2 5 4" xfId="11241" xr:uid="{5F5C60DA-9D1C-4695-BA3C-0B6D049246C0}"/>
    <cellStyle name="Normal 9 3 2 2 5 5" xfId="19682" xr:uid="{20751ABA-BBBE-4D46-A97C-AE181A6A8BFE}"/>
    <cellStyle name="Normal 9 3 2 2 5 6" xfId="28122" xr:uid="{355EA849-4A50-4CF4-A49E-85BF31035C8F}"/>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155A8B0F-5680-4BB7-A0BD-5ED6B1D4E8ED}"/>
    <cellStyle name="Normal 9 3 2 2 6 2 2 3" xfId="26457" xr:uid="{CF613687-D441-4563-9A36-4AD94065AE80}"/>
    <cellStyle name="Normal 9 3 2 2 6 2 2 4" xfId="34897" xr:uid="{507C5C45-425E-4A9A-974A-27F87A8FA014}"/>
    <cellStyle name="Normal 9 3 2 2 6 2 3" xfId="13799" xr:uid="{3D5C2136-AF65-4B9E-A1A0-65AA044BC2D8}"/>
    <cellStyle name="Normal 9 3 2 2 6 2 4" xfId="22240" xr:uid="{B247E87D-54FB-4FA5-96F0-278A99DCD3BB}"/>
    <cellStyle name="Normal 9 3 2 2 6 2 5" xfId="30680" xr:uid="{0BF364CD-18ED-4835-A38D-2E9C7CE0C833}"/>
    <cellStyle name="Normal 9 3 2 2 6 3" xfId="6545" xr:uid="{00000000-0005-0000-0000-0000CF1F0000}"/>
    <cellStyle name="Normal 9 3 2 2 6 3 2" xfId="15871" xr:uid="{DE2CB5EE-341E-4294-ABA6-24AA75DF6883}"/>
    <cellStyle name="Normal 9 3 2 2 6 3 3" xfId="24312" xr:uid="{8D7A1412-1C8D-4753-BB83-7C02C7825E08}"/>
    <cellStyle name="Normal 9 3 2 2 6 3 4" xfId="32752" xr:uid="{FBFC775E-F8EC-40C6-A962-219A6A1DABF3}"/>
    <cellStyle name="Normal 9 3 2 2 6 4" xfId="11654" xr:uid="{D4204856-878E-4308-8732-BC3ECAEA4EA3}"/>
    <cellStyle name="Normal 9 3 2 2 6 5" xfId="20095" xr:uid="{C42E882F-0D7E-44A6-9E05-FBFC88FE5777}"/>
    <cellStyle name="Normal 9 3 2 2 6 6" xfId="28535" xr:uid="{FF2E6263-C21C-4851-888B-DD87DD15C06C}"/>
    <cellStyle name="Normal 9 3 2 2 7" xfId="2675" xr:uid="{00000000-0005-0000-0000-0000D01F0000}"/>
    <cellStyle name="Normal 9 3 2 2 7 2" xfId="6958" xr:uid="{00000000-0005-0000-0000-0000D11F0000}"/>
    <cellStyle name="Normal 9 3 2 2 7 2 2" xfId="16284" xr:uid="{23031355-D628-4E01-8351-C113E1741A91}"/>
    <cellStyle name="Normal 9 3 2 2 7 2 3" xfId="24725" xr:uid="{7D3770B3-279C-48B5-85CD-5764AFCA1F8E}"/>
    <cellStyle name="Normal 9 3 2 2 7 2 4" xfId="33165" xr:uid="{FCE76E8C-3370-47E0-A371-B379F5D695F9}"/>
    <cellStyle name="Normal 9 3 2 2 7 3" xfId="12067" xr:uid="{5BAB2B4F-9827-422D-B2E9-F9BA350B04F2}"/>
    <cellStyle name="Normal 9 3 2 2 7 4" xfId="20508" xr:uid="{DF650BDB-83AA-4E6C-AC51-BF7DB82524C2}"/>
    <cellStyle name="Normal 9 3 2 2 7 5" xfId="28948" xr:uid="{485D96B8-1F3F-4965-A29A-B54DE20366EF}"/>
    <cellStyle name="Normal 9 3 2 2 8" xfId="4893" xr:uid="{00000000-0005-0000-0000-0000D21F0000}"/>
    <cellStyle name="Normal 9 3 2 2 8 2" xfId="14219" xr:uid="{8F613DA3-F354-45B8-AD99-AFFCEB35B40F}"/>
    <cellStyle name="Normal 9 3 2 2 8 3" xfId="22660" xr:uid="{078467CD-98E8-45BC-889B-299F0E3B499C}"/>
    <cellStyle name="Normal 9 3 2 2 8 4" xfId="31100" xr:uid="{9881F03F-0278-45D0-BED8-BE3E975A687B}"/>
    <cellStyle name="Normal 9 3 2 2 9" xfId="8943" xr:uid="{1E59706A-169E-45B8-A6E4-1A0514B9DDBD}"/>
    <cellStyle name="Normal 9 3 2 3" xfId="531" xr:uid="{00000000-0005-0000-0000-0000D31F0000}"/>
    <cellStyle name="Normal 9 3 2 3 10" xfId="18445" xr:uid="{08A8D03F-44BC-44C6-9DFB-F0DB9CA02A1E}"/>
    <cellStyle name="Normal 9 3 2 3 11" xfId="26885" xr:uid="{005E8C68-0BAE-4A61-ABC0-1B18A753ED13}"/>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A729B9E4-EDE0-4045-847E-77DA41F9DD3B}"/>
    <cellStyle name="Normal 9 3 2 3 2 2 2 3" xfId="25220" xr:uid="{4BE841C6-75E0-4635-9AB1-7F29721A64E9}"/>
    <cellStyle name="Normal 9 3 2 3 2 2 2 4" xfId="33660" xr:uid="{AB1816B0-113D-424E-8559-F1C1B4795E6B}"/>
    <cellStyle name="Normal 9 3 2 3 2 2 3" xfId="12562" xr:uid="{927B179F-B4D5-40D5-9E05-67D4E260A176}"/>
    <cellStyle name="Normal 9 3 2 3 2 2 4" xfId="21003" xr:uid="{9214D791-0DE1-43F7-B7DD-13D3D06041B9}"/>
    <cellStyle name="Normal 9 3 2 3 2 2 5" xfId="29443" xr:uid="{84E41E60-89BB-4CEE-BBDC-853EDA540E5E}"/>
    <cellStyle name="Normal 9 3 2 3 2 3" xfId="5308" xr:uid="{00000000-0005-0000-0000-0000D71F0000}"/>
    <cellStyle name="Normal 9 3 2 3 2 3 2" xfId="14634" xr:uid="{CB5A021C-6B28-48E6-8413-A17CC4828876}"/>
    <cellStyle name="Normal 9 3 2 3 2 3 3" xfId="23075" xr:uid="{F250972E-BB2D-4185-9050-779810A44019}"/>
    <cellStyle name="Normal 9 3 2 3 2 3 4" xfId="31515" xr:uid="{71D14857-5C2C-456D-9B6C-1966DC9218C6}"/>
    <cellStyle name="Normal 9 3 2 3 2 4" xfId="9472" xr:uid="{427A8E71-9BC4-47C0-A855-6886AF96C97E}"/>
    <cellStyle name="Normal 9 3 2 3 2 5" xfId="10417" xr:uid="{FC71760E-2791-4BBE-B361-0EFEE0DCB487}"/>
    <cellStyle name="Normal 9 3 2 3 2 6" xfId="18858" xr:uid="{13D8F24D-FC63-4D0D-91B6-AC6593900940}"/>
    <cellStyle name="Normal 9 3 2 3 2 7" xfId="27298" xr:uid="{C525622A-5248-4BE8-B4A3-F5A226D76AC0}"/>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21BF599F-0FD0-4C49-9947-5B45EDFE29FE}"/>
    <cellStyle name="Normal 9 3 2 3 3 2 2 3" xfId="25633" xr:uid="{847D17AB-B31F-48C3-9B73-82210E749AC0}"/>
    <cellStyle name="Normal 9 3 2 3 3 2 2 4" xfId="34073" xr:uid="{8D35A161-6BB2-42D5-B7B7-09589054890E}"/>
    <cellStyle name="Normal 9 3 2 3 3 2 3" xfId="12975" xr:uid="{980E0B7A-D690-40D5-8702-1374B0DF8876}"/>
    <cellStyle name="Normal 9 3 2 3 3 2 4" xfId="21416" xr:uid="{2FF4DD17-B867-4B8E-9620-9809B97057B9}"/>
    <cellStyle name="Normal 9 3 2 3 3 2 5" xfId="29856" xr:uid="{4CE318B3-CDAC-417F-A374-D17B9DECE81D}"/>
    <cellStyle name="Normal 9 3 2 3 3 3" xfId="5721" xr:uid="{00000000-0005-0000-0000-0000DB1F0000}"/>
    <cellStyle name="Normal 9 3 2 3 3 3 2" xfId="15047" xr:uid="{2A166479-A461-49CF-8BBA-B46CB38DE018}"/>
    <cellStyle name="Normal 9 3 2 3 3 3 3" xfId="23488" xr:uid="{1C771AC5-FC7D-4983-B1E8-E55F3053E201}"/>
    <cellStyle name="Normal 9 3 2 3 3 3 4" xfId="31928" xr:uid="{D62F88BE-FDE9-40AD-9123-42A554C0AA11}"/>
    <cellStyle name="Normal 9 3 2 3 3 4" xfId="10830" xr:uid="{7D090658-7F25-47BE-9492-99AD10CB86A4}"/>
    <cellStyle name="Normal 9 3 2 3 3 5" xfId="19271" xr:uid="{5A10F1BC-AB79-429B-A40B-8BD1F973F747}"/>
    <cellStyle name="Normal 9 3 2 3 3 6" xfId="27711" xr:uid="{AA62116A-0551-4A7B-B1E2-606CFCB284E3}"/>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57BA9CB7-2337-448F-BBF9-5534290F4619}"/>
    <cellStyle name="Normal 9 3 2 3 4 2 2 3" xfId="26046" xr:uid="{63299A88-6F79-4E26-ADB9-E2D1271500A2}"/>
    <cellStyle name="Normal 9 3 2 3 4 2 2 4" xfId="34486" xr:uid="{FDE9310E-3F4D-4DDC-9FCB-3232FF1E0AC0}"/>
    <cellStyle name="Normal 9 3 2 3 4 2 3" xfId="13388" xr:uid="{95FA980F-40C2-41D6-8EC7-83F32ECDB134}"/>
    <cellStyle name="Normal 9 3 2 3 4 2 4" xfId="21829" xr:uid="{ACB99081-0363-4F24-97B4-7F5EB024E674}"/>
    <cellStyle name="Normal 9 3 2 3 4 2 5" xfId="30269" xr:uid="{6BC8CCB3-6C20-47C9-BA7F-B78E3FC48F77}"/>
    <cellStyle name="Normal 9 3 2 3 4 3" xfId="6134" xr:uid="{00000000-0005-0000-0000-0000DF1F0000}"/>
    <cellStyle name="Normal 9 3 2 3 4 3 2" xfId="15460" xr:uid="{E85D76D0-8CC4-4303-82E2-9FD5B5B25CE0}"/>
    <cellStyle name="Normal 9 3 2 3 4 3 3" xfId="23901" xr:uid="{33E02A26-8D6E-47D2-9111-198811D48E59}"/>
    <cellStyle name="Normal 9 3 2 3 4 3 4" xfId="32341" xr:uid="{26BC2524-75ED-45F1-908E-085311120968}"/>
    <cellStyle name="Normal 9 3 2 3 4 4" xfId="11243" xr:uid="{EA755C01-6E1F-47DD-A3C9-9B8BCBA96868}"/>
    <cellStyle name="Normal 9 3 2 3 4 5" xfId="19684" xr:uid="{6F3A30BA-B574-4B41-819E-31FEB1C420CD}"/>
    <cellStyle name="Normal 9 3 2 3 4 6" xfId="28124" xr:uid="{0E7619D8-539A-4297-BF97-2F76BBF7F220}"/>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532BE3DA-983D-402F-8D96-30AA486A833F}"/>
    <cellStyle name="Normal 9 3 2 3 5 2 2 3" xfId="26459" xr:uid="{D116DB7F-967D-490B-AE72-C2FA97F911A1}"/>
    <cellStyle name="Normal 9 3 2 3 5 2 2 4" xfId="34899" xr:uid="{1C5B7918-4417-4A1A-8366-ABF62E937B18}"/>
    <cellStyle name="Normal 9 3 2 3 5 2 3" xfId="13801" xr:uid="{FD6C14A0-1365-4E83-9054-3B47CD1FB0C2}"/>
    <cellStyle name="Normal 9 3 2 3 5 2 4" xfId="22242" xr:uid="{7ACE8F16-64A0-43C3-90D8-B4032FF283DF}"/>
    <cellStyle name="Normal 9 3 2 3 5 2 5" xfId="30682" xr:uid="{C95B5225-133D-41EF-844C-D1CCF117FD5D}"/>
    <cellStyle name="Normal 9 3 2 3 5 3" xfId="6547" xr:uid="{00000000-0005-0000-0000-0000E31F0000}"/>
    <cellStyle name="Normal 9 3 2 3 5 3 2" xfId="15873" xr:uid="{C4B52053-65CC-430D-9AB3-E4741A604A82}"/>
    <cellStyle name="Normal 9 3 2 3 5 3 3" xfId="24314" xr:uid="{44464C14-1DFF-42BE-BA90-98BF53237329}"/>
    <cellStyle name="Normal 9 3 2 3 5 3 4" xfId="32754" xr:uid="{CD427255-E81B-46E9-B0B2-E4DD3E5A3AC3}"/>
    <cellStyle name="Normal 9 3 2 3 5 4" xfId="11656" xr:uid="{8626ECF9-19BB-4399-82B9-D22C048886F9}"/>
    <cellStyle name="Normal 9 3 2 3 5 5" xfId="20097" xr:uid="{5100D7DB-70BD-48C5-A6FB-6D40F1E38703}"/>
    <cellStyle name="Normal 9 3 2 3 5 6" xfId="28537" xr:uid="{2C8BF381-9F16-4D26-8285-6D96B9AD84F6}"/>
    <cellStyle name="Normal 9 3 2 3 6" xfId="2677" xr:uid="{00000000-0005-0000-0000-0000E41F0000}"/>
    <cellStyle name="Normal 9 3 2 3 6 2" xfId="6960" xr:uid="{00000000-0005-0000-0000-0000E51F0000}"/>
    <cellStyle name="Normal 9 3 2 3 6 2 2" xfId="16286" xr:uid="{6924AB5D-9D93-4853-9A4A-3BBCC1EC84F1}"/>
    <cellStyle name="Normal 9 3 2 3 6 2 3" xfId="24727" xr:uid="{79AA8E11-E590-45FE-921C-CFC6B523FB60}"/>
    <cellStyle name="Normal 9 3 2 3 6 2 4" xfId="33167" xr:uid="{FC520B30-DE40-480C-BE5E-A8BFCD81E58D}"/>
    <cellStyle name="Normal 9 3 2 3 6 3" xfId="12069" xr:uid="{314D9D69-5D6B-4CF2-9755-D00289905183}"/>
    <cellStyle name="Normal 9 3 2 3 6 4" xfId="20510" xr:uid="{00A92805-C650-4DC3-8E7B-923D156E10B2}"/>
    <cellStyle name="Normal 9 3 2 3 6 5" xfId="28950" xr:uid="{EB8ACB96-AC4B-4550-9765-227F16F3FFFA}"/>
    <cellStyle name="Normal 9 3 2 3 7" xfId="4895" xr:uid="{00000000-0005-0000-0000-0000E61F0000}"/>
    <cellStyle name="Normal 9 3 2 3 7 2" xfId="14221" xr:uid="{A6843B2A-A381-46F8-ABDD-C2C01AA9DD9E}"/>
    <cellStyle name="Normal 9 3 2 3 7 3" xfId="22662" xr:uid="{98AD2610-2AF3-40E1-8EAB-5FB2E88D63BC}"/>
    <cellStyle name="Normal 9 3 2 3 7 4" xfId="31102" xr:uid="{BE89DD80-D246-49DA-92D3-2D921234547F}"/>
    <cellStyle name="Normal 9 3 2 3 8" xfId="9047" xr:uid="{4CBBBE80-D24B-484D-910E-0072EA0E95DD}"/>
    <cellStyle name="Normal 9 3 2 3 9" xfId="10004" xr:uid="{7F604CCB-D1C4-4C6E-AE36-F87A90D30660}"/>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A333790C-4E87-4955-BD23-D150AFB56072}"/>
    <cellStyle name="Normal 9 3 2 4 2 2 3" xfId="25217" xr:uid="{11109FD2-3147-477E-A7A0-9B72974180D8}"/>
    <cellStyle name="Normal 9 3 2 4 2 2 4" xfId="33657" xr:uid="{A89288B2-052E-4D42-9DF9-238DA0DCB364}"/>
    <cellStyle name="Normal 9 3 2 4 2 3" xfId="12559" xr:uid="{E5A4D784-6A59-4355-84A0-A363DB1DDCAF}"/>
    <cellStyle name="Normal 9 3 2 4 2 4" xfId="21000" xr:uid="{261D1EC7-5563-48F3-8D24-71EC2E8BF580}"/>
    <cellStyle name="Normal 9 3 2 4 2 5" xfId="29440" xr:uid="{A7FD80E3-94C7-4C70-87CA-15891EEFD2C6}"/>
    <cellStyle name="Normal 9 3 2 4 3" xfId="5305" xr:uid="{00000000-0005-0000-0000-0000EA1F0000}"/>
    <cellStyle name="Normal 9 3 2 4 3 2" xfId="14631" xr:uid="{46712F07-B6A6-4B03-8644-6A10F8646476}"/>
    <cellStyle name="Normal 9 3 2 4 3 3" xfId="23072" xr:uid="{7B28DF2B-ADC9-4E20-94FD-B625553F2EC8}"/>
    <cellStyle name="Normal 9 3 2 4 3 4" xfId="31512" xr:uid="{2E0379DC-141A-4BDE-8C70-0BE78C2472F9}"/>
    <cellStyle name="Normal 9 3 2 4 4" xfId="9265" xr:uid="{BF00A9B8-67BA-48F6-8D48-0E4380D60577}"/>
    <cellStyle name="Normal 9 3 2 4 5" xfId="10414" xr:uid="{6FDF4FEB-B983-42D6-9FDE-4A6E0AA0029E}"/>
    <cellStyle name="Normal 9 3 2 4 6" xfId="18855" xr:uid="{2DBD64FC-3E9C-4C18-94CC-9F838E8D1BE7}"/>
    <cellStyle name="Normal 9 3 2 4 7" xfId="27295" xr:uid="{AD8D6E4A-A05E-492B-A2AB-41CECD5654E3}"/>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32A1AA03-F9B1-4009-965F-7E7A1A4CB430}"/>
    <cellStyle name="Normal 9 3 2 5 2 2 3" xfId="25630" xr:uid="{3E01D9E7-7D85-458A-8060-98257D4ACEEB}"/>
    <cellStyle name="Normal 9 3 2 5 2 2 4" xfId="34070" xr:uid="{F8139982-2EE6-40B7-98D8-1A53EC0C6CD2}"/>
    <cellStyle name="Normal 9 3 2 5 2 3" xfId="12972" xr:uid="{78369F94-04A4-4C1C-BD40-B4812C677A9F}"/>
    <cellStyle name="Normal 9 3 2 5 2 4" xfId="21413" xr:uid="{34FC2629-3081-469C-B9B9-400896C47B93}"/>
    <cellStyle name="Normal 9 3 2 5 2 5" xfId="29853" xr:uid="{08658A5C-ABEC-4BC4-B4DE-EDEEC4249E9C}"/>
    <cellStyle name="Normal 9 3 2 5 3" xfId="5718" xr:uid="{00000000-0005-0000-0000-0000EE1F0000}"/>
    <cellStyle name="Normal 9 3 2 5 3 2" xfId="15044" xr:uid="{E4BB0185-4199-462A-A75C-BBB5ACD89B16}"/>
    <cellStyle name="Normal 9 3 2 5 3 3" xfId="23485" xr:uid="{36875271-CABF-4AC2-BFA6-CAA7E09E9098}"/>
    <cellStyle name="Normal 9 3 2 5 3 4" xfId="31925" xr:uid="{2E9DED72-8DDC-4103-B6A3-16D91D456E3E}"/>
    <cellStyle name="Normal 9 3 2 5 4" xfId="10827" xr:uid="{58CFAD3E-E351-4554-A66C-C4DA99A10AC3}"/>
    <cellStyle name="Normal 9 3 2 5 5" xfId="19268" xr:uid="{878D220C-3DD5-4848-9E62-00D4AE5B2E5C}"/>
    <cellStyle name="Normal 9 3 2 5 6" xfId="27708" xr:uid="{61E0860F-AEC3-4489-9BBC-DFEA7EBE156E}"/>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E9977EAD-6F9F-426C-B5D7-B7221D503FD6}"/>
    <cellStyle name="Normal 9 3 2 6 2 2 3" xfId="26043" xr:uid="{3EEB2625-C922-45EB-8C55-9664EAB9D507}"/>
    <cellStyle name="Normal 9 3 2 6 2 2 4" xfId="34483" xr:uid="{44B08085-AEF4-4996-BF01-D38DEAF59066}"/>
    <cellStyle name="Normal 9 3 2 6 2 3" xfId="13385" xr:uid="{3342291A-A452-4CF9-885B-A0984874D4BC}"/>
    <cellStyle name="Normal 9 3 2 6 2 4" xfId="21826" xr:uid="{FD944B97-89E0-4134-BBFE-46743A4F7E5B}"/>
    <cellStyle name="Normal 9 3 2 6 2 5" xfId="30266" xr:uid="{8C8629BB-9FEF-4C0D-BF32-527494167669}"/>
    <cellStyle name="Normal 9 3 2 6 3" xfId="6131" xr:uid="{00000000-0005-0000-0000-0000F21F0000}"/>
    <cellStyle name="Normal 9 3 2 6 3 2" xfId="15457" xr:uid="{F57A2850-73FF-42F3-9951-B4A476E92B48}"/>
    <cellStyle name="Normal 9 3 2 6 3 3" xfId="23898" xr:uid="{DE71ACDA-4B90-4268-AF6F-2AC925B81C49}"/>
    <cellStyle name="Normal 9 3 2 6 3 4" xfId="32338" xr:uid="{0B054ABC-7D4B-4620-9F3D-A0A4F421DC39}"/>
    <cellStyle name="Normal 9 3 2 6 4" xfId="11240" xr:uid="{59189D77-51F7-46E8-958C-6C14730ACF9C}"/>
    <cellStyle name="Normal 9 3 2 6 5" xfId="19681" xr:uid="{403E30BB-438B-4EC3-BC75-FEEF9AE9975A}"/>
    <cellStyle name="Normal 9 3 2 6 6" xfId="28121" xr:uid="{19789339-4C3B-4A7B-84F6-21C585333078}"/>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CE7DE4BD-3107-4F77-833A-C1AA24B9CFD5}"/>
    <cellStyle name="Normal 9 3 2 7 2 2 3" xfId="26456" xr:uid="{CAFE0C85-2F79-4A7E-939F-CBA9D9E26A1F}"/>
    <cellStyle name="Normal 9 3 2 7 2 2 4" xfId="34896" xr:uid="{00DC887F-4D08-416D-A254-CFF417A03946}"/>
    <cellStyle name="Normal 9 3 2 7 2 3" xfId="13798" xr:uid="{7A050954-A11C-4612-A8EF-E3ED05E59CA3}"/>
    <cellStyle name="Normal 9 3 2 7 2 4" xfId="22239" xr:uid="{1F1DCC77-8DDE-49F0-9869-9B2FF109310C}"/>
    <cellStyle name="Normal 9 3 2 7 2 5" xfId="30679" xr:uid="{66B6B166-B4EA-48E7-B99A-4ADB1A6B07AF}"/>
    <cellStyle name="Normal 9 3 2 7 3" xfId="6544" xr:uid="{00000000-0005-0000-0000-0000F61F0000}"/>
    <cellStyle name="Normal 9 3 2 7 3 2" xfId="15870" xr:uid="{04E792ED-E75C-412E-82F9-CF2B0F6D2DC7}"/>
    <cellStyle name="Normal 9 3 2 7 3 3" xfId="24311" xr:uid="{957E9E10-BEFA-4206-A0D7-FADD4BA9078C}"/>
    <cellStyle name="Normal 9 3 2 7 3 4" xfId="32751" xr:uid="{51C62B50-9DCC-48BA-9383-ABB0D1F89862}"/>
    <cellStyle name="Normal 9 3 2 7 4" xfId="11653" xr:uid="{CA6925F9-D025-44C0-B88D-A6BED313DB13}"/>
    <cellStyle name="Normal 9 3 2 7 5" xfId="20094" xr:uid="{6A678788-26A9-4CAD-B79B-E133BF83C938}"/>
    <cellStyle name="Normal 9 3 2 7 6" xfId="28534" xr:uid="{F451EC1D-1AAE-424E-B0AC-AF6CE1D3A121}"/>
    <cellStyle name="Normal 9 3 2 8" xfId="2674" xr:uid="{00000000-0005-0000-0000-0000F71F0000}"/>
    <cellStyle name="Normal 9 3 2 8 2" xfId="6957" xr:uid="{00000000-0005-0000-0000-0000F81F0000}"/>
    <cellStyle name="Normal 9 3 2 8 2 2" xfId="16283" xr:uid="{A9C736C5-3CF1-4CA1-8C18-6509959BDDC2}"/>
    <cellStyle name="Normal 9 3 2 8 2 3" xfId="24724" xr:uid="{AAC94BA4-68B3-42C6-B028-2EEBF2A9E65A}"/>
    <cellStyle name="Normal 9 3 2 8 2 4" xfId="33164" xr:uid="{63CCCF46-FE28-4472-8506-A1E95E2B4D58}"/>
    <cellStyle name="Normal 9 3 2 8 3" xfId="12066" xr:uid="{87ADD5E0-D492-4FC5-B5C4-88D7371EEF2C}"/>
    <cellStyle name="Normal 9 3 2 8 4" xfId="20507" xr:uid="{775A7460-11B4-49CA-A6C3-D9FB417B51DC}"/>
    <cellStyle name="Normal 9 3 2 8 5" xfId="28947" xr:uid="{3CD710BD-FA8D-4C24-A7C6-C05EA90029E6}"/>
    <cellStyle name="Normal 9 3 2 9" xfId="4892" xr:uid="{00000000-0005-0000-0000-0000F91F0000}"/>
    <cellStyle name="Normal 9 3 2 9 2" xfId="14218" xr:uid="{55C66766-58F6-40EC-9D10-34122D56B413}"/>
    <cellStyle name="Normal 9 3 2 9 3" xfId="22659" xr:uid="{A29C01C3-EE53-41B4-85DE-87FFE967DF8F}"/>
    <cellStyle name="Normal 9 3 2 9 4" xfId="31099" xr:uid="{6DFACEAD-1957-4FF7-BD8F-BEDC14764C89}"/>
    <cellStyle name="Normal 9 3 3" xfId="532" xr:uid="{00000000-0005-0000-0000-0000FA1F0000}"/>
    <cellStyle name="Normal 9 3 3 10" xfId="10005" xr:uid="{3EF6DEDA-3E1B-47FC-B240-9D16985FE5CE}"/>
    <cellStyle name="Normal 9 3 3 11" xfId="18446" xr:uid="{35275DE2-1D96-4980-ADE2-39845AF02ACB}"/>
    <cellStyle name="Normal 9 3 3 12" xfId="26886" xr:uid="{A4581591-9B97-407D-BA6F-76608F6E4F6F}"/>
    <cellStyle name="Normal 9 3 3 2" xfId="533" xr:uid="{00000000-0005-0000-0000-0000FB1F0000}"/>
    <cellStyle name="Normal 9 3 3 2 10" xfId="18447" xr:uid="{7C02DC04-980D-4FDE-9ED7-F52634FB8685}"/>
    <cellStyle name="Normal 9 3 3 2 11" xfId="26887" xr:uid="{FF528D4E-16BE-4C37-B939-144532A28E65}"/>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FCE144D7-FB22-4768-87A6-BC1591B418A2}"/>
    <cellStyle name="Normal 9 3 3 2 2 2 2 3" xfId="25222" xr:uid="{F0CCC75E-8536-421E-BE38-AB5FC4DDFEB6}"/>
    <cellStyle name="Normal 9 3 3 2 2 2 2 4" xfId="33662" xr:uid="{A52F6D1A-4AD1-460F-8E2A-940304BC365C}"/>
    <cellStyle name="Normal 9 3 3 2 2 2 3" xfId="12564" xr:uid="{414B2031-F4D0-4755-AAC7-D21A9504CBB9}"/>
    <cellStyle name="Normal 9 3 3 2 2 2 4" xfId="21005" xr:uid="{64DC3892-2D53-43EB-AFD6-E65E68550A06}"/>
    <cellStyle name="Normal 9 3 3 2 2 2 5" xfId="29445" xr:uid="{0F79B920-2D63-42E1-9F30-90E6F0AD26E6}"/>
    <cellStyle name="Normal 9 3 3 2 2 3" xfId="5310" xr:uid="{00000000-0005-0000-0000-0000FF1F0000}"/>
    <cellStyle name="Normal 9 3 3 2 2 3 2" xfId="14636" xr:uid="{2AC2AB8D-C16A-480F-AB50-14D743423F4B}"/>
    <cellStyle name="Normal 9 3 3 2 2 3 3" xfId="23077" xr:uid="{B6D1C5FD-4D14-4D28-95C5-B2264EBB4B6B}"/>
    <cellStyle name="Normal 9 3 3 2 2 3 4" xfId="31517" xr:uid="{6FA9C34B-CAA1-429F-9291-D8027D50405F}"/>
    <cellStyle name="Normal 9 3 3 2 2 4" xfId="9512" xr:uid="{2D87B26D-94B2-43FF-B3AD-59DF0A117D21}"/>
    <cellStyle name="Normal 9 3 3 2 2 5" xfId="10419" xr:uid="{CE4A409E-2950-463E-B414-E56443774A66}"/>
    <cellStyle name="Normal 9 3 3 2 2 6" xfId="18860" xr:uid="{B584093A-6BD8-4964-AF1D-9E1A63EDCD82}"/>
    <cellStyle name="Normal 9 3 3 2 2 7" xfId="27300" xr:uid="{44EA2AA8-2E37-442E-BCBA-73E239C7FF62}"/>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CEBA9701-76BD-4667-A952-3E5828B49EE1}"/>
    <cellStyle name="Normal 9 3 3 2 3 2 2 3" xfId="25635" xr:uid="{7E3B87CB-6750-4CA4-B79D-DFF3B33B142F}"/>
    <cellStyle name="Normal 9 3 3 2 3 2 2 4" xfId="34075" xr:uid="{7E150BC3-B6CE-474E-B1B7-A2E7144FEE8E}"/>
    <cellStyle name="Normal 9 3 3 2 3 2 3" xfId="12977" xr:uid="{62A74549-8C53-41C8-AE8C-01E6D9642D7E}"/>
    <cellStyle name="Normal 9 3 3 2 3 2 4" xfId="21418" xr:uid="{89E2A288-6E0D-4420-B4BD-2793C1CB568F}"/>
    <cellStyle name="Normal 9 3 3 2 3 2 5" xfId="29858" xr:uid="{4FB00769-47F2-432D-904D-DCE6A0FC0F06}"/>
    <cellStyle name="Normal 9 3 3 2 3 3" xfId="5723" xr:uid="{00000000-0005-0000-0000-000003200000}"/>
    <cellStyle name="Normal 9 3 3 2 3 3 2" xfId="15049" xr:uid="{A21D675C-1A4D-4625-A5AA-590E839C8BD9}"/>
    <cellStyle name="Normal 9 3 3 2 3 3 3" xfId="23490" xr:uid="{40B37213-F7C8-4C7B-96D5-793CE5E29FE0}"/>
    <cellStyle name="Normal 9 3 3 2 3 3 4" xfId="31930" xr:uid="{7430F613-12CB-4A03-8C35-0EA1FF3E6E55}"/>
    <cellStyle name="Normal 9 3 3 2 3 4" xfId="10832" xr:uid="{6DBE1C74-5B6A-452F-98AB-5659A6D952E0}"/>
    <cellStyle name="Normal 9 3 3 2 3 5" xfId="19273" xr:uid="{FB8B6359-B275-40BC-A960-A777E86CDB09}"/>
    <cellStyle name="Normal 9 3 3 2 3 6" xfId="27713" xr:uid="{71859501-8F8A-4745-943C-8FB20CCA7048}"/>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1CFDF43F-2607-4F16-9F7D-946C4F67BD18}"/>
    <cellStyle name="Normal 9 3 3 2 4 2 2 3" xfId="26048" xr:uid="{1BC6ED2C-0A33-4DDA-8E73-66288A71B952}"/>
    <cellStyle name="Normal 9 3 3 2 4 2 2 4" xfId="34488" xr:uid="{86ACEA8A-1257-4EBD-B1CF-8C9DCD122280}"/>
    <cellStyle name="Normal 9 3 3 2 4 2 3" xfId="13390" xr:uid="{290ECF9B-785A-4CE8-B07D-86EE0170AD7B}"/>
    <cellStyle name="Normal 9 3 3 2 4 2 4" xfId="21831" xr:uid="{1B9C2366-3B0C-4E9D-89FA-43ED1D6EAFEC}"/>
    <cellStyle name="Normal 9 3 3 2 4 2 5" xfId="30271" xr:uid="{C5AEE8EB-181B-4B23-B320-DE1C986AF8CF}"/>
    <cellStyle name="Normal 9 3 3 2 4 3" xfId="6136" xr:uid="{00000000-0005-0000-0000-000007200000}"/>
    <cellStyle name="Normal 9 3 3 2 4 3 2" xfId="15462" xr:uid="{175B54C7-236B-497C-83C6-78250E8076E0}"/>
    <cellStyle name="Normal 9 3 3 2 4 3 3" xfId="23903" xr:uid="{19BFEE99-10B9-448E-AE99-121A95B0561D}"/>
    <cellStyle name="Normal 9 3 3 2 4 3 4" xfId="32343" xr:uid="{10076D32-A738-44A0-A9BF-6B4284BC730C}"/>
    <cellStyle name="Normal 9 3 3 2 4 4" xfId="11245" xr:uid="{5FD6A2C4-505B-48BA-81AC-3691049613A5}"/>
    <cellStyle name="Normal 9 3 3 2 4 5" xfId="19686" xr:uid="{ABA6DDF9-4326-4C18-B2E7-43B43630A9C7}"/>
    <cellStyle name="Normal 9 3 3 2 4 6" xfId="28126" xr:uid="{19535190-480B-4100-9DC1-EA73A2085008}"/>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79AF6723-BEF2-49D8-B907-F9467416D1E0}"/>
    <cellStyle name="Normal 9 3 3 2 5 2 2 3" xfId="26461" xr:uid="{96D04247-8656-4E09-8EFA-FD980134A269}"/>
    <cellStyle name="Normal 9 3 3 2 5 2 2 4" xfId="34901" xr:uid="{BA45F3DC-8E25-4E9F-8373-197FC1C66832}"/>
    <cellStyle name="Normal 9 3 3 2 5 2 3" xfId="13803" xr:uid="{EDEF5626-93AC-430F-975E-4E1893D77417}"/>
    <cellStyle name="Normal 9 3 3 2 5 2 4" xfId="22244" xr:uid="{2CD75EFC-39F9-4226-B4A7-99561CAC3DE8}"/>
    <cellStyle name="Normal 9 3 3 2 5 2 5" xfId="30684" xr:uid="{FF9EC38C-CBAF-41E7-B59F-EC2AED3756F1}"/>
    <cellStyle name="Normal 9 3 3 2 5 3" xfId="6549" xr:uid="{00000000-0005-0000-0000-00000B200000}"/>
    <cellStyle name="Normal 9 3 3 2 5 3 2" xfId="15875" xr:uid="{C94D0B73-E815-484B-B20D-22BE1AD9DD53}"/>
    <cellStyle name="Normal 9 3 3 2 5 3 3" xfId="24316" xr:uid="{B7D9564D-D100-424C-8DAE-184D26186333}"/>
    <cellStyle name="Normal 9 3 3 2 5 3 4" xfId="32756" xr:uid="{F82B679C-7222-4A23-A948-189DB4BDE0C7}"/>
    <cellStyle name="Normal 9 3 3 2 5 4" xfId="11658" xr:uid="{DD96AD05-B38A-4389-BC53-236C6EA7C4DF}"/>
    <cellStyle name="Normal 9 3 3 2 5 5" xfId="20099" xr:uid="{68412DD2-6B95-4F32-920B-D5C55B778DCC}"/>
    <cellStyle name="Normal 9 3 3 2 5 6" xfId="28539" xr:uid="{77E6C5C8-5C6D-49D0-A80B-0DE4F46C1A68}"/>
    <cellStyle name="Normal 9 3 3 2 6" xfId="2679" xr:uid="{00000000-0005-0000-0000-00000C200000}"/>
    <cellStyle name="Normal 9 3 3 2 6 2" xfId="6962" xr:uid="{00000000-0005-0000-0000-00000D200000}"/>
    <cellStyle name="Normal 9 3 3 2 6 2 2" xfId="16288" xr:uid="{B95D27EA-0545-4887-B744-A41C366B0FC9}"/>
    <cellStyle name="Normal 9 3 3 2 6 2 3" xfId="24729" xr:uid="{DF807F95-E82D-4377-B4CB-CD163A8B1CE0}"/>
    <cellStyle name="Normal 9 3 3 2 6 2 4" xfId="33169" xr:uid="{D5135EC6-94F3-46CF-BB4F-A45121E7CAFC}"/>
    <cellStyle name="Normal 9 3 3 2 6 3" xfId="12071" xr:uid="{CF276519-01F0-4F9D-850E-F14603E31893}"/>
    <cellStyle name="Normal 9 3 3 2 6 4" xfId="20512" xr:uid="{6D0AA630-2BC1-421F-BFBB-8AC2F9825278}"/>
    <cellStyle name="Normal 9 3 3 2 6 5" xfId="28952" xr:uid="{19BC8E82-6700-4D1D-BDE2-D07425EDD816}"/>
    <cellStyle name="Normal 9 3 3 2 7" xfId="4897" xr:uid="{00000000-0005-0000-0000-00000E200000}"/>
    <cellStyle name="Normal 9 3 3 2 7 2" xfId="14223" xr:uid="{C9D695C6-6E79-4E2C-8AFF-2F6FC7D6DB1C}"/>
    <cellStyle name="Normal 9 3 3 2 7 3" xfId="22664" xr:uid="{5D33E1B7-4E7A-4FA5-AF03-39B9E55E2A4B}"/>
    <cellStyle name="Normal 9 3 3 2 7 4" xfId="31104" xr:uid="{D7E72029-C5B8-4C4F-98E8-175778855E94}"/>
    <cellStyle name="Normal 9 3 3 2 8" xfId="9087" xr:uid="{B1C8DB1F-59B6-4D6A-B3E7-0CFC4D29D9A9}"/>
    <cellStyle name="Normal 9 3 3 2 9" xfId="10006" xr:uid="{9EBACD16-55A7-45E4-B94C-F787A1340538}"/>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E9A01380-F716-4A2A-8EF7-BE2C9E1F4228}"/>
    <cellStyle name="Normal 9 3 3 3 2 2 3" xfId="25221" xr:uid="{AA1E05AA-B727-4E95-9995-890160534DCE}"/>
    <cellStyle name="Normal 9 3 3 3 2 2 4" xfId="33661" xr:uid="{0FD4BF94-C2A6-45D1-90DA-DCFA8FA956A4}"/>
    <cellStyle name="Normal 9 3 3 3 2 3" xfId="12563" xr:uid="{A88EF78D-D268-41FF-9963-91F7E9C2D4EA}"/>
    <cellStyle name="Normal 9 3 3 3 2 4" xfId="21004" xr:uid="{64050CBF-A052-4CA9-B3A4-54CB90311CA5}"/>
    <cellStyle name="Normal 9 3 3 3 2 5" xfId="29444" xr:uid="{25000E63-C598-4070-BCFD-90D8EF4890FE}"/>
    <cellStyle name="Normal 9 3 3 3 3" xfId="5309" xr:uid="{00000000-0005-0000-0000-000012200000}"/>
    <cellStyle name="Normal 9 3 3 3 3 2" xfId="14635" xr:uid="{9D37B111-79C0-4D4B-89F1-DD78FAB0BA75}"/>
    <cellStyle name="Normal 9 3 3 3 3 3" xfId="23076" xr:uid="{E9EB806C-C16A-49F0-A686-D06408D05237}"/>
    <cellStyle name="Normal 9 3 3 3 3 4" xfId="31516" xr:uid="{058F18B3-5FEB-410F-B3FC-DB4FFD642A22}"/>
    <cellStyle name="Normal 9 3 3 3 4" xfId="9305" xr:uid="{F54F3A88-B268-4905-B4D1-34B996B920C6}"/>
    <cellStyle name="Normal 9 3 3 3 5" xfId="10418" xr:uid="{04BDE50F-5EE3-44CC-9E79-D0055BDFE996}"/>
    <cellStyle name="Normal 9 3 3 3 6" xfId="18859" xr:uid="{7D8E0D88-8FDC-4E6F-8F76-276FB2E7CB42}"/>
    <cellStyle name="Normal 9 3 3 3 7" xfId="27299" xr:uid="{9ABD4358-3EAF-42B0-9283-BBECC71E5DA0}"/>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C3916C9E-8138-4951-A60A-29EDB653D784}"/>
    <cellStyle name="Normal 9 3 3 4 2 2 3" xfId="25634" xr:uid="{817E493F-17A6-431B-8AE8-C9B19043CD0F}"/>
    <cellStyle name="Normal 9 3 3 4 2 2 4" xfId="34074" xr:uid="{000C2699-B62A-4C7C-9DE0-5EC54E1F0FB3}"/>
    <cellStyle name="Normal 9 3 3 4 2 3" xfId="12976" xr:uid="{DD97DF75-A4A6-4DA7-8BA2-85DEA3601F1A}"/>
    <cellStyle name="Normal 9 3 3 4 2 4" xfId="21417" xr:uid="{2A48901B-11AD-464C-9505-3F35ED293719}"/>
    <cellStyle name="Normal 9 3 3 4 2 5" xfId="29857" xr:uid="{098BDFED-4A41-4964-A5B3-3B1C49704113}"/>
    <cellStyle name="Normal 9 3 3 4 3" xfId="5722" xr:uid="{00000000-0005-0000-0000-000016200000}"/>
    <cellStyle name="Normal 9 3 3 4 3 2" xfId="15048" xr:uid="{0DA888DA-03FB-4881-85A3-EE28071EE0BF}"/>
    <cellStyle name="Normal 9 3 3 4 3 3" xfId="23489" xr:uid="{D8F8E62E-4239-4055-8BE3-C6686A25ABE2}"/>
    <cellStyle name="Normal 9 3 3 4 3 4" xfId="31929" xr:uid="{95812602-AFB3-43C1-8835-CDAFC72C03EF}"/>
    <cellStyle name="Normal 9 3 3 4 4" xfId="10831" xr:uid="{9CE9B630-704A-45BF-BBC6-BC7B68F0E409}"/>
    <cellStyle name="Normal 9 3 3 4 5" xfId="19272" xr:uid="{E4B9E694-FE3E-4112-9055-838C9D5F396B}"/>
    <cellStyle name="Normal 9 3 3 4 6" xfId="27712" xr:uid="{A54AD645-49F8-47E2-98E9-53F53B3F29FF}"/>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277A03F2-FC94-4BB4-AEDE-39BB7211FEB0}"/>
    <cellStyle name="Normal 9 3 3 5 2 2 3" xfId="26047" xr:uid="{DB9A5843-031B-47E5-A098-E43F5973BDAB}"/>
    <cellStyle name="Normal 9 3 3 5 2 2 4" xfId="34487" xr:uid="{61EC54AD-AE23-4A77-BB33-E680CC199F26}"/>
    <cellStyle name="Normal 9 3 3 5 2 3" xfId="13389" xr:uid="{AF8DDB32-4B38-4723-9E30-6880D70C3542}"/>
    <cellStyle name="Normal 9 3 3 5 2 4" xfId="21830" xr:uid="{BDADB2C3-CD3D-43B1-B481-9FB63B594B09}"/>
    <cellStyle name="Normal 9 3 3 5 2 5" xfId="30270" xr:uid="{1791C68B-6435-41DB-8C5A-05E6972B3B7B}"/>
    <cellStyle name="Normal 9 3 3 5 3" xfId="6135" xr:uid="{00000000-0005-0000-0000-00001A200000}"/>
    <cellStyle name="Normal 9 3 3 5 3 2" xfId="15461" xr:uid="{03660444-7E69-4C7E-9B09-E0E46E959686}"/>
    <cellStyle name="Normal 9 3 3 5 3 3" xfId="23902" xr:uid="{C7ED4540-729D-4423-A6A1-812B6D03105E}"/>
    <cellStyle name="Normal 9 3 3 5 3 4" xfId="32342" xr:uid="{CC690725-D11D-49BC-B75D-24E79E3C84A4}"/>
    <cellStyle name="Normal 9 3 3 5 4" xfId="11244" xr:uid="{5CA65A66-6C97-428C-A92A-5AD5A3B6CBE9}"/>
    <cellStyle name="Normal 9 3 3 5 5" xfId="19685" xr:uid="{CFED6820-08FF-49A3-8DFD-974497F2F4AD}"/>
    <cellStyle name="Normal 9 3 3 5 6" xfId="28125" xr:uid="{25F9DF98-2C6E-4932-8680-935146BC8676}"/>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3F95DD84-F192-443B-8DE8-04B5DF111E33}"/>
    <cellStyle name="Normal 9 3 3 6 2 2 3" xfId="26460" xr:uid="{457437F7-E153-42F0-B9DE-9952C90135F8}"/>
    <cellStyle name="Normal 9 3 3 6 2 2 4" xfId="34900" xr:uid="{6F11C920-36B9-46D8-A30B-794DC828905F}"/>
    <cellStyle name="Normal 9 3 3 6 2 3" xfId="13802" xr:uid="{D90E4FDE-FA3C-47C8-B74A-F0894DA9C723}"/>
    <cellStyle name="Normal 9 3 3 6 2 4" xfId="22243" xr:uid="{2C920A0A-B524-409E-8BCC-187B1679FBFB}"/>
    <cellStyle name="Normal 9 3 3 6 2 5" xfId="30683" xr:uid="{D831114C-F77E-402C-B552-5518D8684D13}"/>
    <cellStyle name="Normal 9 3 3 6 3" xfId="6548" xr:uid="{00000000-0005-0000-0000-00001E200000}"/>
    <cellStyle name="Normal 9 3 3 6 3 2" xfId="15874" xr:uid="{8D6267F0-0969-41CC-A491-446CB83DA0CD}"/>
    <cellStyle name="Normal 9 3 3 6 3 3" xfId="24315" xr:uid="{33C45168-7297-4901-BA51-BA682902F8C0}"/>
    <cellStyle name="Normal 9 3 3 6 3 4" xfId="32755" xr:uid="{CA1B83C7-E85F-4BE8-911C-6E06FB33910C}"/>
    <cellStyle name="Normal 9 3 3 6 4" xfId="11657" xr:uid="{071AB69C-0D5D-44EA-A8F2-CFDC1F1D81CB}"/>
    <cellStyle name="Normal 9 3 3 6 5" xfId="20098" xr:uid="{C536D378-7118-45DB-AA47-D6A58F914D91}"/>
    <cellStyle name="Normal 9 3 3 6 6" xfId="28538" xr:uid="{170CB132-E8D4-4D98-8AD1-F74834F627A4}"/>
    <cellStyle name="Normal 9 3 3 7" xfId="2678" xr:uid="{00000000-0005-0000-0000-00001F200000}"/>
    <cellStyle name="Normal 9 3 3 7 2" xfId="6961" xr:uid="{00000000-0005-0000-0000-000020200000}"/>
    <cellStyle name="Normal 9 3 3 7 2 2" xfId="16287" xr:uid="{B6351216-D6B4-4FEB-BE0F-57CE187824C5}"/>
    <cellStyle name="Normal 9 3 3 7 2 3" xfId="24728" xr:uid="{E5D751B4-CAE8-43B0-9397-3DC398A499B6}"/>
    <cellStyle name="Normal 9 3 3 7 2 4" xfId="33168" xr:uid="{5E2CBFAF-4BAD-443F-88CC-A1CFE6F54634}"/>
    <cellStyle name="Normal 9 3 3 7 3" xfId="12070" xr:uid="{3998B9AE-036B-42EA-BFF9-4B5C46FDBE31}"/>
    <cellStyle name="Normal 9 3 3 7 4" xfId="20511" xr:uid="{A88A43B2-99BD-467D-B204-BD151A38FDBC}"/>
    <cellStyle name="Normal 9 3 3 7 5" xfId="28951" xr:uid="{E048FAC4-B371-4945-AD19-17B7B1877587}"/>
    <cellStyle name="Normal 9 3 3 8" xfId="4896" xr:uid="{00000000-0005-0000-0000-000021200000}"/>
    <cellStyle name="Normal 9 3 3 8 2" xfId="14222" xr:uid="{4F784EAE-9AE1-4A89-9247-5D4D3A252118}"/>
    <cellStyle name="Normal 9 3 3 8 3" xfId="22663" xr:uid="{C7CDA49D-E8F7-4812-99EB-69CDB6D44956}"/>
    <cellStyle name="Normal 9 3 3 8 4" xfId="31103" xr:uid="{EFB14035-C21C-44BC-A05B-84F1D217CEA1}"/>
    <cellStyle name="Normal 9 3 3 9" xfId="8880" xr:uid="{36521590-FD5B-45F7-80A9-41BA557EA820}"/>
    <cellStyle name="Normal 9 3 4" xfId="534" xr:uid="{00000000-0005-0000-0000-000022200000}"/>
    <cellStyle name="Normal 9 3 4 10" xfId="18448" xr:uid="{4F5FC7A4-9573-43DF-B8BE-1D94922A0DCD}"/>
    <cellStyle name="Normal 9 3 4 11" xfId="26888" xr:uid="{F759BFF3-ADCD-4D0D-AECB-33E0D354D437}"/>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2C26AD63-E6FF-4A7D-AB95-0D40D03EA73A}"/>
    <cellStyle name="Normal 9 3 4 2 2 2 3" xfId="25223" xr:uid="{AD7C5D1D-20EB-4F2C-B9B0-5196675174E6}"/>
    <cellStyle name="Normal 9 3 4 2 2 2 4" xfId="33663" xr:uid="{BF0E73BD-0772-4232-84B2-2C9C0E31072D}"/>
    <cellStyle name="Normal 9 3 4 2 2 3" xfId="12565" xr:uid="{E3E6D420-0E8B-4AB4-AEA0-AAA1485DE593}"/>
    <cellStyle name="Normal 9 3 4 2 2 4" xfId="21006" xr:uid="{D1F361C4-49B6-4E18-AC87-1F66A2FC6699}"/>
    <cellStyle name="Normal 9 3 4 2 2 5" xfId="29446" xr:uid="{2AF35A45-6385-4B28-BF30-843B6979DCC4}"/>
    <cellStyle name="Normal 9 3 4 2 3" xfId="5311" xr:uid="{00000000-0005-0000-0000-000026200000}"/>
    <cellStyle name="Normal 9 3 4 2 3 2" xfId="14637" xr:uid="{A2AD501C-4C8D-4FB9-8157-C1691DB4E54B}"/>
    <cellStyle name="Normal 9 3 4 2 3 3" xfId="23078" xr:uid="{FD0E92E4-32E2-4A4C-AED2-C34601666310}"/>
    <cellStyle name="Normal 9 3 4 2 3 4" xfId="31518" xr:uid="{BDDCE462-5E4B-4F5A-9A07-790DAF56AC3B}"/>
    <cellStyle name="Normal 9 3 4 2 4" xfId="9409" xr:uid="{F8EFC02C-357C-44AD-9BF7-6459F3C595DA}"/>
    <cellStyle name="Normal 9 3 4 2 5" xfId="10420" xr:uid="{9B0B8BC7-AFC6-46C2-854E-3A318AE326F6}"/>
    <cellStyle name="Normal 9 3 4 2 6" xfId="18861" xr:uid="{C72F40E8-E542-4FE6-9D6F-AD95F848F03B}"/>
    <cellStyle name="Normal 9 3 4 2 7" xfId="27301" xr:uid="{0B151CA9-1E29-430B-AF98-80A198DC21EB}"/>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4652B82E-48E6-4561-B5B3-B3FB60FAC2F9}"/>
    <cellStyle name="Normal 9 3 4 3 2 2 3" xfId="25636" xr:uid="{89425BAB-E3AF-49F5-9D56-D20924CCCDA4}"/>
    <cellStyle name="Normal 9 3 4 3 2 2 4" xfId="34076" xr:uid="{8F6BAD6C-BFF2-4A22-B255-1B5106BE9ED1}"/>
    <cellStyle name="Normal 9 3 4 3 2 3" xfId="12978" xr:uid="{20B838D1-A74C-4B30-BD14-6E569AA25E89}"/>
    <cellStyle name="Normal 9 3 4 3 2 4" xfId="21419" xr:uid="{E7375451-E29B-4973-83AD-9FE70CFD21F4}"/>
    <cellStyle name="Normal 9 3 4 3 2 5" xfId="29859" xr:uid="{1501C984-1178-486C-A5BE-3676E7722B1B}"/>
    <cellStyle name="Normal 9 3 4 3 3" xfId="5724" xr:uid="{00000000-0005-0000-0000-00002A200000}"/>
    <cellStyle name="Normal 9 3 4 3 3 2" xfId="15050" xr:uid="{B7ECEA0E-30AE-411F-97A2-8694E1A81998}"/>
    <cellStyle name="Normal 9 3 4 3 3 3" xfId="23491" xr:uid="{D89DA930-D6EA-48FA-ADD2-0842F73727CC}"/>
    <cellStyle name="Normal 9 3 4 3 3 4" xfId="31931" xr:uid="{C0277119-2A9D-49FA-ACDA-58BD9DBD0D3D}"/>
    <cellStyle name="Normal 9 3 4 3 4" xfId="10833" xr:uid="{BB9BA6B5-8068-4419-8C04-38818F56FC82}"/>
    <cellStyle name="Normal 9 3 4 3 5" xfId="19274" xr:uid="{616E5F7B-870A-4939-8EA1-B68D32E9AC9D}"/>
    <cellStyle name="Normal 9 3 4 3 6" xfId="27714" xr:uid="{EFB0018B-9550-4076-9F66-1BDDEF8E24C3}"/>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8D22970B-859D-41B8-A53B-41D7B4897CEC}"/>
    <cellStyle name="Normal 9 3 4 4 2 2 3" xfId="26049" xr:uid="{AE94802F-2C6E-4201-AB71-07DA5ED458EC}"/>
    <cellStyle name="Normal 9 3 4 4 2 2 4" xfId="34489" xr:uid="{57FA56D7-B56A-4E27-96CF-0067E6D1EE7F}"/>
    <cellStyle name="Normal 9 3 4 4 2 3" xfId="13391" xr:uid="{E7BEB42E-0750-4509-9223-F632A9B13831}"/>
    <cellStyle name="Normal 9 3 4 4 2 4" xfId="21832" xr:uid="{FBBDFA21-D3D8-4381-894D-A0D00701D053}"/>
    <cellStyle name="Normal 9 3 4 4 2 5" xfId="30272" xr:uid="{A45F0E1D-E440-4D21-9131-FE3E8E6CF9D9}"/>
    <cellStyle name="Normal 9 3 4 4 3" xfId="6137" xr:uid="{00000000-0005-0000-0000-00002E200000}"/>
    <cellStyle name="Normal 9 3 4 4 3 2" xfId="15463" xr:uid="{CA7BD84B-1850-4232-BC7C-47D90853A357}"/>
    <cellStyle name="Normal 9 3 4 4 3 3" xfId="23904" xr:uid="{19D59135-2134-4632-806B-B214E159D5CD}"/>
    <cellStyle name="Normal 9 3 4 4 3 4" xfId="32344" xr:uid="{63BAB83C-5936-426A-ACD6-8CD1AC59B8A9}"/>
    <cellStyle name="Normal 9 3 4 4 4" xfId="11246" xr:uid="{A403FF51-05B6-4295-9324-8C6608372C3D}"/>
    <cellStyle name="Normal 9 3 4 4 5" xfId="19687" xr:uid="{97015249-15C0-40C4-987E-CEFE246F9CA2}"/>
    <cellStyle name="Normal 9 3 4 4 6" xfId="28127" xr:uid="{87054F4F-13CF-4CDD-947A-1E1292A1C74C}"/>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41EBE6BA-B3E2-441B-B382-3D115A20FED0}"/>
    <cellStyle name="Normal 9 3 4 5 2 2 3" xfId="26462" xr:uid="{54DF8538-F5E7-48DA-920D-2E860E6BA15F}"/>
    <cellStyle name="Normal 9 3 4 5 2 2 4" xfId="34902" xr:uid="{E76CBE97-10D2-4CE9-8D5D-C904605F357D}"/>
    <cellStyle name="Normal 9 3 4 5 2 3" xfId="13804" xr:uid="{415F6265-9DEE-459A-BA48-FC5554431DD2}"/>
    <cellStyle name="Normal 9 3 4 5 2 4" xfId="22245" xr:uid="{328FCA20-E144-48A9-897F-C632A0489798}"/>
    <cellStyle name="Normal 9 3 4 5 2 5" xfId="30685" xr:uid="{C345EA1E-4304-40EE-84B9-A45197E82CAD}"/>
    <cellStyle name="Normal 9 3 4 5 3" xfId="6550" xr:uid="{00000000-0005-0000-0000-000032200000}"/>
    <cellStyle name="Normal 9 3 4 5 3 2" xfId="15876" xr:uid="{AED2F6A6-805A-48AB-922A-A78CC9C3659B}"/>
    <cellStyle name="Normal 9 3 4 5 3 3" xfId="24317" xr:uid="{4E7AB3C1-2240-462A-9592-172C5552CA22}"/>
    <cellStyle name="Normal 9 3 4 5 3 4" xfId="32757" xr:uid="{D51AFD86-1D54-433F-8D6D-C5C6649603D7}"/>
    <cellStyle name="Normal 9 3 4 5 4" xfId="11659" xr:uid="{C73AF5EA-C822-46BA-87D3-F8363F83D4F1}"/>
    <cellStyle name="Normal 9 3 4 5 5" xfId="20100" xr:uid="{A94AE78A-2A10-41BD-AFDC-41966B2831FC}"/>
    <cellStyle name="Normal 9 3 4 5 6" xfId="28540" xr:uid="{CA824DA0-5480-463E-8E6B-786B98CC7FE3}"/>
    <cellStyle name="Normal 9 3 4 6" xfId="2680" xr:uid="{00000000-0005-0000-0000-000033200000}"/>
    <cellStyle name="Normal 9 3 4 6 2" xfId="6963" xr:uid="{00000000-0005-0000-0000-000034200000}"/>
    <cellStyle name="Normal 9 3 4 6 2 2" xfId="16289" xr:uid="{C39121BE-BC94-4135-8A29-5BC5B161ABDB}"/>
    <cellStyle name="Normal 9 3 4 6 2 3" xfId="24730" xr:uid="{02C34DDE-D8C9-46BE-88FD-5CC50A4DA098}"/>
    <cellStyle name="Normal 9 3 4 6 2 4" xfId="33170" xr:uid="{0A4297E9-3780-48FB-99FA-D4E639553C8A}"/>
    <cellStyle name="Normal 9 3 4 6 3" xfId="12072" xr:uid="{5834CDF5-BC1D-400D-A937-7D939A6CE982}"/>
    <cellStyle name="Normal 9 3 4 6 4" xfId="20513" xr:uid="{24B5B744-6656-4518-A530-51A9491C24A9}"/>
    <cellStyle name="Normal 9 3 4 6 5" xfId="28953" xr:uid="{69FD3CC9-C2BB-447B-B499-DFDE6715ED7C}"/>
    <cellStyle name="Normal 9 3 4 7" xfId="4898" xr:uid="{00000000-0005-0000-0000-000035200000}"/>
    <cellStyle name="Normal 9 3 4 7 2" xfId="14224" xr:uid="{51715E41-FBC5-490B-974B-7FAAE9CE92CB}"/>
    <cellStyle name="Normal 9 3 4 7 3" xfId="22665" xr:uid="{BBBAA79C-4AB8-4A82-8207-290460911927}"/>
    <cellStyle name="Normal 9 3 4 7 4" xfId="31105" xr:uid="{666A7F49-A052-4333-BB47-C7BC28F602F0}"/>
    <cellStyle name="Normal 9 3 4 8" xfId="8984" xr:uid="{A39B104A-EAEF-4D5B-B504-6104111E924B}"/>
    <cellStyle name="Normal 9 3 4 9" xfId="10007" xr:uid="{7D44B6A0-3E0A-4F68-961D-4A0213010AB3}"/>
    <cellStyle name="Normal 9 3 5" xfId="994" xr:uid="{00000000-0005-0000-0000-000036200000}"/>
    <cellStyle name="Normal 9 3 5 2" xfId="3227" xr:uid="{00000000-0005-0000-0000-000037200000}"/>
    <cellStyle name="Normal 9 3 5 2 2" xfId="7449" xr:uid="{00000000-0005-0000-0000-000038200000}"/>
    <cellStyle name="Normal 9 3 5 2 2 2" xfId="16775" xr:uid="{447F3F04-9972-457A-9A0B-D0E7C8542302}"/>
    <cellStyle name="Normal 9 3 5 2 2 3" xfId="25216" xr:uid="{DDFF7105-6004-4B2C-B4AC-5F691650629D}"/>
    <cellStyle name="Normal 9 3 5 2 2 4" xfId="33656" xr:uid="{0710B47F-C790-4DC8-9C94-DAABBC15B8D1}"/>
    <cellStyle name="Normal 9 3 5 2 3" xfId="12558" xr:uid="{FB4827B3-9751-4070-9C14-B10EF9BC33A3}"/>
    <cellStyle name="Normal 9 3 5 2 4" xfId="20999" xr:uid="{824E7266-2488-4150-AB4C-599C636E6BF0}"/>
    <cellStyle name="Normal 9 3 5 2 5" xfId="29439" xr:uid="{6874F82C-E967-4A29-9DB9-51382A8CA179}"/>
    <cellStyle name="Normal 9 3 5 3" xfId="5304" xr:uid="{00000000-0005-0000-0000-000039200000}"/>
    <cellStyle name="Normal 9 3 5 3 2" xfId="14630" xr:uid="{20766C55-2F73-47DB-804F-C901DF63B066}"/>
    <cellStyle name="Normal 9 3 5 3 3" xfId="23071" xr:uid="{67A3C36A-AC4C-4A26-99A1-34DD872AFFA5}"/>
    <cellStyle name="Normal 9 3 5 3 4" xfId="31511" xr:uid="{6197E01A-E1B7-4C04-93A4-4D629A84A5B6}"/>
    <cellStyle name="Normal 9 3 5 4" xfId="9201" xr:uid="{46D523D7-8DEB-46FB-8F1C-8CE8C2FC3AD3}"/>
    <cellStyle name="Normal 9 3 5 5" xfId="10413" xr:uid="{F0888CC5-C860-4AF0-A4F7-208CBAED967B}"/>
    <cellStyle name="Normal 9 3 5 6" xfId="18854" xr:uid="{6F9E0277-BFED-47D1-B6AA-C410F10277D3}"/>
    <cellStyle name="Normal 9 3 5 7" xfId="27294" xr:uid="{D7E651AA-0C1C-4FB5-A74C-2826603493D8}"/>
    <cellStyle name="Normal 9 3 6" xfId="1410" xr:uid="{00000000-0005-0000-0000-00003A200000}"/>
    <cellStyle name="Normal 9 3 6 2" xfId="3640" xr:uid="{00000000-0005-0000-0000-00003B200000}"/>
    <cellStyle name="Normal 9 3 6 2 2" xfId="7862" xr:uid="{00000000-0005-0000-0000-00003C200000}"/>
    <cellStyle name="Normal 9 3 6 2 2 2" xfId="17188" xr:uid="{D444A70C-C43D-4B6A-B3E6-42D3F9E3D4E4}"/>
    <cellStyle name="Normal 9 3 6 2 2 3" xfId="25629" xr:uid="{4A5E678B-3D83-4CAB-956C-EB4FA5ACA9DB}"/>
    <cellStyle name="Normal 9 3 6 2 2 4" xfId="34069" xr:uid="{56452D55-9F29-4B08-B3E7-4AC51C32B42F}"/>
    <cellStyle name="Normal 9 3 6 2 3" xfId="12971" xr:uid="{9C09809F-68ED-4B3D-80D5-E82D9A41E046}"/>
    <cellStyle name="Normal 9 3 6 2 4" xfId="21412" xr:uid="{0BF7C481-52B0-46D5-875B-FC60F666A299}"/>
    <cellStyle name="Normal 9 3 6 2 5" xfId="29852" xr:uid="{65BF1371-37D0-44EA-8ABA-282232F000C6}"/>
    <cellStyle name="Normal 9 3 6 3" xfId="5717" xr:uid="{00000000-0005-0000-0000-00003D200000}"/>
    <cellStyle name="Normal 9 3 6 3 2" xfId="15043" xr:uid="{068753D5-66E7-4513-A26A-581324D1E480}"/>
    <cellStyle name="Normal 9 3 6 3 3" xfId="23484" xr:uid="{09A76F54-F322-4CA9-B109-6A1A806CBAB5}"/>
    <cellStyle name="Normal 9 3 6 3 4" xfId="31924" xr:uid="{DEB68E95-FBB9-4A70-B748-8CC2F96EC377}"/>
    <cellStyle name="Normal 9 3 6 4" xfId="10826" xr:uid="{91BDE317-3D1B-4757-9DC3-B9697CD84D7B}"/>
    <cellStyle name="Normal 9 3 6 5" xfId="19267" xr:uid="{CFDD7D57-3A7F-4FD4-85E0-B29353CC1047}"/>
    <cellStyle name="Normal 9 3 6 6" xfId="27707" xr:uid="{EA731BB3-4A84-4980-9520-2B5155C5FF99}"/>
    <cellStyle name="Normal 9 3 7" xfId="1823" xr:uid="{00000000-0005-0000-0000-00003E200000}"/>
    <cellStyle name="Normal 9 3 7 2" xfId="4053" xr:uid="{00000000-0005-0000-0000-00003F200000}"/>
    <cellStyle name="Normal 9 3 7 2 2" xfId="8275" xr:uid="{00000000-0005-0000-0000-000040200000}"/>
    <cellStyle name="Normal 9 3 7 2 2 2" xfId="17601" xr:uid="{CC531904-3A35-4F0F-B0B6-E452FDE28ADB}"/>
    <cellStyle name="Normal 9 3 7 2 2 3" xfId="26042" xr:uid="{95FAF77C-3496-4D86-AD01-5326AC19A04B}"/>
    <cellStyle name="Normal 9 3 7 2 2 4" xfId="34482" xr:uid="{79EECDEB-921F-42D5-A3F6-C0862AB09323}"/>
    <cellStyle name="Normal 9 3 7 2 3" xfId="13384" xr:uid="{DFC57BB8-E71A-40BA-8885-0CA8BBE90F64}"/>
    <cellStyle name="Normal 9 3 7 2 4" xfId="21825" xr:uid="{75DC340F-BA15-4744-A498-CB6FDA0063C0}"/>
    <cellStyle name="Normal 9 3 7 2 5" xfId="30265" xr:uid="{BACF640F-57D8-469F-A655-AD9579D525A6}"/>
    <cellStyle name="Normal 9 3 7 3" xfId="6130" xr:uid="{00000000-0005-0000-0000-000041200000}"/>
    <cellStyle name="Normal 9 3 7 3 2" xfId="15456" xr:uid="{41DBC6CA-8251-4223-B47E-8CF82510412E}"/>
    <cellStyle name="Normal 9 3 7 3 3" xfId="23897" xr:uid="{BD01398D-02AA-460D-B5A6-646767A91375}"/>
    <cellStyle name="Normal 9 3 7 3 4" xfId="32337" xr:uid="{E608C6F2-F2A6-4AFA-B1B9-E23599E82DFC}"/>
    <cellStyle name="Normal 9 3 7 4" xfId="11239" xr:uid="{8A99D8DE-841D-445D-809D-FC2A9BBC4471}"/>
    <cellStyle name="Normal 9 3 7 5" xfId="19680" xr:uid="{1968AE72-9993-4A98-B914-950630EEAAA3}"/>
    <cellStyle name="Normal 9 3 7 6" xfId="28120" xr:uid="{EC7AD5E8-1907-4D9B-B161-D0E0AF5C6D97}"/>
    <cellStyle name="Normal 9 3 8" xfId="2237" xr:uid="{00000000-0005-0000-0000-000042200000}"/>
    <cellStyle name="Normal 9 3 8 2" xfId="4466" xr:uid="{00000000-0005-0000-0000-000043200000}"/>
    <cellStyle name="Normal 9 3 8 2 2" xfId="8688" xr:uid="{00000000-0005-0000-0000-000044200000}"/>
    <cellStyle name="Normal 9 3 8 2 2 2" xfId="18014" xr:uid="{BDE3E99B-B054-42B8-871F-77F5C7AD441B}"/>
    <cellStyle name="Normal 9 3 8 2 2 3" xfId="26455" xr:uid="{91CA6BD3-4094-4B44-95DC-7F676E7DCDE1}"/>
    <cellStyle name="Normal 9 3 8 2 2 4" xfId="34895" xr:uid="{24CF0966-6D61-4DC0-B416-D108BCA9708C}"/>
    <cellStyle name="Normal 9 3 8 2 3" xfId="13797" xr:uid="{792322F9-466D-4654-A8A9-BCFCAD49BD74}"/>
    <cellStyle name="Normal 9 3 8 2 4" xfId="22238" xr:uid="{CAB09D89-A988-4BFB-AE16-740EAC993F24}"/>
    <cellStyle name="Normal 9 3 8 2 5" xfId="30678" xr:uid="{5D2D3E6C-865D-436C-9A99-0D88CC1E8971}"/>
    <cellStyle name="Normal 9 3 8 3" xfId="6543" xr:uid="{00000000-0005-0000-0000-000045200000}"/>
    <cellStyle name="Normal 9 3 8 3 2" xfId="15869" xr:uid="{AE2F12D0-5CAC-495B-978E-AFF4AE1CAD3F}"/>
    <cellStyle name="Normal 9 3 8 3 3" xfId="24310" xr:uid="{1EC098BF-465E-4B82-8617-EEB7CE6BC7F5}"/>
    <cellStyle name="Normal 9 3 8 3 4" xfId="32750" xr:uid="{2A3F7A34-18A7-4961-A54C-F2259D650277}"/>
    <cellStyle name="Normal 9 3 8 4" xfId="11652" xr:uid="{660F6182-D0B5-4A4F-BFF1-3D9D5ECC2587}"/>
    <cellStyle name="Normal 9 3 8 5" xfId="20093" xr:uid="{499CDF88-718F-4751-BDD8-D6447E03E2F8}"/>
    <cellStyle name="Normal 9 3 8 6" xfId="28533" xr:uid="{10361271-5766-4C54-9C1A-E9103EB714DE}"/>
    <cellStyle name="Normal 9 3 9" xfId="2673" xr:uid="{00000000-0005-0000-0000-000046200000}"/>
    <cellStyle name="Normal 9 3 9 2" xfId="6956" xr:uid="{00000000-0005-0000-0000-000047200000}"/>
    <cellStyle name="Normal 9 3 9 2 2" xfId="16282" xr:uid="{F86D7075-ABB2-4A09-B81A-63612FFEA2F3}"/>
    <cellStyle name="Normal 9 3 9 2 3" xfId="24723" xr:uid="{991965F5-442D-4F67-BC05-2CACBFF7320F}"/>
    <cellStyle name="Normal 9 3 9 2 4" xfId="33163" xr:uid="{7F33893F-8944-4E1F-9410-F611D405FC01}"/>
    <cellStyle name="Normal 9 3 9 3" xfId="12065" xr:uid="{A74D2306-9215-4E22-92B4-EF568F6C47C3}"/>
    <cellStyle name="Normal 9 3 9 4" xfId="20506" xr:uid="{71A08ED4-25B5-4752-84FC-C378C8DFCE83}"/>
    <cellStyle name="Normal 9 3 9 5" xfId="28946" xr:uid="{0F4471BE-2A22-4317-B055-ED51E5F90D90}"/>
    <cellStyle name="Normal 9 4" xfId="535" xr:uid="{00000000-0005-0000-0000-000048200000}"/>
    <cellStyle name="Normal 9 4 2" xfId="1002" xr:uid="{00000000-0005-0000-0000-000049200000}"/>
    <cellStyle name="Normal 9 5" xfId="536" xr:uid="{00000000-0005-0000-0000-00004A200000}"/>
    <cellStyle name="Normal 9 5 10" xfId="10008" xr:uid="{C52248DE-3747-4573-B6AC-5720CA83BF26}"/>
    <cellStyle name="Normal 9 5 11" xfId="18449" xr:uid="{82F7C1C0-41F3-4E8C-8FAA-9FEECA5CBD07}"/>
    <cellStyle name="Normal 9 5 12" xfId="26889" xr:uid="{00FE205C-353A-49E2-A688-64FC3751A099}"/>
    <cellStyle name="Normal 9 5 2" xfId="537" xr:uid="{00000000-0005-0000-0000-00004B200000}"/>
    <cellStyle name="Normal 9 5 2 10" xfId="18450" xr:uid="{313E63B8-75AA-4B2F-8208-0D4680898CC9}"/>
    <cellStyle name="Normal 9 5 2 11" xfId="26890" xr:uid="{B6A277C3-85A3-4B82-B792-F30116481067}"/>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59662D7A-DF84-450F-8173-8BBC3E289F23}"/>
    <cellStyle name="Normal 9 5 2 2 2 2 3" xfId="25225" xr:uid="{A64D7474-B9A4-4A52-9654-732436646957}"/>
    <cellStyle name="Normal 9 5 2 2 2 2 4" xfId="33665" xr:uid="{7E6C4613-FF0A-448E-A360-6A2F79FB58C8}"/>
    <cellStyle name="Normal 9 5 2 2 2 3" xfId="12567" xr:uid="{441638BF-DE14-418F-A49C-15E2720BEF90}"/>
    <cellStyle name="Normal 9 5 2 2 2 4" xfId="21008" xr:uid="{5BEF7E3A-597B-4C33-9812-65DEFF158D31}"/>
    <cellStyle name="Normal 9 5 2 2 2 5" xfId="29448" xr:uid="{F0488806-8E63-4E84-9705-7953BB5D18ED}"/>
    <cellStyle name="Normal 9 5 2 2 3" xfId="5313" xr:uid="{00000000-0005-0000-0000-00004F200000}"/>
    <cellStyle name="Normal 9 5 2 2 3 2" xfId="14639" xr:uid="{5F33F145-444A-4D7D-9641-CCAAC362E866}"/>
    <cellStyle name="Normal 9 5 2 2 3 3" xfId="23080" xr:uid="{319F550D-1936-4EB9-A3C7-59E40E19199A}"/>
    <cellStyle name="Normal 9 5 2 2 3 4" xfId="31520" xr:uid="{0EF961DB-FA01-4FE8-B6D6-0B076E4A89E5}"/>
    <cellStyle name="Normal 9 5 2 2 4" xfId="9480" xr:uid="{BC9702BE-C2B3-450A-99DF-6FFE7C7A82FD}"/>
    <cellStyle name="Normal 9 5 2 2 5" xfId="10422" xr:uid="{F06873D2-0914-4ADF-A72B-BF9A3E0E2C13}"/>
    <cellStyle name="Normal 9 5 2 2 6" xfId="18863" xr:uid="{70BE1EA2-17E9-4915-A551-B538D71F7B8C}"/>
    <cellStyle name="Normal 9 5 2 2 7" xfId="27303" xr:uid="{A1DACD61-ACF2-46D9-8C01-EAC108A3BEFB}"/>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8BD187C4-DE90-49F0-98DF-90BCBCFBD8AA}"/>
    <cellStyle name="Normal 9 5 2 3 2 2 3" xfId="25638" xr:uid="{0FCE747E-90B0-49BB-B657-B592065C9CDF}"/>
    <cellStyle name="Normal 9 5 2 3 2 2 4" xfId="34078" xr:uid="{9F3D617D-0F04-4159-A35A-048D1CA58684}"/>
    <cellStyle name="Normal 9 5 2 3 2 3" xfId="12980" xr:uid="{D566D4B2-B265-4699-AB3B-454C158ECBE9}"/>
    <cellStyle name="Normal 9 5 2 3 2 4" xfId="21421" xr:uid="{EA7B61E3-B70B-4F5B-A62B-D50A2BFDF1E4}"/>
    <cellStyle name="Normal 9 5 2 3 2 5" xfId="29861" xr:uid="{FA73C439-4E55-44D6-8FB7-BA2996BAB9C0}"/>
    <cellStyle name="Normal 9 5 2 3 3" xfId="5726" xr:uid="{00000000-0005-0000-0000-000053200000}"/>
    <cellStyle name="Normal 9 5 2 3 3 2" xfId="15052" xr:uid="{9C5155B0-7E56-47AF-A555-34118D0B1645}"/>
    <cellStyle name="Normal 9 5 2 3 3 3" xfId="23493" xr:uid="{A7F4AC9F-B22C-4154-A524-37D5FCD6169C}"/>
    <cellStyle name="Normal 9 5 2 3 3 4" xfId="31933" xr:uid="{EF2FA4F1-20B7-40FE-84B6-EF9C2C0CA35F}"/>
    <cellStyle name="Normal 9 5 2 3 4" xfId="10835" xr:uid="{B7BE6728-15E4-4AE9-9976-A3DB02DDD6DB}"/>
    <cellStyle name="Normal 9 5 2 3 5" xfId="19276" xr:uid="{BBAADB04-CF67-4A98-93AA-E29D8F981AA9}"/>
    <cellStyle name="Normal 9 5 2 3 6" xfId="27716" xr:uid="{E817652A-7878-4364-B585-52A2A9DC3F3E}"/>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27638BB6-FA50-402B-8109-3FC5CC99A7FB}"/>
    <cellStyle name="Normal 9 5 2 4 2 2 3" xfId="26051" xr:uid="{AC98D45D-E0CD-485E-8B23-15145A6ADC12}"/>
    <cellStyle name="Normal 9 5 2 4 2 2 4" xfId="34491" xr:uid="{8B1AA91A-D93E-4738-9EB0-2F3D1F3A2C1B}"/>
    <cellStyle name="Normal 9 5 2 4 2 3" xfId="13393" xr:uid="{6F5FE2CB-DC68-4EA6-B2C3-A98C99E03DD2}"/>
    <cellStyle name="Normal 9 5 2 4 2 4" xfId="21834" xr:uid="{FDBA469B-8B85-4E9D-BDAC-FCC80F11D5CB}"/>
    <cellStyle name="Normal 9 5 2 4 2 5" xfId="30274" xr:uid="{92C85F34-ED87-44F8-8430-80399C6724E1}"/>
    <cellStyle name="Normal 9 5 2 4 3" xfId="6139" xr:uid="{00000000-0005-0000-0000-000057200000}"/>
    <cellStyle name="Normal 9 5 2 4 3 2" xfId="15465" xr:uid="{12B8BCD9-3B0F-4ADB-9887-86A65D008C52}"/>
    <cellStyle name="Normal 9 5 2 4 3 3" xfId="23906" xr:uid="{827B34AA-C808-4633-8ACA-377EEF421DE8}"/>
    <cellStyle name="Normal 9 5 2 4 3 4" xfId="32346" xr:uid="{F7EE53DD-DBBD-4930-BC59-87824D661837}"/>
    <cellStyle name="Normal 9 5 2 4 4" xfId="11248" xr:uid="{25E212B4-0FD7-41C5-BBD0-CF167C121C93}"/>
    <cellStyle name="Normal 9 5 2 4 5" xfId="19689" xr:uid="{5D1CDCE5-5721-44B0-A8AA-69DAD3303A2E}"/>
    <cellStyle name="Normal 9 5 2 4 6" xfId="28129" xr:uid="{AB3DECC6-5A06-41D1-B596-9B1992E789A6}"/>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8E3AA043-17C2-4092-9184-E08C3049240C}"/>
    <cellStyle name="Normal 9 5 2 5 2 2 3" xfId="26464" xr:uid="{5395E78B-C492-4D44-8585-A483D29A2237}"/>
    <cellStyle name="Normal 9 5 2 5 2 2 4" xfId="34904" xr:uid="{4F6EE8CD-35AB-405E-9D3E-D454372AC168}"/>
    <cellStyle name="Normal 9 5 2 5 2 3" xfId="13806" xr:uid="{A78A7645-5B00-4163-8A94-5F39AA8C0926}"/>
    <cellStyle name="Normal 9 5 2 5 2 4" xfId="22247" xr:uid="{97B553DC-419A-4CC1-A8E0-C3D57D669FCF}"/>
    <cellStyle name="Normal 9 5 2 5 2 5" xfId="30687" xr:uid="{748BB1A0-9757-4145-82AF-BB4A5AFA20ED}"/>
    <cellStyle name="Normal 9 5 2 5 3" xfId="6552" xr:uid="{00000000-0005-0000-0000-00005B200000}"/>
    <cellStyle name="Normal 9 5 2 5 3 2" xfId="15878" xr:uid="{08019232-70DF-427C-A435-E0F7CDDC41F7}"/>
    <cellStyle name="Normal 9 5 2 5 3 3" xfId="24319" xr:uid="{FA258420-BCFE-4C55-9EAE-26ACE9DA7EEF}"/>
    <cellStyle name="Normal 9 5 2 5 3 4" xfId="32759" xr:uid="{42EB6835-2A54-4E11-8BA6-F077071C1924}"/>
    <cellStyle name="Normal 9 5 2 5 4" xfId="11661" xr:uid="{C8F37157-82DD-44A8-BCE1-EF9281C4109F}"/>
    <cellStyle name="Normal 9 5 2 5 5" xfId="20102" xr:uid="{226A8084-B04B-4EC9-A100-67DE8EBFE97B}"/>
    <cellStyle name="Normal 9 5 2 5 6" xfId="28542" xr:uid="{7A2B52D9-4514-4207-AD8D-ED4C8306A6D4}"/>
    <cellStyle name="Normal 9 5 2 6" xfId="2682" xr:uid="{00000000-0005-0000-0000-00005C200000}"/>
    <cellStyle name="Normal 9 5 2 6 2" xfId="6965" xr:uid="{00000000-0005-0000-0000-00005D200000}"/>
    <cellStyle name="Normal 9 5 2 6 2 2" xfId="16291" xr:uid="{38CEAD81-1B88-427A-96EB-E446862DAB83}"/>
    <cellStyle name="Normal 9 5 2 6 2 3" xfId="24732" xr:uid="{0B2321F5-9933-4D58-B831-81B8DB6CE992}"/>
    <cellStyle name="Normal 9 5 2 6 2 4" xfId="33172" xr:uid="{CF9438D7-A3CC-4F00-94C2-A7B16B461879}"/>
    <cellStyle name="Normal 9 5 2 6 3" xfId="12074" xr:uid="{ED25B7F1-0515-46AA-A421-F18ED8BA7554}"/>
    <cellStyle name="Normal 9 5 2 6 4" xfId="20515" xr:uid="{1CBB9BEB-9EDF-47C5-A100-AD88198F4017}"/>
    <cellStyle name="Normal 9 5 2 6 5" xfId="28955" xr:uid="{DD4FEC19-57AA-4622-B936-D240E9DEC753}"/>
    <cellStyle name="Normal 9 5 2 7" xfId="4900" xr:uid="{00000000-0005-0000-0000-00005E200000}"/>
    <cellStyle name="Normal 9 5 2 7 2" xfId="14226" xr:uid="{79203EDB-02FC-44BA-A003-4815A0AEC124}"/>
    <cellStyle name="Normal 9 5 2 7 3" xfId="22667" xr:uid="{00AD1DBC-DCFA-47E2-BD3B-24A3FFC9E0BF}"/>
    <cellStyle name="Normal 9 5 2 7 4" xfId="31107" xr:uid="{4393672C-CDDB-46B6-9BF6-8E2CEB80641A}"/>
    <cellStyle name="Normal 9 5 2 8" xfId="9055" xr:uid="{3DD071E2-A4B3-45E3-9F20-3C2D5AEE5CB2}"/>
    <cellStyle name="Normal 9 5 2 9" xfId="10009" xr:uid="{48CC75FB-F3EF-4B9A-B713-ABE45AA7AFD0}"/>
    <cellStyle name="Normal 9 5 3" xfId="1003" xr:uid="{00000000-0005-0000-0000-00005F200000}"/>
    <cellStyle name="Normal 9 5 3 2" xfId="3235" xr:uid="{00000000-0005-0000-0000-000060200000}"/>
    <cellStyle name="Normal 9 5 3 2 2" xfId="7457" xr:uid="{00000000-0005-0000-0000-000061200000}"/>
    <cellStyle name="Normal 9 5 3 2 2 2" xfId="16783" xr:uid="{AC6CCA7E-D9C9-4B38-AAD3-EA6E88E91750}"/>
    <cellStyle name="Normal 9 5 3 2 2 3" xfId="25224" xr:uid="{1DC7CFFD-2A0C-4DCE-81DF-7B09734BCF59}"/>
    <cellStyle name="Normal 9 5 3 2 2 4" xfId="33664" xr:uid="{1BD93B5E-96E2-474D-8987-38B4D8CD46C9}"/>
    <cellStyle name="Normal 9 5 3 2 3" xfId="12566" xr:uid="{168C1C57-70D8-4CB6-97AA-A5ABB5367B29}"/>
    <cellStyle name="Normal 9 5 3 2 4" xfId="21007" xr:uid="{126A0E9B-0035-4C2B-95DC-5AB8EFDE1823}"/>
    <cellStyle name="Normal 9 5 3 2 5" xfId="29447" xr:uid="{8C002E54-C6B2-4D2C-A848-ED26B68488FF}"/>
    <cellStyle name="Normal 9 5 3 3" xfId="5312" xr:uid="{00000000-0005-0000-0000-000062200000}"/>
    <cellStyle name="Normal 9 5 3 3 2" xfId="14638" xr:uid="{C4170B22-FE58-4AEE-BFF5-E736A307FCE4}"/>
    <cellStyle name="Normal 9 5 3 3 3" xfId="23079" xr:uid="{28EBEE46-72E1-4A14-8F75-08183ADDD9DC}"/>
    <cellStyle name="Normal 9 5 3 3 4" xfId="31519" xr:uid="{25A295EB-44C0-4700-8C39-E3AE503B9158}"/>
    <cellStyle name="Normal 9 5 3 4" xfId="9273" xr:uid="{AE6CB61B-02C5-436E-A328-3B2AC8AC9E53}"/>
    <cellStyle name="Normal 9 5 3 5" xfId="10421" xr:uid="{F69422C5-5129-47A0-8F4A-E2BC1E80F3DF}"/>
    <cellStyle name="Normal 9 5 3 6" xfId="18862" xr:uid="{8D93F77A-E0A7-49B6-9A64-8159A1683746}"/>
    <cellStyle name="Normal 9 5 3 7" xfId="27302" xr:uid="{7963A1C6-6BB7-4738-B980-69C26BC291A4}"/>
    <cellStyle name="Normal 9 5 4" xfId="1418" xr:uid="{00000000-0005-0000-0000-000063200000}"/>
    <cellStyle name="Normal 9 5 4 2" xfId="3648" xr:uid="{00000000-0005-0000-0000-000064200000}"/>
    <cellStyle name="Normal 9 5 4 2 2" xfId="7870" xr:uid="{00000000-0005-0000-0000-000065200000}"/>
    <cellStyle name="Normal 9 5 4 2 2 2" xfId="17196" xr:uid="{2D26A2C2-0DE2-4FDA-B3D6-FE5D835FBB4E}"/>
    <cellStyle name="Normal 9 5 4 2 2 3" xfId="25637" xr:uid="{CEF4B5E5-908C-490F-9DEA-E1D83681262E}"/>
    <cellStyle name="Normal 9 5 4 2 2 4" xfId="34077" xr:uid="{544B77EA-EB81-4742-BFA0-86DBD4AC30E6}"/>
    <cellStyle name="Normal 9 5 4 2 3" xfId="12979" xr:uid="{FAF1A37F-EC5F-437B-940E-F09E3A27FC2F}"/>
    <cellStyle name="Normal 9 5 4 2 4" xfId="21420" xr:uid="{9E648018-BB66-41A5-9B34-A426D91F84C0}"/>
    <cellStyle name="Normal 9 5 4 2 5" xfId="29860" xr:uid="{F6A865B2-7B29-40F7-B555-0CB178F4C66C}"/>
    <cellStyle name="Normal 9 5 4 3" xfId="5725" xr:uid="{00000000-0005-0000-0000-000066200000}"/>
    <cellStyle name="Normal 9 5 4 3 2" xfId="15051" xr:uid="{4F266B42-C2FE-4A4D-A4AA-AB864E022BDE}"/>
    <cellStyle name="Normal 9 5 4 3 3" xfId="23492" xr:uid="{E088622F-D8E1-49A7-BB0F-3691DB153A62}"/>
    <cellStyle name="Normal 9 5 4 3 4" xfId="31932" xr:uid="{10505D8B-551A-41F2-97C2-5D25EADD9880}"/>
    <cellStyle name="Normal 9 5 4 4" xfId="10834" xr:uid="{5E48074B-DA86-4E79-89CD-E43A41E05086}"/>
    <cellStyle name="Normal 9 5 4 5" xfId="19275" xr:uid="{AF73FEF4-6916-40BF-8D2D-D4152ABE7D6F}"/>
    <cellStyle name="Normal 9 5 4 6" xfId="27715" xr:uid="{A5B762E8-2F63-4671-BD9C-9573F5A5EF2D}"/>
    <cellStyle name="Normal 9 5 5" xfId="1831" xr:uid="{00000000-0005-0000-0000-000067200000}"/>
    <cellStyle name="Normal 9 5 5 2" xfId="4061" xr:uid="{00000000-0005-0000-0000-000068200000}"/>
    <cellStyle name="Normal 9 5 5 2 2" xfId="8283" xr:uid="{00000000-0005-0000-0000-000069200000}"/>
    <cellStyle name="Normal 9 5 5 2 2 2" xfId="17609" xr:uid="{C5ACFF35-324B-4244-AC07-B0FE9F5E4D3D}"/>
    <cellStyle name="Normal 9 5 5 2 2 3" xfId="26050" xr:uid="{F39FD4BC-8BD6-43FB-872E-22E0BE94D991}"/>
    <cellStyle name="Normal 9 5 5 2 2 4" xfId="34490" xr:uid="{DEB8BA3C-790B-42A3-8EED-629FE3C48244}"/>
    <cellStyle name="Normal 9 5 5 2 3" xfId="13392" xr:uid="{83AC6250-77D5-4FBE-8AEA-FF1089FFFB86}"/>
    <cellStyle name="Normal 9 5 5 2 4" xfId="21833" xr:uid="{A5DC4A8B-8ED4-4590-99E6-D843A09AE13D}"/>
    <cellStyle name="Normal 9 5 5 2 5" xfId="30273" xr:uid="{4D820B00-70BE-4C87-AE7A-7DDCDF1CF2F0}"/>
    <cellStyle name="Normal 9 5 5 3" xfId="6138" xr:uid="{00000000-0005-0000-0000-00006A200000}"/>
    <cellStyle name="Normal 9 5 5 3 2" xfId="15464" xr:uid="{F8A5D79A-4E58-4FB2-9219-0A846937FB20}"/>
    <cellStyle name="Normal 9 5 5 3 3" xfId="23905" xr:uid="{F572AEAA-54E9-4A1B-B812-A53FC55C1052}"/>
    <cellStyle name="Normal 9 5 5 3 4" xfId="32345" xr:uid="{23487F48-7CBF-45CB-946D-F664F28CC6B5}"/>
    <cellStyle name="Normal 9 5 5 4" xfId="11247" xr:uid="{99B34E4D-EE6D-4853-B645-34DCC7CF22D6}"/>
    <cellStyle name="Normal 9 5 5 5" xfId="19688" xr:uid="{884061A8-6C29-4A68-B256-174601A5CC14}"/>
    <cellStyle name="Normal 9 5 5 6" xfId="28128" xr:uid="{47D4A3DE-935D-48DD-8BAD-F65AC0344C3B}"/>
    <cellStyle name="Normal 9 5 6" xfId="2245" xr:uid="{00000000-0005-0000-0000-00006B200000}"/>
    <cellStyle name="Normal 9 5 6 2" xfId="4474" xr:uid="{00000000-0005-0000-0000-00006C200000}"/>
    <cellStyle name="Normal 9 5 6 2 2" xfId="8696" xr:uid="{00000000-0005-0000-0000-00006D200000}"/>
    <cellStyle name="Normal 9 5 6 2 2 2" xfId="18022" xr:uid="{D3258350-8D65-4208-880A-F0C9055E6D82}"/>
    <cellStyle name="Normal 9 5 6 2 2 3" xfId="26463" xr:uid="{B4E960D3-7545-4552-A776-EDE3FF5E6774}"/>
    <cellStyle name="Normal 9 5 6 2 2 4" xfId="34903" xr:uid="{F9C9155D-C44C-4D62-AF48-4E554C347233}"/>
    <cellStyle name="Normal 9 5 6 2 3" xfId="13805" xr:uid="{056AE8A6-659E-4155-BAA2-C9FF3158CC5C}"/>
    <cellStyle name="Normal 9 5 6 2 4" xfId="22246" xr:uid="{320F591D-E088-44DB-8F2C-AEA5B2E7C235}"/>
    <cellStyle name="Normal 9 5 6 2 5" xfId="30686" xr:uid="{0B77E2C7-1788-477B-BE5E-C42120D089B0}"/>
    <cellStyle name="Normal 9 5 6 3" xfId="6551" xr:uid="{00000000-0005-0000-0000-00006E200000}"/>
    <cellStyle name="Normal 9 5 6 3 2" xfId="15877" xr:uid="{86399303-59CC-42DD-A974-CB6050098148}"/>
    <cellStyle name="Normal 9 5 6 3 3" xfId="24318" xr:uid="{5B3AC25D-1FCA-473D-8111-3281AB9397D2}"/>
    <cellStyle name="Normal 9 5 6 3 4" xfId="32758" xr:uid="{89A7EA21-63BB-44E4-BF0B-E1A051FFDC79}"/>
    <cellStyle name="Normal 9 5 6 4" xfId="11660" xr:uid="{F39E3205-0704-4F7B-B4E6-D2A0F2B287F9}"/>
    <cellStyle name="Normal 9 5 6 5" xfId="20101" xr:uid="{BB745101-3182-4205-91E0-9270F447F9B8}"/>
    <cellStyle name="Normal 9 5 6 6" xfId="28541" xr:uid="{2136F581-1538-4122-A023-9FD34773F93E}"/>
    <cellStyle name="Normal 9 5 7" xfId="2681" xr:uid="{00000000-0005-0000-0000-00006F200000}"/>
    <cellStyle name="Normal 9 5 7 2" xfId="6964" xr:uid="{00000000-0005-0000-0000-000070200000}"/>
    <cellStyle name="Normal 9 5 7 2 2" xfId="16290" xr:uid="{4AEDADBD-75AA-4E20-8D62-ABCC2875E7A0}"/>
    <cellStyle name="Normal 9 5 7 2 3" xfId="24731" xr:uid="{52D3CF44-D6FC-4F1A-BE4B-F3DDE586503E}"/>
    <cellStyle name="Normal 9 5 7 2 4" xfId="33171" xr:uid="{F9C120F8-A326-4618-9941-DE1400F7CF6B}"/>
    <cellStyle name="Normal 9 5 7 3" xfId="12073" xr:uid="{C30B5B1D-78BA-4F44-A9E3-26DF496A8B32}"/>
    <cellStyle name="Normal 9 5 7 4" xfId="20514" xr:uid="{5721EBE7-CC60-4300-B1F8-5EDB49C8B154}"/>
    <cellStyle name="Normal 9 5 7 5" xfId="28954" xr:uid="{83C7A46A-DE7D-4850-92F2-576A1D663D59}"/>
    <cellStyle name="Normal 9 5 8" xfId="4899" xr:uid="{00000000-0005-0000-0000-000071200000}"/>
    <cellStyle name="Normal 9 5 8 2" xfId="14225" xr:uid="{AEC65CA1-8DD3-4347-8C3E-DF9288D2F9AD}"/>
    <cellStyle name="Normal 9 5 8 3" xfId="22666" xr:uid="{421E73BC-6023-4B10-BDC6-1D98C58C849C}"/>
    <cellStyle name="Normal 9 5 8 4" xfId="31106" xr:uid="{91610B86-9F8F-44CF-BD39-91D06A72E7B8}"/>
    <cellStyle name="Normal 9 5 9" xfId="8848" xr:uid="{B1BE5F70-14E5-42B6-9EBA-D267F3B60A08}"/>
    <cellStyle name="Normal 9 6" xfId="538" xr:uid="{00000000-0005-0000-0000-000072200000}"/>
    <cellStyle name="Normal 9 6 10" xfId="18451" xr:uid="{4BDDEBC3-56A4-45C4-8168-EEAE89CEA821}"/>
    <cellStyle name="Normal 9 6 11" xfId="26891" xr:uid="{D811019C-22E0-4425-A594-5359BA251EF2}"/>
    <cellStyle name="Normal 9 6 2" xfId="1005" xr:uid="{00000000-0005-0000-0000-000073200000}"/>
    <cellStyle name="Normal 9 6 2 2" xfId="3237" xr:uid="{00000000-0005-0000-0000-000074200000}"/>
    <cellStyle name="Normal 9 6 2 2 2" xfId="7459" xr:uid="{00000000-0005-0000-0000-000075200000}"/>
    <cellStyle name="Normal 9 6 2 2 2 2" xfId="16785" xr:uid="{08FBE077-8FED-4C8C-8A94-BDDB11BB155D}"/>
    <cellStyle name="Normal 9 6 2 2 2 3" xfId="25226" xr:uid="{35320EFD-FC52-4893-A529-28E75278B322}"/>
    <cellStyle name="Normal 9 6 2 2 2 4" xfId="33666" xr:uid="{337773D1-8AFD-49D2-805E-1B975F992046}"/>
    <cellStyle name="Normal 9 6 2 2 3" xfId="12568" xr:uid="{3C22A54F-0031-476E-AAC8-3B3651D9EDEF}"/>
    <cellStyle name="Normal 9 6 2 2 4" xfId="21009" xr:uid="{662029DC-20B6-4037-B91F-D7D83E4130B6}"/>
    <cellStyle name="Normal 9 6 2 2 5" xfId="29449" xr:uid="{1D8427A2-53B1-4D33-86F5-7AC343CC7F1F}"/>
    <cellStyle name="Normal 9 6 2 3" xfId="5314" xr:uid="{00000000-0005-0000-0000-000076200000}"/>
    <cellStyle name="Normal 9 6 2 3 2" xfId="14640" xr:uid="{87D1C138-A66E-40BA-8797-A6F21D438663}"/>
    <cellStyle name="Normal 9 6 2 3 3" xfId="23081" xr:uid="{C9B8E1DB-B851-4D66-B9B7-5E66A805E84C}"/>
    <cellStyle name="Normal 9 6 2 3 4" xfId="31521" xr:uid="{4E528D5E-D507-49E5-BB7C-F353DB646FB2}"/>
    <cellStyle name="Normal 9 6 2 4" xfId="9389" xr:uid="{2A0458F6-466A-4C3B-BA39-FF09FD770FDD}"/>
    <cellStyle name="Normal 9 6 2 5" xfId="10423" xr:uid="{74FA7016-91E7-49D5-A5CD-56AD7EE419E7}"/>
    <cellStyle name="Normal 9 6 2 6" xfId="18864" xr:uid="{31A862AA-C746-43DB-AF1B-21DFA8958306}"/>
    <cellStyle name="Normal 9 6 2 7" xfId="27304" xr:uid="{39CE1C6B-5005-455D-9445-FB3A0E00C477}"/>
    <cellStyle name="Normal 9 6 3" xfId="1420" xr:uid="{00000000-0005-0000-0000-000077200000}"/>
    <cellStyle name="Normal 9 6 3 2" xfId="3650" xr:uid="{00000000-0005-0000-0000-000078200000}"/>
    <cellStyle name="Normal 9 6 3 2 2" xfId="7872" xr:uid="{00000000-0005-0000-0000-000079200000}"/>
    <cellStyle name="Normal 9 6 3 2 2 2" xfId="17198" xr:uid="{0DDF5D97-905E-424B-8050-FD7B545BB6C9}"/>
    <cellStyle name="Normal 9 6 3 2 2 3" xfId="25639" xr:uid="{3158261C-90BE-4CCE-AB38-2C034549B302}"/>
    <cellStyle name="Normal 9 6 3 2 2 4" xfId="34079" xr:uid="{7E0AE016-8BDF-4758-86B6-F11A94852300}"/>
    <cellStyle name="Normal 9 6 3 2 3" xfId="12981" xr:uid="{5D821966-0DAD-472C-A878-9B258A61736F}"/>
    <cellStyle name="Normal 9 6 3 2 4" xfId="21422" xr:uid="{A5FF2CA0-2482-4995-BA6A-87D3E5B8C1CD}"/>
    <cellStyle name="Normal 9 6 3 2 5" xfId="29862" xr:uid="{0A5E0E4C-9EC5-4A71-9C35-6A85117BBA06}"/>
    <cellStyle name="Normal 9 6 3 3" xfId="5727" xr:uid="{00000000-0005-0000-0000-00007A200000}"/>
    <cellStyle name="Normal 9 6 3 3 2" xfId="15053" xr:uid="{66A255A7-1266-4E14-8991-876A5D4E41BF}"/>
    <cellStyle name="Normal 9 6 3 3 3" xfId="23494" xr:uid="{933D1D21-52AC-4D9A-B516-CB4569382907}"/>
    <cellStyle name="Normal 9 6 3 3 4" xfId="31934" xr:uid="{E1989E35-652A-4745-A66E-CBC1F6AF1991}"/>
    <cellStyle name="Normal 9 6 3 4" xfId="10836" xr:uid="{762902A5-1260-4205-A9BA-77E5F1FBB530}"/>
    <cellStyle name="Normal 9 6 3 5" xfId="19277" xr:uid="{259EDA21-81E3-4495-9CD6-A7A04E70720E}"/>
    <cellStyle name="Normal 9 6 3 6" xfId="27717" xr:uid="{4A1D9069-A23F-425D-BBAE-E84F8164509D}"/>
    <cellStyle name="Normal 9 6 4" xfId="1833" xr:uid="{00000000-0005-0000-0000-00007B200000}"/>
    <cellStyle name="Normal 9 6 4 2" xfId="4063" xr:uid="{00000000-0005-0000-0000-00007C200000}"/>
    <cellStyle name="Normal 9 6 4 2 2" xfId="8285" xr:uid="{00000000-0005-0000-0000-00007D200000}"/>
    <cellStyle name="Normal 9 6 4 2 2 2" xfId="17611" xr:uid="{D23C20B8-DA79-4B48-8427-D99179102C06}"/>
    <cellStyle name="Normal 9 6 4 2 2 3" xfId="26052" xr:uid="{7CEB94E4-CD01-4FAC-B71B-97E050C6FB2C}"/>
    <cellStyle name="Normal 9 6 4 2 2 4" xfId="34492" xr:uid="{39D5B37E-DF04-4297-B9D7-F9CE81E83059}"/>
    <cellStyle name="Normal 9 6 4 2 3" xfId="13394" xr:uid="{B52BB58B-C5C2-4A10-9FBF-C34A647CD1BF}"/>
    <cellStyle name="Normal 9 6 4 2 4" xfId="21835" xr:uid="{B3A0B4DD-37F4-44FA-B0D5-4026581414DD}"/>
    <cellStyle name="Normal 9 6 4 2 5" xfId="30275" xr:uid="{F2FE9FC5-2EA7-4A50-A19C-B3881609235D}"/>
    <cellStyle name="Normal 9 6 4 3" xfId="6140" xr:uid="{00000000-0005-0000-0000-00007E200000}"/>
    <cellStyle name="Normal 9 6 4 3 2" xfId="15466" xr:uid="{AA0C34EB-3759-4741-B5C2-D54B1400D972}"/>
    <cellStyle name="Normal 9 6 4 3 3" xfId="23907" xr:uid="{B5A4EFAA-CC75-4040-9760-E3AD82A5C413}"/>
    <cellStyle name="Normal 9 6 4 3 4" xfId="32347" xr:uid="{D4FCB84D-E647-4550-9F79-AF134FAAFCA1}"/>
    <cellStyle name="Normal 9 6 4 4" xfId="11249" xr:uid="{7B8BB716-29DA-400D-94C0-6D670A07AF94}"/>
    <cellStyle name="Normal 9 6 4 5" xfId="19690" xr:uid="{13AAD846-9E5A-4B98-8373-35508B63503E}"/>
    <cellStyle name="Normal 9 6 4 6" xfId="28130" xr:uid="{30E53146-D0F0-46CF-A32C-12359EC97B09}"/>
    <cellStyle name="Normal 9 6 5" xfId="2247" xr:uid="{00000000-0005-0000-0000-00007F200000}"/>
    <cellStyle name="Normal 9 6 5 2" xfId="4476" xr:uid="{00000000-0005-0000-0000-000080200000}"/>
    <cellStyle name="Normal 9 6 5 2 2" xfId="8698" xr:uid="{00000000-0005-0000-0000-000081200000}"/>
    <cellStyle name="Normal 9 6 5 2 2 2" xfId="18024" xr:uid="{EBA09173-0F8E-46C1-9C9C-CB6B178706FF}"/>
    <cellStyle name="Normal 9 6 5 2 2 3" xfId="26465" xr:uid="{3C965BA4-D1C8-4652-B0E7-56F845D0038C}"/>
    <cellStyle name="Normal 9 6 5 2 2 4" xfId="34905" xr:uid="{E774E261-DEBC-41D3-8185-3990B673D92F}"/>
    <cellStyle name="Normal 9 6 5 2 3" xfId="13807" xr:uid="{19E56274-2756-424C-BEAC-4CB4057FC5B9}"/>
    <cellStyle name="Normal 9 6 5 2 4" xfId="22248" xr:uid="{BF31030B-5E20-45BA-A1CF-29BA223FC051}"/>
    <cellStyle name="Normal 9 6 5 2 5" xfId="30688" xr:uid="{39B24202-3FAB-48E6-B919-7BF70B06C173}"/>
    <cellStyle name="Normal 9 6 5 3" xfId="6553" xr:uid="{00000000-0005-0000-0000-000082200000}"/>
    <cellStyle name="Normal 9 6 5 3 2" xfId="15879" xr:uid="{5C2B4A56-0763-447E-A47F-72C77775BF73}"/>
    <cellStyle name="Normal 9 6 5 3 3" xfId="24320" xr:uid="{E7543338-7D43-40C8-B27E-D217F71DA84A}"/>
    <cellStyle name="Normal 9 6 5 3 4" xfId="32760" xr:uid="{31C22D7F-1301-4D20-BD51-5A4259176D94}"/>
    <cellStyle name="Normal 9 6 5 4" xfId="11662" xr:uid="{F012D7CD-4DD9-4966-BAD7-8EAF9D46B0E0}"/>
    <cellStyle name="Normal 9 6 5 5" xfId="20103" xr:uid="{00FDBBC9-DD9F-40D3-81D7-182D019AD8EE}"/>
    <cellStyle name="Normal 9 6 5 6" xfId="28543" xr:uid="{7D6D692A-6F16-4CE8-82ED-BAD68259007E}"/>
    <cellStyle name="Normal 9 6 6" xfId="2683" xr:uid="{00000000-0005-0000-0000-000083200000}"/>
    <cellStyle name="Normal 9 6 6 2" xfId="6966" xr:uid="{00000000-0005-0000-0000-000084200000}"/>
    <cellStyle name="Normal 9 6 6 2 2" xfId="16292" xr:uid="{31C6FFDF-0BD6-4B6D-8B23-32312F859D85}"/>
    <cellStyle name="Normal 9 6 6 2 3" xfId="24733" xr:uid="{D7F4A04E-AA91-438D-BC24-CD33DDC53225}"/>
    <cellStyle name="Normal 9 6 6 2 4" xfId="33173" xr:uid="{70DB5EB5-61E6-4059-A7D6-125D2E841431}"/>
    <cellStyle name="Normal 9 6 6 3" xfId="12075" xr:uid="{EC1DE0AA-C8C6-45C3-A6F0-A18FA7DC4BA9}"/>
    <cellStyle name="Normal 9 6 6 4" xfId="20516" xr:uid="{F1418078-42D4-4483-9936-36F27402134A}"/>
    <cellStyle name="Normal 9 6 6 5" xfId="28956" xr:uid="{445CE287-DE95-47D1-814A-4D46027C1CAD}"/>
    <cellStyle name="Normal 9 6 7" xfId="4901" xr:uid="{00000000-0005-0000-0000-000085200000}"/>
    <cellStyle name="Normal 9 6 7 2" xfId="14227" xr:uid="{7B4445BF-25D7-4471-8FF5-A69C87C9B20C}"/>
    <cellStyle name="Normal 9 6 7 3" xfId="22668" xr:uid="{FB7411E3-934A-452A-9979-9A781908B155}"/>
    <cellStyle name="Normal 9 6 7 4" xfId="31108" xr:uid="{692D042F-E030-41F9-A4B2-D7E73BE33E81}"/>
    <cellStyle name="Normal 9 6 8" xfId="8964" xr:uid="{9BBC9C46-7A3A-4BC9-9542-DC33DFA165C2}"/>
    <cellStyle name="Normal 9 6 9" xfId="10010" xr:uid="{039904A4-CFEC-46D3-B363-9F8C565C56BE}"/>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53FA3B5E-1D3B-4876-B03E-2AC5DAF6567F}"/>
    <cellStyle name="Note 2 2 10 2 3" xfId="24814" xr:uid="{C1FB15B2-769B-41F7-B312-9E75B5B2AB29}"/>
    <cellStyle name="Note 2 2 10 2 4" xfId="33254" xr:uid="{1DCD133A-70C9-4D20-B423-419607D6E54D}"/>
    <cellStyle name="Note 2 2 10 3" xfId="12156" xr:uid="{E0224867-0BB7-4E2A-87AB-65C8A0ECED2B}"/>
    <cellStyle name="Note 2 2 10 4" xfId="20597" xr:uid="{1269273D-F441-424E-B1CC-CADFE9FD04A5}"/>
    <cellStyle name="Note 2 2 10 5" xfId="29037" xr:uid="{B79FA0C4-89C0-45F9-A6F3-21E7FDE0EEDF}"/>
    <cellStyle name="Note 2 2 11" xfId="4902" xr:uid="{00000000-0005-0000-0000-000094200000}"/>
    <cellStyle name="Note 2 2 11 2" xfId="14228" xr:uid="{DDFD0B46-A43A-4E8D-A851-702E6D503E02}"/>
    <cellStyle name="Note 2 2 11 3" xfId="22669" xr:uid="{7315F735-B6AA-4C80-BB27-3131C1CAE391}"/>
    <cellStyle name="Note 2 2 11 4" xfId="31109" xr:uid="{928EFDF8-4402-47D2-9B9F-31D877AC41EC}"/>
    <cellStyle name="Note 2 2 12" xfId="8841" xr:uid="{E94E1FD8-31C4-4718-9658-C7A587CBF323}"/>
    <cellStyle name="Note 2 2 13" xfId="10011" xr:uid="{900E027A-0A63-467B-91EC-0115FC3F4E75}"/>
    <cellStyle name="Note 2 2 14" xfId="18452" xr:uid="{86693AE8-F379-49DE-9EC3-95D4E50096CA}"/>
    <cellStyle name="Note 2 2 15" xfId="26892" xr:uid="{3F8A1E31-E021-435A-99CE-D20E0F1403BD}"/>
    <cellStyle name="Note 2 2 2" xfId="546" xr:uid="{00000000-0005-0000-0000-000095200000}"/>
    <cellStyle name="Note 2 2 2 10" xfId="4903" xr:uid="{00000000-0005-0000-0000-000096200000}"/>
    <cellStyle name="Note 2 2 2 10 2" xfId="14229" xr:uid="{5CD303B9-C068-4526-82A6-2218733DBE8E}"/>
    <cellStyle name="Note 2 2 2 10 3" xfId="22670" xr:uid="{0A36B2A3-8FA5-4CDA-8031-DB96F21806FF}"/>
    <cellStyle name="Note 2 2 2 10 4" xfId="31110" xr:uid="{E770371C-1706-44CE-A7E0-74925522BEF5}"/>
    <cellStyle name="Note 2 2 2 11" xfId="8944" xr:uid="{B75A3404-A4A3-41D6-B6C3-54560C6DD592}"/>
    <cellStyle name="Note 2 2 2 12" xfId="10012" xr:uid="{6B88E0A1-BDA4-4371-BC9D-8143B0015754}"/>
    <cellStyle name="Note 2 2 2 13" xfId="18453" xr:uid="{90414B9D-BD20-4827-952E-C31723010BFF}"/>
    <cellStyle name="Note 2 2 2 14" xfId="26893" xr:uid="{8636D866-2E01-423C-9D6B-4F182287D48C}"/>
    <cellStyle name="Note 2 2 2 2" xfId="547" xr:uid="{00000000-0005-0000-0000-000097200000}"/>
    <cellStyle name="Note 2 2 2 2 10" xfId="9151" xr:uid="{DE810DD8-00EC-4339-9CFC-C84D5E182971}"/>
    <cellStyle name="Note 2 2 2 2 11" xfId="10013" xr:uid="{26D5EA1E-B4EB-4944-B687-01373F453875}"/>
    <cellStyle name="Note 2 2 2 2 12" xfId="18454" xr:uid="{5E525AB4-3880-4B44-A153-84D5D90AE3DC}"/>
    <cellStyle name="Note 2 2 2 2 13" xfId="26894" xr:uid="{356236D7-DC2D-4CE1-9260-1701F03821FE}"/>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AE357F71-72C8-4167-B1EA-7D8E15023AE4}"/>
    <cellStyle name="Note 2 2 2 2 2 2 2 3" xfId="25229" xr:uid="{57401126-2C62-42B9-9E65-77BFE15C6D42}"/>
    <cellStyle name="Note 2 2 2 2 2 2 2 4" xfId="33669" xr:uid="{D589D358-EC4F-4D74-A391-535EADDF7AAD}"/>
    <cellStyle name="Note 2 2 2 2 2 2 3" xfId="12571" xr:uid="{FCC5EC8C-74D1-405A-994A-6F9F0E5B0964}"/>
    <cellStyle name="Note 2 2 2 2 2 2 4" xfId="21012" xr:uid="{475A41E6-0239-4E95-A31F-7D36012AC3B0}"/>
    <cellStyle name="Note 2 2 2 2 2 2 5" xfId="29452" xr:uid="{93A95BD6-6F94-4595-9D20-56C13A8CD510}"/>
    <cellStyle name="Note 2 2 2 2 2 3" xfId="5317" xr:uid="{00000000-0005-0000-0000-00009B200000}"/>
    <cellStyle name="Note 2 2 2 2 2 3 2" xfId="14643" xr:uid="{82BAD1F6-0A4D-4D82-8B74-4DB2BD62256A}"/>
    <cellStyle name="Note 2 2 2 2 2 3 3" xfId="23084" xr:uid="{004818AA-A6FD-437B-931D-CC20722B03FC}"/>
    <cellStyle name="Note 2 2 2 2 2 3 4" xfId="31524" xr:uid="{71BB396F-5243-45B4-B458-E2819546B448}"/>
    <cellStyle name="Note 2 2 2 2 2 4" xfId="9576" xr:uid="{375E296C-598F-454E-B7C4-9E851CE02ED2}"/>
    <cellStyle name="Note 2 2 2 2 2 5" xfId="10426" xr:uid="{918F9E58-B0F9-498C-8298-1A1DD3F9E897}"/>
    <cellStyle name="Note 2 2 2 2 2 6" xfId="18867" xr:uid="{29697325-20C5-4023-83C0-B690933DC0C5}"/>
    <cellStyle name="Note 2 2 2 2 2 7" xfId="27307" xr:uid="{DF027DC0-1EE8-4BA0-8FBF-520D82517097}"/>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0A00D754-8EE8-4E60-808A-AA446515CCC9}"/>
    <cellStyle name="Note 2 2 2 2 3 2 2 3" xfId="25642" xr:uid="{5BB5065A-C3D8-41F9-A9B9-7572BC5D956D}"/>
    <cellStyle name="Note 2 2 2 2 3 2 2 4" xfId="34082" xr:uid="{A4306A35-9388-40EB-ACAD-109A24521A4D}"/>
    <cellStyle name="Note 2 2 2 2 3 2 3" xfId="12984" xr:uid="{34056C06-39F8-4B29-B077-0DD05C44773A}"/>
    <cellStyle name="Note 2 2 2 2 3 2 4" xfId="21425" xr:uid="{775C63CF-FDDC-40BF-BA05-BE413A4E7703}"/>
    <cellStyle name="Note 2 2 2 2 3 2 5" xfId="29865" xr:uid="{5A007FC3-1EC7-4B05-A413-79792D311803}"/>
    <cellStyle name="Note 2 2 2 2 3 3" xfId="5730" xr:uid="{00000000-0005-0000-0000-00009F200000}"/>
    <cellStyle name="Note 2 2 2 2 3 3 2" xfId="15056" xr:uid="{BBADE4B4-99CD-4403-88BF-14EA3E0808D7}"/>
    <cellStyle name="Note 2 2 2 2 3 3 3" xfId="23497" xr:uid="{173BAC87-7BA3-47C1-BC6A-4B2C9B660687}"/>
    <cellStyle name="Note 2 2 2 2 3 3 4" xfId="31937" xr:uid="{2A846B54-93A0-4309-AD14-D07FFB195503}"/>
    <cellStyle name="Note 2 2 2 2 3 4" xfId="10839" xr:uid="{82FE7C59-23FE-4684-B7AA-86737019989E}"/>
    <cellStyle name="Note 2 2 2 2 3 5" xfId="19280" xr:uid="{93505CF6-DCA7-4867-A077-5D6A969C9E49}"/>
    <cellStyle name="Note 2 2 2 2 3 6" xfId="27720" xr:uid="{588A5B6F-BAF9-420B-9B51-C783A546AEF0}"/>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0BA6E825-7D74-4742-8DEE-17A979CEABB6}"/>
    <cellStyle name="Note 2 2 2 2 4 2 2 3" xfId="26055" xr:uid="{4CB4CBB1-DBE3-4F47-89FA-38DB34D73555}"/>
    <cellStyle name="Note 2 2 2 2 4 2 2 4" xfId="34495" xr:uid="{AB9A33F2-CE6D-4894-8CA1-9BEA6993A703}"/>
    <cellStyle name="Note 2 2 2 2 4 2 3" xfId="13397" xr:uid="{976B59D5-B866-47BB-B58C-544B30496114}"/>
    <cellStyle name="Note 2 2 2 2 4 2 4" xfId="21838" xr:uid="{51525D3B-27BC-4526-9236-A442CAD9ED13}"/>
    <cellStyle name="Note 2 2 2 2 4 2 5" xfId="30278" xr:uid="{0226D29B-48D4-4925-84C3-4B871051A381}"/>
    <cellStyle name="Note 2 2 2 2 4 3" xfId="6143" xr:uid="{00000000-0005-0000-0000-0000A3200000}"/>
    <cellStyle name="Note 2 2 2 2 4 3 2" xfId="15469" xr:uid="{C5542454-55B2-4DEA-B5C8-A446DBAA3992}"/>
    <cellStyle name="Note 2 2 2 2 4 3 3" xfId="23910" xr:uid="{8DFA027F-A810-4A9B-AE4E-9FEEC974E88E}"/>
    <cellStyle name="Note 2 2 2 2 4 3 4" xfId="32350" xr:uid="{510C780C-E222-42C3-A3BD-DCCC3FF68981}"/>
    <cellStyle name="Note 2 2 2 2 4 4" xfId="11252" xr:uid="{C083208D-63D6-471B-9363-A9835354847A}"/>
    <cellStyle name="Note 2 2 2 2 4 5" xfId="19693" xr:uid="{7525106B-392C-49AC-B9CB-E24BA48177A8}"/>
    <cellStyle name="Note 2 2 2 2 4 6" xfId="28133" xr:uid="{E95D6CB8-2065-425C-A928-CBC5B7075828}"/>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5BC444F5-8D8E-4C67-BDD7-C6AB1A206531}"/>
    <cellStyle name="Note 2 2 2 2 5 2 2 3" xfId="26468" xr:uid="{F18CE382-AF85-4335-A779-67FB2A98AFEA}"/>
    <cellStyle name="Note 2 2 2 2 5 2 2 4" xfId="34908" xr:uid="{455BD68F-6808-4C60-89DF-EE60AC25D922}"/>
    <cellStyle name="Note 2 2 2 2 5 2 3" xfId="13810" xr:uid="{0C425B5C-87CD-4F16-8BC3-195B1A0B4F88}"/>
    <cellStyle name="Note 2 2 2 2 5 2 4" xfId="22251" xr:uid="{39170DE9-679B-43B6-9F76-E2CBDBDC308F}"/>
    <cellStyle name="Note 2 2 2 2 5 2 5" xfId="30691" xr:uid="{761026EB-D2EC-4C69-9A5A-D47D3584084A}"/>
    <cellStyle name="Note 2 2 2 2 5 3" xfId="6556" xr:uid="{00000000-0005-0000-0000-0000A7200000}"/>
    <cellStyle name="Note 2 2 2 2 5 3 2" xfId="15882" xr:uid="{2F1D441F-F808-437D-83BA-85B9A7AF1213}"/>
    <cellStyle name="Note 2 2 2 2 5 3 3" xfId="24323" xr:uid="{96230148-0F21-492C-B972-86EC4490AD0D}"/>
    <cellStyle name="Note 2 2 2 2 5 3 4" xfId="32763" xr:uid="{E4D6E963-4EB5-4AD5-94B3-A0B74F8EEA31}"/>
    <cellStyle name="Note 2 2 2 2 5 4" xfId="11665" xr:uid="{8230A487-6FA0-47F5-8ADD-3542722DF9DC}"/>
    <cellStyle name="Note 2 2 2 2 5 5" xfId="20106" xr:uid="{CA7ABFF6-5479-4519-BB3A-A24107144986}"/>
    <cellStyle name="Note 2 2 2 2 5 6" xfId="28546" xr:uid="{484A3E55-D918-4B12-857D-36B70672957C}"/>
    <cellStyle name="Note 2 2 2 2 6" xfId="2686" xr:uid="{00000000-0005-0000-0000-0000A8200000}"/>
    <cellStyle name="Note 2 2 2 2 6 2" xfId="6969" xr:uid="{00000000-0005-0000-0000-0000A9200000}"/>
    <cellStyle name="Note 2 2 2 2 6 2 2" xfId="16295" xr:uid="{8CAFB1B6-ED94-4E20-9B6B-D5B14331DDBF}"/>
    <cellStyle name="Note 2 2 2 2 6 2 3" xfId="24736" xr:uid="{90824ED6-38CC-44C7-B5A8-5A93BE3E441F}"/>
    <cellStyle name="Note 2 2 2 2 6 2 4" xfId="33176" xr:uid="{FFB078F0-F3AA-4269-9393-846B44F64AD3}"/>
    <cellStyle name="Note 2 2 2 2 6 3" xfId="12078" xr:uid="{A3989D92-16E7-4FAD-82AA-AA4057232D9A}"/>
    <cellStyle name="Note 2 2 2 2 6 4" xfId="20519" xr:uid="{0248EB03-F49B-4211-85EE-846706F94AAC}"/>
    <cellStyle name="Note 2 2 2 2 6 5" xfId="28959" xr:uid="{3F31CDB2-88A0-4BF3-A86B-55C6EA3FA816}"/>
    <cellStyle name="Note 2 2 2 2 7" xfId="2745" xr:uid="{00000000-0005-0000-0000-0000AA200000}"/>
    <cellStyle name="Note 2 2 2 2 8" xfId="2826" xr:uid="{00000000-0005-0000-0000-0000AB200000}"/>
    <cellStyle name="Note 2 2 2 2 8 2" xfId="7049" xr:uid="{00000000-0005-0000-0000-0000AC200000}"/>
    <cellStyle name="Note 2 2 2 2 8 2 2" xfId="16375" xr:uid="{910DCE35-76AB-4B17-B639-F3739A7E0913}"/>
    <cellStyle name="Note 2 2 2 2 8 2 3" xfId="24816" xr:uid="{C4A3EF3E-9498-4F9C-8558-7C4951E3AC75}"/>
    <cellStyle name="Note 2 2 2 2 8 2 4" xfId="33256" xr:uid="{E101AC4F-319D-4BB0-B1DB-FFD1B5306CBF}"/>
    <cellStyle name="Note 2 2 2 2 8 3" xfId="12158" xr:uid="{1BE045EB-3815-4B68-8FB3-8A9B3C0B6771}"/>
    <cellStyle name="Note 2 2 2 2 8 4" xfId="20599" xr:uid="{20851AA4-D0AC-482B-A203-2FF13CB58C0B}"/>
    <cellStyle name="Note 2 2 2 2 8 5" xfId="29039" xr:uid="{A1B32119-923E-4DE0-A207-918E530057EA}"/>
    <cellStyle name="Note 2 2 2 2 9" xfId="4904" xr:uid="{00000000-0005-0000-0000-0000AD200000}"/>
    <cellStyle name="Note 2 2 2 2 9 2" xfId="14230" xr:uid="{A1995420-F022-472F-B5A7-81B060FFDDCB}"/>
    <cellStyle name="Note 2 2 2 2 9 3" xfId="22671" xr:uid="{199A417D-A5D0-4674-9466-C644E38F923F}"/>
    <cellStyle name="Note 2 2 2 2 9 4" xfId="31111" xr:uid="{D9A8DCC7-3FF9-47B8-AB40-80626C38A1DC}"/>
    <cellStyle name="Note 2 2 2 3" xfId="1007" xr:uid="{00000000-0005-0000-0000-0000AE200000}"/>
    <cellStyle name="Note 2 2 2 3 2" xfId="3239" xr:uid="{00000000-0005-0000-0000-0000AF200000}"/>
    <cellStyle name="Note 2 2 2 3 2 2" xfId="7461" xr:uid="{00000000-0005-0000-0000-0000B0200000}"/>
    <cellStyle name="Note 2 2 2 3 2 2 2" xfId="16787" xr:uid="{5ED961AF-28D1-429E-A048-5BCE6D63BE3E}"/>
    <cellStyle name="Note 2 2 2 3 2 2 3" xfId="25228" xr:uid="{2E5E526D-5EE6-4FDB-8568-CF3EEA1681D4}"/>
    <cellStyle name="Note 2 2 2 3 2 2 4" xfId="33668" xr:uid="{365D9A32-B674-4CCE-8288-8AC4ED0E42D3}"/>
    <cellStyle name="Note 2 2 2 3 2 3" xfId="12570" xr:uid="{D50D6578-52E9-4CA3-8D13-36AE57B8CDAE}"/>
    <cellStyle name="Note 2 2 2 3 2 4" xfId="21011" xr:uid="{A9C5ED1A-2420-441F-94F3-46CD2A2A811C}"/>
    <cellStyle name="Note 2 2 2 3 2 5" xfId="29451" xr:uid="{30A00591-12CF-4C00-A0C3-E1DEFC776C5D}"/>
    <cellStyle name="Note 2 2 2 3 3" xfId="5316" xr:uid="{00000000-0005-0000-0000-0000B1200000}"/>
    <cellStyle name="Note 2 2 2 3 3 2" xfId="14642" xr:uid="{E5784B44-0555-46BE-AC7F-4489A9E04773}"/>
    <cellStyle name="Note 2 2 2 3 3 3" xfId="23083" xr:uid="{44BBAF11-81A0-47CD-9E11-C595CC381383}"/>
    <cellStyle name="Note 2 2 2 3 3 4" xfId="31523" xr:uid="{CA1600FA-D884-401C-B4D2-80877144A99E}"/>
    <cellStyle name="Note 2 2 2 3 4" xfId="9369" xr:uid="{37FCA23B-964B-404F-A343-B489211FDCDC}"/>
    <cellStyle name="Note 2 2 2 3 5" xfId="10425" xr:uid="{D4433A38-7FA6-4278-8EC5-65FD49EB8AE1}"/>
    <cellStyle name="Note 2 2 2 3 6" xfId="18866" xr:uid="{46FB80F8-D555-41A5-B87D-13E1A607AB2F}"/>
    <cellStyle name="Note 2 2 2 3 7" xfId="27306" xr:uid="{7767D544-6E5C-4A9D-9AF7-44DB9F7D51F4}"/>
    <cellStyle name="Note 2 2 2 4" xfId="1422" xr:uid="{00000000-0005-0000-0000-0000B2200000}"/>
    <cellStyle name="Note 2 2 2 4 2" xfId="3652" xr:uid="{00000000-0005-0000-0000-0000B3200000}"/>
    <cellStyle name="Note 2 2 2 4 2 2" xfId="7874" xr:uid="{00000000-0005-0000-0000-0000B4200000}"/>
    <cellStyle name="Note 2 2 2 4 2 2 2" xfId="17200" xr:uid="{FF026742-D1BC-4F7B-9A3E-11EC1185D938}"/>
    <cellStyle name="Note 2 2 2 4 2 2 3" xfId="25641" xr:uid="{3DA9243E-D1B7-4A9E-98C4-6D506BA1F956}"/>
    <cellStyle name="Note 2 2 2 4 2 2 4" xfId="34081" xr:uid="{8A5D8D05-4926-4BE2-8E87-C60C84507F30}"/>
    <cellStyle name="Note 2 2 2 4 2 3" xfId="12983" xr:uid="{25CB016A-E10B-4EBF-BBBE-090CA6F5DBAC}"/>
    <cellStyle name="Note 2 2 2 4 2 4" xfId="21424" xr:uid="{41EC9017-2E4D-4FD7-9878-A72543CF4687}"/>
    <cellStyle name="Note 2 2 2 4 2 5" xfId="29864" xr:uid="{FFDF2CE4-1E91-4C21-92D3-722639F9C0F4}"/>
    <cellStyle name="Note 2 2 2 4 3" xfId="5729" xr:uid="{00000000-0005-0000-0000-0000B5200000}"/>
    <cellStyle name="Note 2 2 2 4 3 2" xfId="15055" xr:uid="{0484B037-DF84-41EC-825C-4AAB0BBB1798}"/>
    <cellStyle name="Note 2 2 2 4 3 3" xfId="23496" xr:uid="{ACECFAC4-3CEA-45A2-9A56-B571D8FBDC36}"/>
    <cellStyle name="Note 2 2 2 4 3 4" xfId="31936" xr:uid="{4A73D2EB-C41B-4195-9750-91480F89B0D9}"/>
    <cellStyle name="Note 2 2 2 4 4" xfId="10838" xr:uid="{459BF8A8-5AA5-4EAC-A03D-0AFFBFE12A53}"/>
    <cellStyle name="Note 2 2 2 4 5" xfId="19279" xr:uid="{B6553D67-0990-4698-97D8-95B09B860AF2}"/>
    <cellStyle name="Note 2 2 2 4 6" xfId="27719" xr:uid="{953A579A-3A57-44CB-BA62-49D53BB98184}"/>
    <cellStyle name="Note 2 2 2 5" xfId="1836" xr:uid="{00000000-0005-0000-0000-0000B6200000}"/>
    <cellStyle name="Note 2 2 2 5 2" xfId="4065" xr:uid="{00000000-0005-0000-0000-0000B7200000}"/>
    <cellStyle name="Note 2 2 2 5 2 2" xfId="8287" xr:uid="{00000000-0005-0000-0000-0000B8200000}"/>
    <cellStyle name="Note 2 2 2 5 2 2 2" xfId="17613" xr:uid="{C3CBC2D6-D552-43AC-BB42-6C615027F419}"/>
    <cellStyle name="Note 2 2 2 5 2 2 3" xfId="26054" xr:uid="{5CAFFE0A-3B9B-4196-9A21-4558C178A9E8}"/>
    <cellStyle name="Note 2 2 2 5 2 2 4" xfId="34494" xr:uid="{9F6943DA-7706-49D4-B099-34D3053C3E6F}"/>
    <cellStyle name="Note 2 2 2 5 2 3" xfId="13396" xr:uid="{9968E433-E6B9-44BB-BBA3-307FF6E7A5F4}"/>
    <cellStyle name="Note 2 2 2 5 2 4" xfId="21837" xr:uid="{2BAD5329-2002-4661-A47B-FBF58DEB959F}"/>
    <cellStyle name="Note 2 2 2 5 2 5" xfId="30277" xr:uid="{8363E865-FC8B-479E-968A-E4FCC35E6BDF}"/>
    <cellStyle name="Note 2 2 2 5 3" xfId="6142" xr:uid="{00000000-0005-0000-0000-0000B9200000}"/>
    <cellStyle name="Note 2 2 2 5 3 2" xfId="15468" xr:uid="{A06402A7-88C6-4B79-9C73-F9892E88894C}"/>
    <cellStyle name="Note 2 2 2 5 3 3" xfId="23909" xr:uid="{F6E23D21-54E9-46D7-B1DC-6F139FCA08E5}"/>
    <cellStyle name="Note 2 2 2 5 3 4" xfId="32349" xr:uid="{90836AC1-85FE-4EA1-93B6-D95460F25275}"/>
    <cellStyle name="Note 2 2 2 5 4" xfId="11251" xr:uid="{90A18BC8-C873-4BCA-8436-9CCB6BAE593B}"/>
    <cellStyle name="Note 2 2 2 5 5" xfId="19692" xr:uid="{E7064F67-EA5E-4C1C-A41D-4C2FF8C3D18C}"/>
    <cellStyle name="Note 2 2 2 5 6" xfId="28132" xr:uid="{0FE8B56F-B0CA-4523-981A-11C816F03331}"/>
    <cellStyle name="Note 2 2 2 6" xfId="2249" xr:uid="{00000000-0005-0000-0000-0000BA200000}"/>
    <cellStyle name="Note 2 2 2 6 2" xfId="4478" xr:uid="{00000000-0005-0000-0000-0000BB200000}"/>
    <cellStyle name="Note 2 2 2 6 2 2" xfId="8700" xr:uid="{00000000-0005-0000-0000-0000BC200000}"/>
    <cellStyle name="Note 2 2 2 6 2 2 2" xfId="18026" xr:uid="{696EA834-3278-4772-A51B-2677A8A5FEE3}"/>
    <cellStyle name="Note 2 2 2 6 2 2 3" xfId="26467" xr:uid="{767EBC42-06D2-45D3-BD0F-4EC6B887F991}"/>
    <cellStyle name="Note 2 2 2 6 2 2 4" xfId="34907" xr:uid="{46D2A799-13FD-432B-BEA7-CCC8712079EE}"/>
    <cellStyle name="Note 2 2 2 6 2 3" xfId="13809" xr:uid="{8C407D6E-A190-456F-846F-0F696BDCDD21}"/>
    <cellStyle name="Note 2 2 2 6 2 4" xfId="22250" xr:uid="{8B1FF8A6-5FD2-4373-802F-4FC4FEBFDD9D}"/>
    <cellStyle name="Note 2 2 2 6 2 5" xfId="30690" xr:uid="{38470559-61B0-430F-99FC-0B3C6FF42F8F}"/>
    <cellStyle name="Note 2 2 2 6 3" xfId="6555" xr:uid="{00000000-0005-0000-0000-0000BD200000}"/>
    <cellStyle name="Note 2 2 2 6 3 2" xfId="15881" xr:uid="{DAC2912C-A33E-4322-BFFC-902215A73337}"/>
    <cellStyle name="Note 2 2 2 6 3 3" xfId="24322" xr:uid="{0C4442B2-AFA1-4D98-83B5-F56198BF9984}"/>
    <cellStyle name="Note 2 2 2 6 3 4" xfId="32762" xr:uid="{8ECA7DE7-3AF8-4199-AD16-AB429DE7C872}"/>
    <cellStyle name="Note 2 2 2 6 4" xfId="11664" xr:uid="{1865E25B-2BC2-465B-8B87-98B205CC4227}"/>
    <cellStyle name="Note 2 2 2 6 5" xfId="20105" xr:uid="{17F18A77-CFE2-4C02-A414-C6476D3FBE3D}"/>
    <cellStyle name="Note 2 2 2 6 6" xfId="28545" xr:uid="{73B7CD7A-2063-4BCA-A0F0-149351190842}"/>
    <cellStyle name="Note 2 2 2 7" xfId="2685" xr:uid="{00000000-0005-0000-0000-0000BE200000}"/>
    <cellStyle name="Note 2 2 2 7 2" xfId="6968" xr:uid="{00000000-0005-0000-0000-0000BF200000}"/>
    <cellStyle name="Note 2 2 2 7 2 2" xfId="16294" xr:uid="{D0FA9A4A-E4E6-4F0E-9024-5ADCCA6B2778}"/>
    <cellStyle name="Note 2 2 2 7 2 3" xfId="24735" xr:uid="{2DF7B052-25AC-46D0-9E32-072297FCF6AC}"/>
    <cellStyle name="Note 2 2 2 7 2 4" xfId="33175" xr:uid="{C4993A1F-49FC-4CC4-9616-630B5316BDD8}"/>
    <cellStyle name="Note 2 2 2 7 3" xfId="12077" xr:uid="{3AAD34B0-7972-428C-931D-387867D41D4A}"/>
    <cellStyle name="Note 2 2 2 7 4" xfId="20518" xr:uid="{9CCACD54-4DDB-44A7-B7FC-928BD8C66E38}"/>
    <cellStyle name="Note 2 2 2 7 5" xfId="28958" xr:uid="{D72CEF9E-8721-473F-99C5-3262CE5A2952}"/>
    <cellStyle name="Note 2 2 2 8" xfId="2744" xr:uid="{00000000-0005-0000-0000-0000C0200000}"/>
    <cellStyle name="Note 2 2 2 9" xfId="2825" xr:uid="{00000000-0005-0000-0000-0000C1200000}"/>
    <cellStyle name="Note 2 2 2 9 2" xfId="7048" xr:uid="{00000000-0005-0000-0000-0000C2200000}"/>
    <cellStyle name="Note 2 2 2 9 2 2" xfId="16374" xr:uid="{DB28D626-ADF4-4F69-9947-8295E1133073}"/>
    <cellStyle name="Note 2 2 2 9 2 3" xfId="24815" xr:uid="{2FE8AF44-4DA7-4E7D-88F6-3D8C66084A69}"/>
    <cellStyle name="Note 2 2 2 9 2 4" xfId="33255" xr:uid="{C0FC92D6-AF1E-4465-A185-AB8D735D5EA7}"/>
    <cellStyle name="Note 2 2 2 9 3" xfId="12157" xr:uid="{31F7F5F2-A7F8-40F3-8CD5-5F58AC997920}"/>
    <cellStyle name="Note 2 2 2 9 4" xfId="20598" xr:uid="{F229972D-457F-412B-AC1A-A063872F8B16}"/>
    <cellStyle name="Note 2 2 2 9 5" xfId="29038" xr:uid="{4163DA86-6675-4F9C-A701-50E2BB895B92}"/>
    <cellStyle name="Note 2 2 3" xfId="548" xr:uid="{00000000-0005-0000-0000-0000C3200000}"/>
    <cellStyle name="Note 2 2 3 10" xfId="9048" xr:uid="{894401FF-B7D8-49E8-91E6-A1C42DD04D54}"/>
    <cellStyle name="Note 2 2 3 11" xfId="10014" xr:uid="{4CD17BD6-EDBC-4340-B9D7-8030969609DE}"/>
    <cellStyle name="Note 2 2 3 12" xfId="18455" xr:uid="{A92F391A-CB14-4486-8007-AAEF96294EB1}"/>
    <cellStyle name="Note 2 2 3 13" xfId="26895" xr:uid="{873BB924-97E3-4BA4-9552-1BAC55846D60}"/>
    <cellStyle name="Note 2 2 3 2" xfId="1009" xr:uid="{00000000-0005-0000-0000-0000C4200000}"/>
    <cellStyle name="Note 2 2 3 2 2" xfId="3241" xr:uid="{00000000-0005-0000-0000-0000C5200000}"/>
    <cellStyle name="Note 2 2 3 2 2 2" xfId="7463" xr:uid="{00000000-0005-0000-0000-0000C6200000}"/>
    <cellStyle name="Note 2 2 3 2 2 2 2" xfId="16789" xr:uid="{D40417F5-3A48-4BF6-B350-451E6135F944}"/>
    <cellStyle name="Note 2 2 3 2 2 2 3" xfId="25230" xr:uid="{91EC7986-E9BB-409C-A56D-913311C043C2}"/>
    <cellStyle name="Note 2 2 3 2 2 2 4" xfId="33670" xr:uid="{9EA1577B-27C6-44B2-AF37-1FA6149D6691}"/>
    <cellStyle name="Note 2 2 3 2 2 3" xfId="12572" xr:uid="{D33276AB-6131-4C6F-BF6E-19533CBF502B}"/>
    <cellStyle name="Note 2 2 3 2 2 4" xfId="21013" xr:uid="{C07C03AC-D529-4214-AABB-BE0FDA13ADEA}"/>
    <cellStyle name="Note 2 2 3 2 2 5" xfId="29453" xr:uid="{7CF8916E-AC2D-4336-BD05-6C53F49B9348}"/>
    <cellStyle name="Note 2 2 3 2 3" xfId="5318" xr:uid="{00000000-0005-0000-0000-0000C7200000}"/>
    <cellStyle name="Note 2 2 3 2 3 2" xfId="14644" xr:uid="{E9C7457F-6AC0-47AC-8A94-4713E5BA5C9F}"/>
    <cellStyle name="Note 2 2 3 2 3 3" xfId="23085" xr:uid="{43B89D90-D44B-4D59-B6E3-DC2CFB03A674}"/>
    <cellStyle name="Note 2 2 3 2 3 4" xfId="31525" xr:uid="{45EB2411-83C2-4C63-8BDF-7F5975FC8F1D}"/>
    <cellStyle name="Note 2 2 3 2 4" xfId="9473" xr:uid="{7711F4E0-385B-44CD-ACEA-5E9D7E4CD8DC}"/>
    <cellStyle name="Note 2 2 3 2 5" xfId="10427" xr:uid="{637BC9C9-0D20-42E0-BE7D-4862FD83747A}"/>
    <cellStyle name="Note 2 2 3 2 6" xfId="18868" xr:uid="{D0645D81-697B-4F76-A9A8-9F8017CDA906}"/>
    <cellStyle name="Note 2 2 3 2 7" xfId="27308" xr:uid="{94E7E00D-5405-44B3-B39F-7C5548D6AAD6}"/>
    <cellStyle name="Note 2 2 3 3" xfId="1424" xr:uid="{00000000-0005-0000-0000-0000C8200000}"/>
    <cellStyle name="Note 2 2 3 3 2" xfId="3654" xr:uid="{00000000-0005-0000-0000-0000C9200000}"/>
    <cellStyle name="Note 2 2 3 3 2 2" xfId="7876" xr:uid="{00000000-0005-0000-0000-0000CA200000}"/>
    <cellStyle name="Note 2 2 3 3 2 2 2" xfId="17202" xr:uid="{6FD5A5C6-592C-485A-B86C-603A25067889}"/>
    <cellStyle name="Note 2 2 3 3 2 2 3" xfId="25643" xr:uid="{9CAEC639-5E59-4C55-B8E9-4EA5A0F9808E}"/>
    <cellStyle name="Note 2 2 3 3 2 2 4" xfId="34083" xr:uid="{B294D587-1373-49F8-9BCB-6E53B9CABE1D}"/>
    <cellStyle name="Note 2 2 3 3 2 3" xfId="12985" xr:uid="{6C490A53-1CC5-4FC9-8B2B-6B7A6D4726F3}"/>
    <cellStyle name="Note 2 2 3 3 2 4" xfId="21426" xr:uid="{09C47A1C-DE7A-44EC-9FA9-8F8FBFB81480}"/>
    <cellStyle name="Note 2 2 3 3 2 5" xfId="29866" xr:uid="{7FF3F6B7-02A7-4B36-B7EA-A605B9BAD396}"/>
    <cellStyle name="Note 2 2 3 3 3" xfId="5731" xr:uid="{00000000-0005-0000-0000-0000CB200000}"/>
    <cellStyle name="Note 2 2 3 3 3 2" xfId="15057" xr:uid="{976BEA6B-446A-495F-AF9E-313DA5DC3FF4}"/>
    <cellStyle name="Note 2 2 3 3 3 3" xfId="23498" xr:uid="{83F08F52-06FE-4C70-94AE-DBC9076568F3}"/>
    <cellStyle name="Note 2 2 3 3 3 4" xfId="31938" xr:uid="{9608FC44-8397-4ED0-B8B6-89B05BA71F70}"/>
    <cellStyle name="Note 2 2 3 3 4" xfId="10840" xr:uid="{D595563C-8183-45EE-902A-5A2A3FA3A493}"/>
    <cellStyle name="Note 2 2 3 3 5" xfId="19281" xr:uid="{261A1EA9-9C62-4D34-A92E-58560524D499}"/>
    <cellStyle name="Note 2 2 3 3 6" xfId="27721" xr:uid="{C39C6022-BD35-4DBF-8FF9-3368FCF52EF5}"/>
    <cellStyle name="Note 2 2 3 4" xfId="1838" xr:uid="{00000000-0005-0000-0000-0000CC200000}"/>
    <cellStyle name="Note 2 2 3 4 2" xfId="4067" xr:uid="{00000000-0005-0000-0000-0000CD200000}"/>
    <cellStyle name="Note 2 2 3 4 2 2" xfId="8289" xr:uid="{00000000-0005-0000-0000-0000CE200000}"/>
    <cellStyle name="Note 2 2 3 4 2 2 2" xfId="17615" xr:uid="{D35BA4F0-FC60-4FEC-B730-1199DFE6BD1F}"/>
    <cellStyle name="Note 2 2 3 4 2 2 3" xfId="26056" xr:uid="{14546294-EDC3-41C7-A121-6027AEF6622F}"/>
    <cellStyle name="Note 2 2 3 4 2 2 4" xfId="34496" xr:uid="{7FB8C042-768A-4985-BD1D-0B8FFC0B7A37}"/>
    <cellStyle name="Note 2 2 3 4 2 3" xfId="13398" xr:uid="{4F4BEFE5-B55D-4D75-A759-017B9633133F}"/>
    <cellStyle name="Note 2 2 3 4 2 4" xfId="21839" xr:uid="{20407C64-ECEE-4C41-9FD4-B384B7A437B8}"/>
    <cellStyle name="Note 2 2 3 4 2 5" xfId="30279" xr:uid="{E8FD7D07-9652-4A5A-B6A8-170319C54EB4}"/>
    <cellStyle name="Note 2 2 3 4 3" xfId="6144" xr:uid="{00000000-0005-0000-0000-0000CF200000}"/>
    <cellStyle name="Note 2 2 3 4 3 2" xfId="15470" xr:uid="{9B003562-8213-440C-A71F-83AD6DD21708}"/>
    <cellStyle name="Note 2 2 3 4 3 3" xfId="23911" xr:uid="{A705D27D-0487-4971-BA33-277F865A4C80}"/>
    <cellStyle name="Note 2 2 3 4 3 4" xfId="32351" xr:uid="{B9C09504-C4E1-41ED-9721-1541A69F5FA8}"/>
    <cellStyle name="Note 2 2 3 4 4" xfId="11253" xr:uid="{1AD97A62-6B0F-4C70-B758-6626D3A5DE65}"/>
    <cellStyle name="Note 2 2 3 4 5" xfId="19694" xr:uid="{633C6634-3D20-4914-BA99-CC6153CF641C}"/>
    <cellStyle name="Note 2 2 3 4 6" xfId="28134" xr:uid="{036EEAB3-7282-4F39-A9ED-D5EF7D379B2D}"/>
    <cellStyle name="Note 2 2 3 5" xfId="2251" xr:uid="{00000000-0005-0000-0000-0000D0200000}"/>
    <cellStyle name="Note 2 2 3 5 2" xfId="4480" xr:uid="{00000000-0005-0000-0000-0000D1200000}"/>
    <cellStyle name="Note 2 2 3 5 2 2" xfId="8702" xr:uid="{00000000-0005-0000-0000-0000D2200000}"/>
    <cellStyle name="Note 2 2 3 5 2 2 2" xfId="18028" xr:uid="{1AC9FD4D-3666-439B-9D73-750433D19D60}"/>
    <cellStyle name="Note 2 2 3 5 2 2 3" xfId="26469" xr:uid="{A9709AFD-F6B2-4C62-9F90-81A436659499}"/>
    <cellStyle name="Note 2 2 3 5 2 2 4" xfId="34909" xr:uid="{D8BFBE84-9AB9-4EC8-8FB3-1981D3CF3EEA}"/>
    <cellStyle name="Note 2 2 3 5 2 3" xfId="13811" xr:uid="{CC664871-7831-4323-B082-6C0C12A08A03}"/>
    <cellStyle name="Note 2 2 3 5 2 4" xfId="22252" xr:uid="{132E6216-4C80-4D46-A043-E608ED2994B3}"/>
    <cellStyle name="Note 2 2 3 5 2 5" xfId="30692" xr:uid="{18A233B2-32FC-45D9-9B07-0912E0B4B137}"/>
    <cellStyle name="Note 2 2 3 5 3" xfId="6557" xr:uid="{00000000-0005-0000-0000-0000D3200000}"/>
    <cellStyle name="Note 2 2 3 5 3 2" xfId="15883" xr:uid="{BDB5BB9E-0215-4235-839D-A26527EDB2C5}"/>
    <cellStyle name="Note 2 2 3 5 3 3" xfId="24324" xr:uid="{E333460F-F090-45CE-B482-B9EE144FCE62}"/>
    <cellStyle name="Note 2 2 3 5 3 4" xfId="32764" xr:uid="{E690BEF2-E80A-4B1B-BA4E-5B256CA9FAFF}"/>
    <cellStyle name="Note 2 2 3 5 4" xfId="11666" xr:uid="{CFCBE170-C90D-4019-AE3B-EFF5FCFD84D0}"/>
    <cellStyle name="Note 2 2 3 5 5" xfId="20107" xr:uid="{03827896-78C0-4742-B169-B6BC8BC36564}"/>
    <cellStyle name="Note 2 2 3 5 6" xfId="28547" xr:uid="{F9FB2EF9-E552-44C8-A2B1-BB235C484975}"/>
    <cellStyle name="Note 2 2 3 6" xfId="2687" xr:uid="{00000000-0005-0000-0000-0000D4200000}"/>
    <cellStyle name="Note 2 2 3 6 2" xfId="6970" xr:uid="{00000000-0005-0000-0000-0000D5200000}"/>
    <cellStyle name="Note 2 2 3 6 2 2" xfId="16296" xr:uid="{57F3D2F6-DC7B-4781-9747-2A1FB7C3AA0D}"/>
    <cellStyle name="Note 2 2 3 6 2 3" xfId="24737" xr:uid="{18AED9F9-4711-45C9-9AE9-4356CC757B45}"/>
    <cellStyle name="Note 2 2 3 6 2 4" xfId="33177" xr:uid="{5E9AB4BF-459E-46BA-A275-4299E3FF7BD3}"/>
    <cellStyle name="Note 2 2 3 6 3" xfId="12079" xr:uid="{8D45E945-82B9-483C-BF3C-5297FCC4FAB7}"/>
    <cellStyle name="Note 2 2 3 6 4" xfId="20520" xr:uid="{C06D6EC4-DA45-48D3-84B0-91B5076B6190}"/>
    <cellStyle name="Note 2 2 3 6 5" xfId="28960" xr:uid="{720F4308-EE0C-40DB-B5BF-07B81C5CBC6F}"/>
    <cellStyle name="Note 2 2 3 7" xfId="2746" xr:uid="{00000000-0005-0000-0000-0000D6200000}"/>
    <cellStyle name="Note 2 2 3 8" xfId="2827" xr:uid="{00000000-0005-0000-0000-0000D7200000}"/>
    <cellStyle name="Note 2 2 3 8 2" xfId="7050" xr:uid="{00000000-0005-0000-0000-0000D8200000}"/>
    <cellStyle name="Note 2 2 3 8 2 2" xfId="16376" xr:uid="{8FF18413-B7C6-4488-BD3A-F3A016D0527B}"/>
    <cellStyle name="Note 2 2 3 8 2 3" xfId="24817" xr:uid="{CAA04CB7-130D-4983-B9CA-01A7B65730A1}"/>
    <cellStyle name="Note 2 2 3 8 2 4" xfId="33257" xr:uid="{88101306-E504-4BE0-9CA9-F848FEB35ED0}"/>
    <cellStyle name="Note 2 2 3 8 3" xfId="12159" xr:uid="{E5B2AD67-EB64-4F0A-AFA5-A50E334450A0}"/>
    <cellStyle name="Note 2 2 3 8 4" xfId="20600" xr:uid="{6B4346FB-1EFB-41F1-9AFF-0AD84EDF2F6C}"/>
    <cellStyle name="Note 2 2 3 8 5" xfId="29040" xr:uid="{63240B84-ED38-4EA9-BB20-3DEFE501AC53}"/>
    <cellStyle name="Note 2 2 3 9" xfId="4905" xr:uid="{00000000-0005-0000-0000-0000D9200000}"/>
    <cellStyle name="Note 2 2 3 9 2" xfId="14231" xr:uid="{73E6B6FC-2FF7-46A0-AA10-1919F8A76D93}"/>
    <cellStyle name="Note 2 2 3 9 3" xfId="22672" xr:uid="{78130590-8790-47D5-8F7B-FA4767C265FE}"/>
    <cellStyle name="Note 2 2 3 9 4" xfId="31112" xr:uid="{32465D54-A916-4588-84D5-0A677E2DD78D}"/>
    <cellStyle name="Note 2 2 4" xfId="1006" xr:uid="{00000000-0005-0000-0000-0000DA200000}"/>
    <cellStyle name="Note 2 2 4 2" xfId="3238" xr:uid="{00000000-0005-0000-0000-0000DB200000}"/>
    <cellStyle name="Note 2 2 4 2 2" xfId="7460" xr:uid="{00000000-0005-0000-0000-0000DC200000}"/>
    <cellStyle name="Note 2 2 4 2 2 2" xfId="16786" xr:uid="{9DA4B4C8-B7B4-46C4-B5E6-879DF82BBFD0}"/>
    <cellStyle name="Note 2 2 4 2 2 3" xfId="25227" xr:uid="{8FD947A5-2C25-4D89-8BA4-936B2E03695F}"/>
    <cellStyle name="Note 2 2 4 2 2 4" xfId="33667" xr:uid="{F1FAC1A7-3565-4381-AB1D-B4EEA86634BC}"/>
    <cellStyle name="Note 2 2 4 2 3" xfId="12569" xr:uid="{F719CC90-D71E-4111-B53C-15768A5AE53B}"/>
    <cellStyle name="Note 2 2 4 2 4" xfId="21010" xr:uid="{D8863C71-E3FC-4456-B86F-9603BBB83C78}"/>
    <cellStyle name="Note 2 2 4 2 5" xfId="29450" xr:uid="{F8B8FAA0-47AE-479B-9118-85B0B346ED3D}"/>
    <cellStyle name="Note 2 2 4 3" xfId="5315" xr:uid="{00000000-0005-0000-0000-0000DD200000}"/>
    <cellStyle name="Note 2 2 4 3 2" xfId="14641" xr:uid="{CB474828-6D14-4502-AEF2-565E6177DAB7}"/>
    <cellStyle name="Note 2 2 4 3 3" xfId="23082" xr:uid="{8BBEE8D5-A475-4C85-A54F-5D4794C04DD8}"/>
    <cellStyle name="Note 2 2 4 3 4" xfId="31522" xr:uid="{E3D1D632-ABBB-4672-B570-6A05016CF83B}"/>
    <cellStyle name="Note 2 2 4 4" xfId="9266" xr:uid="{8B6F7B8D-50FA-47DA-836F-17B0F9492E54}"/>
    <cellStyle name="Note 2 2 4 5" xfId="10424" xr:uid="{9CC4E4E1-2F20-4B38-BDEC-EAD31EFF76CD}"/>
    <cellStyle name="Note 2 2 4 6" xfId="18865" xr:uid="{DE8ED508-4C46-4568-90AA-6A9748BFBF29}"/>
    <cellStyle name="Note 2 2 4 7" xfId="27305" xr:uid="{94894560-CDBD-4C09-A302-0D7E8B58AD98}"/>
    <cellStyle name="Note 2 2 5" xfId="1421" xr:uid="{00000000-0005-0000-0000-0000DE200000}"/>
    <cellStyle name="Note 2 2 5 2" xfId="3651" xr:uid="{00000000-0005-0000-0000-0000DF200000}"/>
    <cellStyle name="Note 2 2 5 2 2" xfId="7873" xr:uid="{00000000-0005-0000-0000-0000E0200000}"/>
    <cellStyle name="Note 2 2 5 2 2 2" xfId="17199" xr:uid="{B9B24859-7425-4A9E-816E-F31BA8507565}"/>
    <cellStyle name="Note 2 2 5 2 2 3" xfId="25640" xr:uid="{55641E73-ACCE-4781-B6DD-70F48D1046E2}"/>
    <cellStyle name="Note 2 2 5 2 2 4" xfId="34080" xr:uid="{0F986DA4-0720-4531-AC11-6B08EC81E046}"/>
    <cellStyle name="Note 2 2 5 2 3" xfId="12982" xr:uid="{91AF832E-8A4A-494E-B577-505AA6771D7D}"/>
    <cellStyle name="Note 2 2 5 2 4" xfId="21423" xr:uid="{4F279BBE-A080-4235-A488-825EE3F7B26E}"/>
    <cellStyle name="Note 2 2 5 2 5" xfId="29863" xr:uid="{E1D2CFAE-E727-456C-A80F-F1F9BFEBEE80}"/>
    <cellStyle name="Note 2 2 5 3" xfId="5728" xr:uid="{00000000-0005-0000-0000-0000E1200000}"/>
    <cellStyle name="Note 2 2 5 3 2" xfId="15054" xr:uid="{4B368B7A-5681-49A3-B284-969D8A4EBDD7}"/>
    <cellStyle name="Note 2 2 5 3 3" xfId="23495" xr:uid="{564A1810-6688-4CDF-95C9-29A9DD1EED6D}"/>
    <cellStyle name="Note 2 2 5 3 4" xfId="31935" xr:uid="{9117AC2D-DAD6-4831-A0C4-8964184C2E02}"/>
    <cellStyle name="Note 2 2 5 4" xfId="10837" xr:uid="{A278F306-A739-4EAF-B988-4D87326EA1AC}"/>
    <cellStyle name="Note 2 2 5 5" xfId="19278" xr:uid="{3C1C346B-0BCB-44F5-9CF6-B92CE5CD59B0}"/>
    <cellStyle name="Note 2 2 5 6" xfId="27718" xr:uid="{FD7348D4-8D72-471A-B0F1-A7B683C9A825}"/>
    <cellStyle name="Note 2 2 6" xfId="1835" xr:uid="{00000000-0005-0000-0000-0000E2200000}"/>
    <cellStyle name="Note 2 2 6 2" xfId="4064" xr:uid="{00000000-0005-0000-0000-0000E3200000}"/>
    <cellStyle name="Note 2 2 6 2 2" xfId="8286" xr:uid="{00000000-0005-0000-0000-0000E4200000}"/>
    <cellStyle name="Note 2 2 6 2 2 2" xfId="17612" xr:uid="{44383DFC-3686-4190-803C-9B57D3691702}"/>
    <cellStyle name="Note 2 2 6 2 2 3" xfId="26053" xr:uid="{D7EABE49-A4D4-4F72-A841-E3BB2203CC99}"/>
    <cellStyle name="Note 2 2 6 2 2 4" xfId="34493" xr:uid="{392E524B-61BB-4F76-81A2-0CF3739CDC7F}"/>
    <cellStyle name="Note 2 2 6 2 3" xfId="13395" xr:uid="{F9F77192-05FE-4401-9A2D-89F85E4A1979}"/>
    <cellStyle name="Note 2 2 6 2 4" xfId="21836" xr:uid="{8AD6D05D-1EF0-4B25-BC46-97EC91C4F112}"/>
    <cellStyle name="Note 2 2 6 2 5" xfId="30276" xr:uid="{C7A385FB-38EF-49DB-9816-1902B22A2DDC}"/>
    <cellStyle name="Note 2 2 6 3" xfId="6141" xr:uid="{00000000-0005-0000-0000-0000E5200000}"/>
    <cellStyle name="Note 2 2 6 3 2" xfId="15467" xr:uid="{F160986B-B872-481F-A69B-A87C525EA2E7}"/>
    <cellStyle name="Note 2 2 6 3 3" xfId="23908" xr:uid="{2C2BCAEF-1F1A-4393-A7A8-9E207FA2F7F5}"/>
    <cellStyle name="Note 2 2 6 3 4" xfId="32348" xr:uid="{E7AF1A4B-78D9-4C84-ACE8-5BD782161DCF}"/>
    <cellStyle name="Note 2 2 6 4" xfId="11250" xr:uid="{82FFED08-8CD8-43BA-82C2-832E4E2E7B6A}"/>
    <cellStyle name="Note 2 2 6 5" xfId="19691" xr:uid="{2EEA80F5-9D20-4427-BAB1-4E14DCFE0AD5}"/>
    <cellStyle name="Note 2 2 6 6" xfId="28131" xr:uid="{0002DABE-7D2D-40EB-A9BD-9AF414FA96ED}"/>
    <cellStyle name="Note 2 2 7" xfId="2248" xr:uid="{00000000-0005-0000-0000-0000E6200000}"/>
    <cellStyle name="Note 2 2 7 2" xfId="4477" xr:uid="{00000000-0005-0000-0000-0000E7200000}"/>
    <cellStyle name="Note 2 2 7 2 2" xfId="8699" xr:uid="{00000000-0005-0000-0000-0000E8200000}"/>
    <cellStyle name="Note 2 2 7 2 2 2" xfId="18025" xr:uid="{69687B16-C752-4CBB-892A-CC3175D09E36}"/>
    <cellStyle name="Note 2 2 7 2 2 3" xfId="26466" xr:uid="{D099C0CF-42B9-4AB7-8CA9-B9970B1556CD}"/>
    <cellStyle name="Note 2 2 7 2 2 4" xfId="34906" xr:uid="{4F4D262D-CAD8-4C7C-9DB0-0FD3747808FB}"/>
    <cellStyle name="Note 2 2 7 2 3" xfId="13808" xr:uid="{8C8C53D8-7B1D-474A-AF79-737F94C3EE7C}"/>
    <cellStyle name="Note 2 2 7 2 4" xfId="22249" xr:uid="{38D9346C-9376-4EEF-8A03-11F33F4CF641}"/>
    <cellStyle name="Note 2 2 7 2 5" xfId="30689" xr:uid="{24EFE499-1C4A-453A-8FA9-3BA0BB009FA7}"/>
    <cellStyle name="Note 2 2 7 3" xfId="6554" xr:uid="{00000000-0005-0000-0000-0000E9200000}"/>
    <cellStyle name="Note 2 2 7 3 2" xfId="15880" xr:uid="{EC053D01-8BB3-44F8-BBEF-A0CDC8348422}"/>
    <cellStyle name="Note 2 2 7 3 3" xfId="24321" xr:uid="{CBF5BE1C-0F25-44D9-94C2-993AEB2296DB}"/>
    <cellStyle name="Note 2 2 7 3 4" xfId="32761" xr:uid="{34CDE6E0-9B2D-4105-9B6E-4B00EFA0D600}"/>
    <cellStyle name="Note 2 2 7 4" xfId="11663" xr:uid="{F6C925B7-CFF4-4B1F-963A-558362B033A2}"/>
    <cellStyle name="Note 2 2 7 5" xfId="20104" xr:uid="{0D32FF72-264D-490E-915D-C77BFD71F103}"/>
    <cellStyle name="Note 2 2 7 6" xfId="28544" xr:uid="{56B511FF-9302-4891-80B2-8F45F4753885}"/>
    <cellStyle name="Note 2 2 8" xfId="2684" xr:uid="{00000000-0005-0000-0000-0000EA200000}"/>
    <cellStyle name="Note 2 2 8 2" xfId="6967" xr:uid="{00000000-0005-0000-0000-0000EB200000}"/>
    <cellStyle name="Note 2 2 8 2 2" xfId="16293" xr:uid="{335A5A27-B26F-4D54-AA36-2B294C9C4E7D}"/>
    <cellStyle name="Note 2 2 8 2 3" xfId="24734" xr:uid="{15BE2ED7-68AB-497B-B603-8019BEA5B0DB}"/>
    <cellStyle name="Note 2 2 8 2 4" xfId="33174" xr:uid="{77C3897B-EF05-4912-8881-E06E07326EE9}"/>
    <cellStyle name="Note 2 2 8 3" xfId="12076" xr:uid="{BD31EEBA-40D8-4F6E-AE1B-F1EC8A3C989A}"/>
    <cellStyle name="Note 2 2 8 4" xfId="20517" xr:uid="{971E4519-E35B-4B66-BD3B-E5B2F4F67167}"/>
    <cellStyle name="Note 2 2 8 5" xfId="28957" xr:uid="{C814F344-A2D4-4FA0-88CF-CEDF31CF2F0A}"/>
    <cellStyle name="Note 2 2 9" xfId="2743" xr:uid="{00000000-0005-0000-0000-0000EC200000}"/>
    <cellStyle name="Note 2 3" xfId="549" xr:uid="{00000000-0005-0000-0000-0000ED200000}"/>
    <cellStyle name="Note 2 3 10" xfId="4906" xr:uid="{00000000-0005-0000-0000-0000EE200000}"/>
    <cellStyle name="Note 2 3 10 2" xfId="14232" xr:uid="{24B3E31B-93E8-4FFA-9BA9-498EDAA81DEB}"/>
    <cellStyle name="Note 2 3 10 3" xfId="22673" xr:uid="{A0AD9C8B-C717-4ADC-B564-FF494A0A7A6E}"/>
    <cellStyle name="Note 2 3 10 4" xfId="31113" xr:uid="{08528973-5DDD-483F-80E5-F2632CE7D63C}"/>
    <cellStyle name="Note 2 3 11" xfId="8894" xr:uid="{2BFFE8D0-DA42-4876-8895-58F80713E965}"/>
    <cellStyle name="Note 2 3 12" xfId="10015" xr:uid="{42A9EC5A-CC85-4478-BE54-C1FEA5AEAB91}"/>
    <cellStyle name="Note 2 3 13" xfId="18456" xr:uid="{7B3E3B59-2A07-484F-A214-9FBD2A374179}"/>
    <cellStyle name="Note 2 3 14" xfId="26896" xr:uid="{C6D9EC31-F722-41A9-8F84-5CF058ABF5F5}"/>
    <cellStyle name="Note 2 3 2" xfId="550" xr:uid="{00000000-0005-0000-0000-0000EF200000}"/>
    <cellStyle name="Note 2 3 2 10" xfId="9101" xr:uid="{1822EEA2-225E-465E-B4CD-D4615440EC62}"/>
    <cellStyle name="Note 2 3 2 11" xfId="10016" xr:uid="{EA4434E2-979C-4678-A758-5F43A7009AE0}"/>
    <cellStyle name="Note 2 3 2 12" xfId="18457" xr:uid="{89F24834-819A-4E2F-ADB0-90682948FC64}"/>
    <cellStyle name="Note 2 3 2 13" xfId="26897" xr:uid="{B66CCE15-3680-48AA-907B-725E5B90ECCE}"/>
    <cellStyle name="Note 2 3 2 2" xfId="1011" xr:uid="{00000000-0005-0000-0000-0000F0200000}"/>
    <cellStyle name="Note 2 3 2 2 2" xfId="3243" xr:uid="{00000000-0005-0000-0000-0000F1200000}"/>
    <cellStyle name="Note 2 3 2 2 2 2" xfId="7465" xr:uid="{00000000-0005-0000-0000-0000F2200000}"/>
    <cellStyle name="Note 2 3 2 2 2 2 2" xfId="16791" xr:uid="{A18789E8-4028-4249-8B88-715BE854F791}"/>
    <cellStyle name="Note 2 3 2 2 2 2 3" xfId="25232" xr:uid="{CF057D4D-D43E-4ED9-BB15-E713C9EFF4AA}"/>
    <cellStyle name="Note 2 3 2 2 2 2 4" xfId="33672" xr:uid="{017798C0-D360-4A42-A84C-DA207083703F}"/>
    <cellStyle name="Note 2 3 2 2 2 3" xfId="12574" xr:uid="{D4F91B3F-8AFB-47F3-8AAB-729F1BB0C92C}"/>
    <cellStyle name="Note 2 3 2 2 2 4" xfId="21015" xr:uid="{780E658D-D483-41CF-9CD6-58A435DB8C9E}"/>
    <cellStyle name="Note 2 3 2 2 2 5" xfId="29455" xr:uid="{A3477CF5-8FD3-4A69-81D5-E60D1BF3A6BF}"/>
    <cellStyle name="Note 2 3 2 2 3" xfId="5320" xr:uid="{00000000-0005-0000-0000-0000F3200000}"/>
    <cellStyle name="Note 2 3 2 2 3 2" xfId="14646" xr:uid="{89858364-9B2F-4685-95CA-29BA0E9D8CD1}"/>
    <cellStyle name="Note 2 3 2 2 3 3" xfId="23087" xr:uid="{3BF4E1C0-C850-4CB6-82B4-DAF367952F8A}"/>
    <cellStyle name="Note 2 3 2 2 3 4" xfId="31527" xr:uid="{B3F38CA1-2E3B-43B8-A46C-62ED8FA5AA51}"/>
    <cellStyle name="Note 2 3 2 2 4" xfId="9526" xr:uid="{1C428179-0C82-4F5D-9FE4-E11D597F9E89}"/>
    <cellStyle name="Note 2 3 2 2 5" xfId="10429" xr:uid="{0AA09E9C-60D3-4E13-AD71-6AC28D51446F}"/>
    <cellStyle name="Note 2 3 2 2 6" xfId="18870" xr:uid="{B8A0A3BF-3B84-4045-869A-A2C9FB388DFD}"/>
    <cellStyle name="Note 2 3 2 2 7" xfId="27310" xr:uid="{5809B411-3D57-4C01-A4CE-E26C6B5D3827}"/>
    <cellStyle name="Note 2 3 2 3" xfId="1426" xr:uid="{00000000-0005-0000-0000-0000F4200000}"/>
    <cellStyle name="Note 2 3 2 3 2" xfId="3656" xr:uid="{00000000-0005-0000-0000-0000F5200000}"/>
    <cellStyle name="Note 2 3 2 3 2 2" xfId="7878" xr:uid="{00000000-0005-0000-0000-0000F6200000}"/>
    <cellStyle name="Note 2 3 2 3 2 2 2" xfId="17204" xr:uid="{F74834CD-6F0A-4BD0-8D87-EC3DCEF50D8D}"/>
    <cellStyle name="Note 2 3 2 3 2 2 3" xfId="25645" xr:uid="{187D91EA-903A-4B85-A9FB-4047E639462E}"/>
    <cellStyle name="Note 2 3 2 3 2 2 4" xfId="34085" xr:uid="{703DD206-9F3E-4F60-B14A-853EABFAE615}"/>
    <cellStyle name="Note 2 3 2 3 2 3" xfId="12987" xr:uid="{1C482AA0-5909-4300-9A07-48987C6E2988}"/>
    <cellStyle name="Note 2 3 2 3 2 4" xfId="21428" xr:uid="{AB8A7875-A387-4BD0-A6F6-67281BBE9FBA}"/>
    <cellStyle name="Note 2 3 2 3 2 5" xfId="29868" xr:uid="{68B369F5-ED41-4BE3-909F-5A0AFF66CA0B}"/>
    <cellStyle name="Note 2 3 2 3 3" xfId="5733" xr:uid="{00000000-0005-0000-0000-0000F7200000}"/>
    <cellStyle name="Note 2 3 2 3 3 2" xfId="15059" xr:uid="{71FF2F16-DBE8-4605-85AC-792EA90CF21E}"/>
    <cellStyle name="Note 2 3 2 3 3 3" xfId="23500" xr:uid="{9D898A71-489B-47AC-A90A-BA1CB0F140B6}"/>
    <cellStyle name="Note 2 3 2 3 3 4" xfId="31940" xr:uid="{8E9DB07C-D1BF-4011-8CF0-C70EFDAA4C36}"/>
    <cellStyle name="Note 2 3 2 3 4" xfId="10842" xr:uid="{184E71C5-7669-4E9A-8440-31EAE5D6C024}"/>
    <cellStyle name="Note 2 3 2 3 5" xfId="19283" xr:uid="{F04BE23A-C5D3-486F-8813-BF46CBF4F400}"/>
    <cellStyle name="Note 2 3 2 3 6" xfId="27723" xr:uid="{DFAEA7D4-EC55-4D0C-9FAC-6F23C491FA2A}"/>
    <cellStyle name="Note 2 3 2 4" xfId="1840" xr:uid="{00000000-0005-0000-0000-0000F8200000}"/>
    <cellStyle name="Note 2 3 2 4 2" xfId="4069" xr:uid="{00000000-0005-0000-0000-0000F9200000}"/>
    <cellStyle name="Note 2 3 2 4 2 2" xfId="8291" xr:uid="{00000000-0005-0000-0000-0000FA200000}"/>
    <cellStyle name="Note 2 3 2 4 2 2 2" xfId="17617" xr:uid="{D1CD02E3-7A89-48E2-A837-007368B72838}"/>
    <cellStyle name="Note 2 3 2 4 2 2 3" xfId="26058" xr:uid="{F72D803F-FB15-41FA-A666-C234DB4C544C}"/>
    <cellStyle name="Note 2 3 2 4 2 2 4" xfId="34498" xr:uid="{4E1E5B81-479C-411A-B969-528FB136A692}"/>
    <cellStyle name="Note 2 3 2 4 2 3" xfId="13400" xr:uid="{353243F8-D070-4E0C-A32B-72A4524831A6}"/>
    <cellStyle name="Note 2 3 2 4 2 4" xfId="21841" xr:uid="{61DA3DA7-CA70-4F08-8B2E-05998093BA8C}"/>
    <cellStyle name="Note 2 3 2 4 2 5" xfId="30281" xr:uid="{7216DA8D-94EF-43CC-925A-97821481691E}"/>
    <cellStyle name="Note 2 3 2 4 3" xfId="6146" xr:uid="{00000000-0005-0000-0000-0000FB200000}"/>
    <cellStyle name="Note 2 3 2 4 3 2" xfId="15472" xr:uid="{9EEE5EEE-8FC8-40D3-851E-476E27266B86}"/>
    <cellStyle name="Note 2 3 2 4 3 3" xfId="23913" xr:uid="{B0CCE52E-C373-40D6-8CD0-7A5D68F6EDD1}"/>
    <cellStyle name="Note 2 3 2 4 3 4" xfId="32353" xr:uid="{45575F48-485C-4447-921A-5DF2785E208F}"/>
    <cellStyle name="Note 2 3 2 4 4" xfId="11255" xr:uid="{F865C7F6-4EC9-4C60-B2AC-501C2B7DEA3D}"/>
    <cellStyle name="Note 2 3 2 4 5" xfId="19696" xr:uid="{8EE2F12E-C833-4654-AF53-8F17387CF1A0}"/>
    <cellStyle name="Note 2 3 2 4 6" xfId="28136" xr:uid="{079F062D-36EE-4033-9091-6BE1F8A5E9F5}"/>
    <cellStyle name="Note 2 3 2 5" xfId="2253" xr:uid="{00000000-0005-0000-0000-0000FC200000}"/>
    <cellStyle name="Note 2 3 2 5 2" xfId="4482" xr:uid="{00000000-0005-0000-0000-0000FD200000}"/>
    <cellStyle name="Note 2 3 2 5 2 2" xfId="8704" xr:uid="{00000000-0005-0000-0000-0000FE200000}"/>
    <cellStyle name="Note 2 3 2 5 2 2 2" xfId="18030" xr:uid="{70573440-3862-4E39-82E1-CFFBB6ED098C}"/>
    <cellStyle name="Note 2 3 2 5 2 2 3" xfId="26471" xr:uid="{12741535-E339-49B2-89F5-5D927745F859}"/>
    <cellStyle name="Note 2 3 2 5 2 2 4" xfId="34911" xr:uid="{6330175D-ED33-4BC1-81AE-9BD369BA9264}"/>
    <cellStyle name="Note 2 3 2 5 2 3" xfId="13813" xr:uid="{7BD59254-3F07-4E1E-B577-37B6C76C1169}"/>
    <cellStyle name="Note 2 3 2 5 2 4" xfId="22254" xr:uid="{A14FBEE9-BBE4-4BBB-900C-05D410491F04}"/>
    <cellStyle name="Note 2 3 2 5 2 5" xfId="30694" xr:uid="{C18D9A5A-9BBC-4420-A650-C2A9B66CCD74}"/>
    <cellStyle name="Note 2 3 2 5 3" xfId="6559" xr:uid="{00000000-0005-0000-0000-0000FF200000}"/>
    <cellStyle name="Note 2 3 2 5 3 2" xfId="15885" xr:uid="{BE19BC4B-9F01-40E4-BA79-F0EACA4130F3}"/>
    <cellStyle name="Note 2 3 2 5 3 3" xfId="24326" xr:uid="{3B1521AF-9B39-4BA2-B6E8-3CF1FF12B868}"/>
    <cellStyle name="Note 2 3 2 5 3 4" xfId="32766" xr:uid="{E01E00C6-AD40-4FE6-A103-0CC94DEE2BBC}"/>
    <cellStyle name="Note 2 3 2 5 4" xfId="11668" xr:uid="{1107BC3E-C584-4FF2-ABA7-8B105A5E951C}"/>
    <cellStyle name="Note 2 3 2 5 5" xfId="20109" xr:uid="{76BE6AC0-7581-4BE1-9254-5DF223D24A2F}"/>
    <cellStyle name="Note 2 3 2 5 6" xfId="28549" xr:uid="{E4252EAD-CB80-49D3-8781-2B79522A6D6E}"/>
    <cellStyle name="Note 2 3 2 6" xfId="2689" xr:uid="{00000000-0005-0000-0000-000000210000}"/>
    <cellStyle name="Note 2 3 2 6 2" xfId="6972" xr:uid="{00000000-0005-0000-0000-000001210000}"/>
    <cellStyle name="Note 2 3 2 6 2 2" xfId="16298" xr:uid="{B392EFDA-A9AE-4E7B-BB2E-9FA7C7965D50}"/>
    <cellStyle name="Note 2 3 2 6 2 3" xfId="24739" xr:uid="{5348D96B-5167-4AA0-986E-F7A831A28230}"/>
    <cellStyle name="Note 2 3 2 6 2 4" xfId="33179" xr:uid="{11E0BA9B-7582-40E2-A13C-2B20D6803B9F}"/>
    <cellStyle name="Note 2 3 2 6 3" xfId="12081" xr:uid="{668D89E1-0C75-44C6-A33D-3F1A8D527401}"/>
    <cellStyle name="Note 2 3 2 6 4" xfId="20522" xr:uid="{4CCFA602-A5FA-4392-92E3-8FD766AE9829}"/>
    <cellStyle name="Note 2 3 2 6 5" xfId="28962" xr:uid="{42A3434D-0495-444C-8597-27E44C7ACED0}"/>
    <cellStyle name="Note 2 3 2 7" xfId="2748" xr:uid="{00000000-0005-0000-0000-000002210000}"/>
    <cellStyle name="Note 2 3 2 8" xfId="2829" xr:uid="{00000000-0005-0000-0000-000003210000}"/>
    <cellStyle name="Note 2 3 2 8 2" xfId="7052" xr:uid="{00000000-0005-0000-0000-000004210000}"/>
    <cellStyle name="Note 2 3 2 8 2 2" xfId="16378" xr:uid="{C87A288D-C915-42C0-87F5-8A86E7E81062}"/>
    <cellStyle name="Note 2 3 2 8 2 3" xfId="24819" xr:uid="{E43B2FAA-15B8-4900-877E-E452B6A65BE6}"/>
    <cellStyle name="Note 2 3 2 8 2 4" xfId="33259" xr:uid="{3470606E-F2EC-415B-B22D-CA56144D91B5}"/>
    <cellStyle name="Note 2 3 2 8 3" xfId="12161" xr:uid="{293D93BB-9292-483D-9467-33461A5518EC}"/>
    <cellStyle name="Note 2 3 2 8 4" xfId="20602" xr:uid="{41E0CC4A-A097-488A-9B19-AE561933D77D}"/>
    <cellStyle name="Note 2 3 2 8 5" xfId="29042" xr:uid="{0C4A1D02-AA66-43C8-A10C-802D9390D87E}"/>
    <cellStyle name="Note 2 3 2 9" xfId="4907" xr:uid="{00000000-0005-0000-0000-000005210000}"/>
    <cellStyle name="Note 2 3 2 9 2" xfId="14233" xr:uid="{0A516588-E73D-407D-AD91-D43F91369F9D}"/>
    <cellStyle name="Note 2 3 2 9 3" xfId="22674" xr:uid="{1A3705BF-C56F-4F6D-8633-33B37FAA7542}"/>
    <cellStyle name="Note 2 3 2 9 4" xfId="31114" xr:uid="{4C969402-3ED7-4A16-BFC1-240740892FCC}"/>
    <cellStyle name="Note 2 3 3" xfId="1010" xr:uid="{00000000-0005-0000-0000-000006210000}"/>
    <cellStyle name="Note 2 3 3 2" xfId="3242" xr:uid="{00000000-0005-0000-0000-000007210000}"/>
    <cellStyle name="Note 2 3 3 2 2" xfId="7464" xr:uid="{00000000-0005-0000-0000-000008210000}"/>
    <cellStyle name="Note 2 3 3 2 2 2" xfId="16790" xr:uid="{DE436DC8-0C20-41BD-BD7E-9C400106E56E}"/>
    <cellStyle name="Note 2 3 3 2 2 3" xfId="25231" xr:uid="{2BDE9836-5D07-48B9-BF60-431E984D6854}"/>
    <cellStyle name="Note 2 3 3 2 2 4" xfId="33671" xr:uid="{6B04080B-C947-4424-B8C4-DD1B7C5D6635}"/>
    <cellStyle name="Note 2 3 3 2 3" xfId="12573" xr:uid="{E19EAD62-DC01-40E6-9AA4-54737F20D9A1}"/>
    <cellStyle name="Note 2 3 3 2 4" xfId="21014" xr:uid="{B5EF35AC-3F6C-4F8F-B563-E020C92E8E53}"/>
    <cellStyle name="Note 2 3 3 2 5" xfId="29454" xr:uid="{FD55C32C-C178-413B-9168-3C36C61EC414}"/>
    <cellStyle name="Note 2 3 3 3" xfId="5319" xr:uid="{00000000-0005-0000-0000-000009210000}"/>
    <cellStyle name="Note 2 3 3 3 2" xfId="14645" xr:uid="{435C9FB9-2829-4CC4-8E70-24388BB8DB3C}"/>
    <cellStyle name="Note 2 3 3 3 3" xfId="23086" xr:uid="{38FB29E6-1DE8-4A1E-9A2C-C32680FD0206}"/>
    <cellStyle name="Note 2 3 3 3 4" xfId="31526" xr:uid="{5A6DBAEA-7AC7-45CA-A3AD-ECD92EDADC9D}"/>
    <cellStyle name="Note 2 3 3 4" xfId="9319" xr:uid="{06E4A3C6-5CAA-4424-B4C3-41162F21AE7D}"/>
    <cellStyle name="Note 2 3 3 5" xfId="10428" xr:uid="{731736D4-56C0-4AC0-8E7F-6C0D8CD05783}"/>
    <cellStyle name="Note 2 3 3 6" xfId="18869" xr:uid="{F4EF5AF1-B37A-4FDC-AF18-DB3DD21A9EF4}"/>
    <cellStyle name="Note 2 3 3 7" xfId="27309" xr:uid="{5908C2EC-B5C0-4540-96BA-2AF804F9FC60}"/>
    <cellStyle name="Note 2 3 4" xfId="1425" xr:uid="{00000000-0005-0000-0000-00000A210000}"/>
    <cellStyle name="Note 2 3 4 2" xfId="3655" xr:uid="{00000000-0005-0000-0000-00000B210000}"/>
    <cellStyle name="Note 2 3 4 2 2" xfId="7877" xr:uid="{00000000-0005-0000-0000-00000C210000}"/>
    <cellStyle name="Note 2 3 4 2 2 2" xfId="17203" xr:uid="{97F208D0-93E9-4AB2-9BEB-359855BFAECF}"/>
    <cellStyle name="Note 2 3 4 2 2 3" xfId="25644" xr:uid="{A61879F8-0CA6-4596-A11A-41618B68CA76}"/>
    <cellStyle name="Note 2 3 4 2 2 4" xfId="34084" xr:uid="{61AB5E42-249D-4C53-A9AE-C62B6AAA3FDE}"/>
    <cellStyle name="Note 2 3 4 2 3" xfId="12986" xr:uid="{3B83C0FE-E8A3-4511-9C6F-3A17EBFBBAE4}"/>
    <cellStyle name="Note 2 3 4 2 4" xfId="21427" xr:uid="{716D8D60-893D-430C-92A2-C55CB40DBFDA}"/>
    <cellStyle name="Note 2 3 4 2 5" xfId="29867" xr:uid="{9B7C02E6-5857-40CA-9515-9E0EA2CE4302}"/>
    <cellStyle name="Note 2 3 4 3" xfId="5732" xr:uid="{00000000-0005-0000-0000-00000D210000}"/>
    <cellStyle name="Note 2 3 4 3 2" xfId="15058" xr:uid="{9CE4892F-A743-400D-BD75-84235774A4BB}"/>
    <cellStyle name="Note 2 3 4 3 3" xfId="23499" xr:uid="{698B7AD0-0250-445B-8EB4-50B35BDEF59E}"/>
    <cellStyle name="Note 2 3 4 3 4" xfId="31939" xr:uid="{491737FC-60A4-40F6-81C2-E4F43FCA604F}"/>
    <cellStyle name="Note 2 3 4 4" xfId="10841" xr:uid="{589F3D7F-EE57-47B0-B14D-04369230F826}"/>
    <cellStyle name="Note 2 3 4 5" xfId="19282" xr:uid="{72428511-B479-4AC9-9B2A-1831132A450F}"/>
    <cellStyle name="Note 2 3 4 6" xfId="27722" xr:uid="{A5FA8E26-0891-407E-92D0-711DA306D2B2}"/>
    <cellStyle name="Note 2 3 5" xfId="1839" xr:uid="{00000000-0005-0000-0000-00000E210000}"/>
    <cellStyle name="Note 2 3 5 2" xfId="4068" xr:uid="{00000000-0005-0000-0000-00000F210000}"/>
    <cellStyle name="Note 2 3 5 2 2" xfId="8290" xr:uid="{00000000-0005-0000-0000-000010210000}"/>
    <cellStyle name="Note 2 3 5 2 2 2" xfId="17616" xr:uid="{F7F1F0FB-F1D4-44B4-AF4C-6A0C5150A3EA}"/>
    <cellStyle name="Note 2 3 5 2 2 3" xfId="26057" xr:uid="{41A7ABCA-8D1F-4D8A-BB5E-5D43E59A6046}"/>
    <cellStyle name="Note 2 3 5 2 2 4" xfId="34497" xr:uid="{13798BF8-F35B-4BE3-843C-5190C0BF0807}"/>
    <cellStyle name="Note 2 3 5 2 3" xfId="13399" xr:uid="{95A6D22D-66FD-43DE-A99C-CA1A6D4AF58A}"/>
    <cellStyle name="Note 2 3 5 2 4" xfId="21840" xr:uid="{4B4D7D6D-8ED6-45F7-86AE-2D4D55FC116C}"/>
    <cellStyle name="Note 2 3 5 2 5" xfId="30280" xr:uid="{A24C3191-9840-42D9-A275-33D8851ADF16}"/>
    <cellStyle name="Note 2 3 5 3" xfId="6145" xr:uid="{00000000-0005-0000-0000-000011210000}"/>
    <cellStyle name="Note 2 3 5 3 2" xfId="15471" xr:uid="{6D7E4CE4-2807-4ED5-A1D7-396DDC23FDDF}"/>
    <cellStyle name="Note 2 3 5 3 3" xfId="23912" xr:uid="{69CB1AA4-3489-4C63-8600-F6B5DC1F4873}"/>
    <cellStyle name="Note 2 3 5 3 4" xfId="32352" xr:uid="{049AEE3E-5626-4C34-BEC2-45DC87443800}"/>
    <cellStyle name="Note 2 3 5 4" xfId="11254" xr:uid="{7E8E1C40-F1CC-4935-8B04-69E1CBF914B6}"/>
    <cellStyle name="Note 2 3 5 5" xfId="19695" xr:uid="{40D16890-6E1A-46C4-B287-CE400782C097}"/>
    <cellStyle name="Note 2 3 5 6" xfId="28135" xr:uid="{2A23C285-EE2D-40D3-A384-1BAC6A711A4F}"/>
    <cellStyle name="Note 2 3 6" xfId="2252" xr:uid="{00000000-0005-0000-0000-000012210000}"/>
    <cellStyle name="Note 2 3 6 2" xfId="4481" xr:uid="{00000000-0005-0000-0000-000013210000}"/>
    <cellStyle name="Note 2 3 6 2 2" xfId="8703" xr:uid="{00000000-0005-0000-0000-000014210000}"/>
    <cellStyle name="Note 2 3 6 2 2 2" xfId="18029" xr:uid="{D004AB58-BE1D-44E7-AC40-C9AE70696AD5}"/>
    <cellStyle name="Note 2 3 6 2 2 3" xfId="26470" xr:uid="{1C7C2D8A-A212-45FF-9E14-BD0C1387568D}"/>
    <cellStyle name="Note 2 3 6 2 2 4" xfId="34910" xr:uid="{E6FAF616-0862-436B-8DFD-8C6BB3692CFE}"/>
    <cellStyle name="Note 2 3 6 2 3" xfId="13812" xr:uid="{D4132A70-1EB0-4F54-ACC7-6DDCD5DB9100}"/>
    <cellStyle name="Note 2 3 6 2 4" xfId="22253" xr:uid="{47D060D6-4A13-48F1-814F-D2FB07C33140}"/>
    <cellStyle name="Note 2 3 6 2 5" xfId="30693" xr:uid="{E2892EF2-85A9-4C6C-996D-D7AD24BA89C5}"/>
    <cellStyle name="Note 2 3 6 3" xfId="6558" xr:uid="{00000000-0005-0000-0000-000015210000}"/>
    <cellStyle name="Note 2 3 6 3 2" xfId="15884" xr:uid="{46BD4A57-7352-4FE7-9E11-7C16E9B7A046}"/>
    <cellStyle name="Note 2 3 6 3 3" xfId="24325" xr:uid="{5BAB8754-D794-4A4D-8948-2763E7663EB6}"/>
    <cellStyle name="Note 2 3 6 3 4" xfId="32765" xr:uid="{1F0EFCDD-017F-4A70-93FE-CA0F577178A8}"/>
    <cellStyle name="Note 2 3 6 4" xfId="11667" xr:uid="{98602EE8-F5B5-4DFE-B553-20F1BC6BA666}"/>
    <cellStyle name="Note 2 3 6 5" xfId="20108" xr:uid="{11E58902-A43F-4ED0-AA3B-87CF15AC24DA}"/>
    <cellStyle name="Note 2 3 6 6" xfId="28548" xr:uid="{AD947ACD-D129-44D9-94A5-92B13B3D9CFF}"/>
    <cellStyle name="Note 2 3 7" xfId="2688" xr:uid="{00000000-0005-0000-0000-000016210000}"/>
    <cellStyle name="Note 2 3 7 2" xfId="6971" xr:uid="{00000000-0005-0000-0000-000017210000}"/>
    <cellStyle name="Note 2 3 7 2 2" xfId="16297" xr:uid="{917539B4-F0A0-4779-BEFC-A3AEB0271486}"/>
    <cellStyle name="Note 2 3 7 2 3" xfId="24738" xr:uid="{952A1B9D-FB3A-4D80-B884-EF176BFA64ED}"/>
    <cellStyle name="Note 2 3 7 2 4" xfId="33178" xr:uid="{0542332F-F9AE-42F1-B046-5140B4358536}"/>
    <cellStyle name="Note 2 3 7 3" xfId="12080" xr:uid="{FCC57131-FB96-478D-8486-208EF4F687B3}"/>
    <cellStyle name="Note 2 3 7 4" xfId="20521" xr:uid="{F9D711A4-1D73-40D8-9ED3-33E5B3BF9D33}"/>
    <cellStyle name="Note 2 3 7 5" xfId="28961" xr:uid="{DAC5BE35-D196-435C-81D7-2BB0D202985B}"/>
    <cellStyle name="Note 2 3 8" xfId="2747" xr:uid="{00000000-0005-0000-0000-000018210000}"/>
    <cellStyle name="Note 2 3 9" xfId="2828" xr:uid="{00000000-0005-0000-0000-000019210000}"/>
    <cellStyle name="Note 2 3 9 2" xfId="7051" xr:uid="{00000000-0005-0000-0000-00001A210000}"/>
    <cellStyle name="Note 2 3 9 2 2" xfId="16377" xr:uid="{1780D80B-843E-4676-86B1-5696A41EB935}"/>
    <cellStyle name="Note 2 3 9 2 3" xfId="24818" xr:uid="{E6CD39BB-2BEE-4457-A1E3-D4A1B162C033}"/>
    <cellStyle name="Note 2 3 9 2 4" xfId="33258" xr:uid="{08D4F9CE-1DFC-4E13-A05F-66517D5D6080}"/>
    <cellStyle name="Note 2 3 9 3" xfId="12160" xr:uid="{E3829B73-85B8-4202-8E00-4A4D6666E06A}"/>
    <cellStyle name="Note 2 3 9 4" xfId="20601" xr:uid="{E69DF3E5-FE28-49B1-B086-4D324F56BB52}"/>
    <cellStyle name="Note 2 3 9 5" xfId="29041" xr:uid="{2B1AC543-48AE-42F4-97AE-3E283DE94E50}"/>
    <cellStyle name="Note 2 4" xfId="551" xr:uid="{00000000-0005-0000-0000-00001B210000}"/>
    <cellStyle name="Note 2 4 10" xfId="8998" xr:uid="{AC87C288-14A9-4FB3-A26C-1706964E6651}"/>
    <cellStyle name="Note 2 4 11" xfId="10017" xr:uid="{29D550BF-76F4-4CB3-9CBC-99C7AC988D6C}"/>
    <cellStyle name="Note 2 4 12" xfId="18458" xr:uid="{15216F3B-85AF-4241-93CB-0099A0E49B95}"/>
    <cellStyle name="Note 2 4 13" xfId="26898" xr:uid="{5278A074-F35D-48FE-ACC3-AA9D1457FACD}"/>
    <cellStyle name="Note 2 4 2" xfId="1012" xr:uid="{00000000-0005-0000-0000-00001C210000}"/>
    <cellStyle name="Note 2 4 2 2" xfId="3244" xr:uid="{00000000-0005-0000-0000-00001D210000}"/>
    <cellStyle name="Note 2 4 2 2 2" xfId="7466" xr:uid="{00000000-0005-0000-0000-00001E210000}"/>
    <cellStyle name="Note 2 4 2 2 2 2" xfId="16792" xr:uid="{D861043F-59F0-4EFF-8EC3-6A58587D3EBB}"/>
    <cellStyle name="Note 2 4 2 2 2 3" xfId="25233" xr:uid="{D922D889-5BD8-49E3-8F90-C8BC9D529291}"/>
    <cellStyle name="Note 2 4 2 2 2 4" xfId="33673" xr:uid="{4D2161EE-3836-42C1-8CD8-2FC91B43F62C}"/>
    <cellStyle name="Note 2 4 2 2 3" xfId="12575" xr:uid="{850684CC-9BEB-485F-84E5-BCE43E782767}"/>
    <cellStyle name="Note 2 4 2 2 4" xfId="21016" xr:uid="{07857F62-C16C-4D78-B5E2-6622AEB73F34}"/>
    <cellStyle name="Note 2 4 2 2 5" xfId="29456" xr:uid="{1F462756-A9C3-481F-A134-B0B9102EBAA4}"/>
    <cellStyle name="Note 2 4 2 3" xfId="5321" xr:uid="{00000000-0005-0000-0000-00001F210000}"/>
    <cellStyle name="Note 2 4 2 3 2" xfId="14647" xr:uid="{577ADC90-1EA0-49FE-AD0A-E8582EEFD271}"/>
    <cellStyle name="Note 2 4 2 3 3" xfId="23088" xr:uid="{89914268-46F7-4DC4-83E6-53B289D57931}"/>
    <cellStyle name="Note 2 4 2 3 4" xfId="31528" xr:uid="{321713EB-B944-474C-A7E0-84DAF6C4D34A}"/>
    <cellStyle name="Note 2 4 2 4" xfId="9423" xr:uid="{43B93802-BE55-43D9-BEBC-4095E3C1FF74}"/>
    <cellStyle name="Note 2 4 2 5" xfId="10430" xr:uid="{A6118B59-5613-44BA-87D2-76F6938D0B62}"/>
    <cellStyle name="Note 2 4 2 6" xfId="18871" xr:uid="{F4709630-712A-45CD-947E-B615E2DEEDC0}"/>
    <cellStyle name="Note 2 4 2 7" xfId="27311" xr:uid="{9A3059E5-BC62-43F7-9E54-34FB7555A0F3}"/>
    <cellStyle name="Note 2 4 3" xfId="1427" xr:uid="{00000000-0005-0000-0000-000020210000}"/>
    <cellStyle name="Note 2 4 3 2" xfId="3657" xr:uid="{00000000-0005-0000-0000-000021210000}"/>
    <cellStyle name="Note 2 4 3 2 2" xfId="7879" xr:uid="{00000000-0005-0000-0000-000022210000}"/>
    <cellStyle name="Note 2 4 3 2 2 2" xfId="17205" xr:uid="{DE96CF96-5995-45D0-A382-34FF2ABC8016}"/>
    <cellStyle name="Note 2 4 3 2 2 3" xfId="25646" xr:uid="{2E934B9A-05D8-4358-9317-E0F1F80DE73D}"/>
    <cellStyle name="Note 2 4 3 2 2 4" xfId="34086" xr:uid="{DAC74CAA-5B1C-4ADC-A6C6-8DCF0AAD055F}"/>
    <cellStyle name="Note 2 4 3 2 3" xfId="12988" xr:uid="{D123DDBC-5D26-4C89-B399-1BB20ED898F5}"/>
    <cellStyle name="Note 2 4 3 2 4" xfId="21429" xr:uid="{0B9C00BB-40A3-4332-8B7B-BA6EED55020F}"/>
    <cellStyle name="Note 2 4 3 2 5" xfId="29869" xr:uid="{274E61A2-1600-493F-B009-681C3A4DCF5A}"/>
    <cellStyle name="Note 2 4 3 3" xfId="5734" xr:uid="{00000000-0005-0000-0000-000023210000}"/>
    <cellStyle name="Note 2 4 3 3 2" xfId="15060" xr:uid="{DB8A4DB1-8D49-4477-BC33-D1A0A9ECE15E}"/>
    <cellStyle name="Note 2 4 3 3 3" xfId="23501" xr:uid="{0F54B635-7EBF-48E9-894C-8B78FC7D86C8}"/>
    <cellStyle name="Note 2 4 3 3 4" xfId="31941" xr:uid="{94061EFF-83A4-4E3F-A5FC-413BF51771F3}"/>
    <cellStyle name="Note 2 4 3 4" xfId="10843" xr:uid="{B15736D0-2C3E-46A5-829A-5F08DF123D62}"/>
    <cellStyle name="Note 2 4 3 5" xfId="19284" xr:uid="{CE2F8108-2457-4379-AB34-6968E04BEF32}"/>
    <cellStyle name="Note 2 4 3 6" xfId="27724" xr:uid="{62009165-C32A-44FF-B90E-93C4570B3503}"/>
    <cellStyle name="Note 2 4 4" xfId="1841" xr:uid="{00000000-0005-0000-0000-000024210000}"/>
    <cellStyle name="Note 2 4 4 2" xfId="4070" xr:uid="{00000000-0005-0000-0000-000025210000}"/>
    <cellStyle name="Note 2 4 4 2 2" xfId="8292" xr:uid="{00000000-0005-0000-0000-000026210000}"/>
    <cellStyle name="Note 2 4 4 2 2 2" xfId="17618" xr:uid="{CD9F2BD8-A960-419E-B650-3F1290FC173E}"/>
    <cellStyle name="Note 2 4 4 2 2 3" xfId="26059" xr:uid="{3FC4EED8-F28D-4CAC-9C95-E9D4BF986481}"/>
    <cellStyle name="Note 2 4 4 2 2 4" xfId="34499" xr:uid="{538788E2-F8E1-4362-81DE-57744BD347FE}"/>
    <cellStyle name="Note 2 4 4 2 3" xfId="13401" xr:uid="{FA37A59A-FFCB-4BAA-9921-37C00E728CD0}"/>
    <cellStyle name="Note 2 4 4 2 4" xfId="21842" xr:uid="{749E57E0-B2DF-4B66-9E9E-1A2DB41A02CC}"/>
    <cellStyle name="Note 2 4 4 2 5" xfId="30282" xr:uid="{D4D1F555-F9FB-4CE5-8C88-8BC4FA06E4A7}"/>
    <cellStyle name="Note 2 4 4 3" xfId="6147" xr:uid="{00000000-0005-0000-0000-000027210000}"/>
    <cellStyle name="Note 2 4 4 3 2" xfId="15473" xr:uid="{16392262-4771-44D6-A473-A3774A5A109B}"/>
    <cellStyle name="Note 2 4 4 3 3" xfId="23914" xr:uid="{19B84E5B-F8EF-4112-98B8-E1792B4FFBFF}"/>
    <cellStyle name="Note 2 4 4 3 4" xfId="32354" xr:uid="{C78658B2-57F9-4195-9F7F-7102C73F56B2}"/>
    <cellStyle name="Note 2 4 4 4" xfId="11256" xr:uid="{3D3B3E6C-6464-45BC-8329-5AA1AB3E1AF5}"/>
    <cellStyle name="Note 2 4 4 5" xfId="19697" xr:uid="{AE3E084C-FF94-4981-8DAD-172A07249306}"/>
    <cellStyle name="Note 2 4 4 6" xfId="28137" xr:uid="{148CA17E-0A63-4552-BBA8-5FE56F2C9218}"/>
    <cellStyle name="Note 2 4 5" xfId="2254" xr:uid="{00000000-0005-0000-0000-000028210000}"/>
    <cellStyle name="Note 2 4 5 2" xfId="4483" xr:uid="{00000000-0005-0000-0000-000029210000}"/>
    <cellStyle name="Note 2 4 5 2 2" xfId="8705" xr:uid="{00000000-0005-0000-0000-00002A210000}"/>
    <cellStyle name="Note 2 4 5 2 2 2" xfId="18031" xr:uid="{D96BB5AB-4E21-40A7-A695-5C2828176ACF}"/>
    <cellStyle name="Note 2 4 5 2 2 3" xfId="26472" xr:uid="{32E2B327-0457-4F39-9AAF-E4EA114A8EE7}"/>
    <cellStyle name="Note 2 4 5 2 2 4" xfId="34912" xr:uid="{C2D2332E-4FE4-4908-934A-050F5BD99B98}"/>
    <cellStyle name="Note 2 4 5 2 3" xfId="13814" xr:uid="{6FEE3B8E-E8AA-4973-B4A2-59D5BBFA073D}"/>
    <cellStyle name="Note 2 4 5 2 4" xfId="22255" xr:uid="{0191BF22-DB8A-42F5-BB1B-D98877B00188}"/>
    <cellStyle name="Note 2 4 5 2 5" xfId="30695" xr:uid="{663F6B99-9BFA-40A5-93C7-33814993EDB0}"/>
    <cellStyle name="Note 2 4 5 3" xfId="6560" xr:uid="{00000000-0005-0000-0000-00002B210000}"/>
    <cellStyle name="Note 2 4 5 3 2" xfId="15886" xr:uid="{CAEC5536-8348-4B27-AB00-0217E3821EF8}"/>
    <cellStyle name="Note 2 4 5 3 3" xfId="24327" xr:uid="{1B239994-5C4F-4A3E-B805-4099DEC9C832}"/>
    <cellStyle name="Note 2 4 5 3 4" xfId="32767" xr:uid="{F512C7C0-6706-46C9-90B2-23D568DDB9FC}"/>
    <cellStyle name="Note 2 4 5 4" xfId="11669" xr:uid="{091F9EA0-BA14-4A3C-A7A5-16083BD6F97B}"/>
    <cellStyle name="Note 2 4 5 5" xfId="20110" xr:uid="{68D03806-E987-4B96-9F7F-6C13963AC584}"/>
    <cellStyle name="Note 2 4 5 6" xfId="28550" xr:uid="{12CD671C-EBBF-4C5C-9990-6688EFF4D731}"/>
    <cellStyle name="Note 2 4 6" xfId="2690" xr:uid="{00000000-0005-0000-0000-00002C210000}"/>
    <cellStyle name="Note 2 4 6 2" xfId="6973" xr:uid="{00000000-0005-0000-0000-00002D210000}"/>
    <cellStyle name="Note 2 4 6 2 2" xfId="16299" xr:uid="{C5200B2E-FB87-4133-AA7A-77AC8EA96B93}"/>
    <cellStyle name="Note 2 4 6 2 3" xfId="24740" xr:uid="{A784641E-A84B-4FC5-A0BD-BBCBDD50F3B3}"/>
    <cellStyle name="Note 2 4 6 2 4" xfId="33180" xr:uid="{E9A778D4-52C7-42DC-A2B6-2125A02BC5C2}"/>
    <cellStyle name="Note 2 4 6 3" xfId="12082" xr:uid="{362A8B85-0A5D-4AD2-954D-3A7E471EE817}"/>
    <cellStyle name="Note 2 4 6 4" xfId="20523" xr:uid="{59658836-D37A-473A-9018-5182F3C510A1}"/>
    <cellStyle name="Note 2 4 6 5" xfId="28963" xr:uid="{F3BB7BFC-22E7-459E-BF81-BB5EBF0F9D57}"/>
    <cellStyle name="Note 2 4 7" xfId="2749" xr:uid="{00000000-0005-0000-0000-00002E210000}"/>
    <cellStyle name="Note 2 4 8" xfId="2830" xr:uid="{00000000-0005-0000-0000-00002F210000}"/>
    <cellStyle name="Note 2 4 8 2" xfId="7053" xr:uid="{00000000-0005-0000-0000-000030210000}"/>
    <cellStyle name="Note 2 4 8 2 2" xfId="16379" xr:uid="{B99E92A3-D9B9-4BEF-9926-8C3CB2DF9DEF}"/>
    <cellStyle name="Note 2 4 8 2 3" xfId="24820" xr:uid="{AA7D1C2B-FD74-439F-B522-C134F3D3CCDD}"/>
    <cellStyle name="Note 2 4 8 2 4" xfId="33260" xr:uid="{1D2C3155-5E7F-42C8-8624-D12EFF47237E}"/>
    <cellStyle name="Note 2 4 8 3" xfId="12162" xr:uid="{8F2852AE-CCF1-48DC-A32C-41EEAECCFA1F}"/>
    <cellStyle name="Note 2 4 8 4" xfId="20603" xr:uid="{65DE7C55-9009-44AF-8C2F-3027FCF5965A}"/>
    <cellStyle name="Note 2 4 8 5" xfId="29043" xr:uid="{16C0677D-B36B-406A-A14F-5CD768810C98}"/>
    <cellStyle name="Note 2 4 9" xfId="4908" xr:uid="{00000000-0005-0000-0000-000031210000}"/>
    <cellStyle name="Note 2 4 9 2" xfId="14234" xr:uid="{C8BC712E-10A3-4294-9766-A95654086516}"/>
    <cellStyle name="Note 2 4 9 3" xfId="22675" xr:uid="{84E2DC39-75CC-4F7B-9BC2-55E7001C6355}"/>
    <cellStyle name="Note 2 4 9 4" xfId="31115" xr:uid="{40F07ABA-F2B7-480B-8247-E98E8BC28E50}"/>
    <cellStyle name="Note 2 5" xfId="552" xr:uid="{00000000-0005-0000-0000-000032210000}"/>
    <cellStyle name="Note 2 5 10" xfId="9215" xr:uid="{69947D86-0683-476F-9E74-96CA08091560}"/>
    <cellStyle name="Note 2 5 11" xfId="10018" xr:uid="{C965BAD8-CAAF-4A7B-BEDC-C3FE25AF277A}"/>
    <cellStyle name="Note 2 5 12" xfId="18459" xr:uid="{4C328A88-499B-4F16-988E-FF01C31F908E}"/>
    <cellStyle name="Note 2 5 13" xfId="26899" xr:uid="{DD2A5A74-FE65-48B7-B17F-57CF4E02A342}"/>
    <cellStyle name="Note 2 5 2" xfId="1013" xr:uid="{00000000-0005-0000-0000-000033210000}"/>
    <cellStyle name="Note 2 5 2 2" xfId="3245" xr:uid="{00000000-0005-0000-0000-000034210000}"/>
    <cellStyle name="Note 2 5 2 2 2" xfId="7467" xr:uid="{00000000-0005-0000-0000-000035210000}"/>
    <cellStyle name="Note 2 5 2 2 2 2" xfId="16793" xr:uid="{65B894BA-F82C-4586-97F9-189C1D013E9B}"/>
    <cellStyle name="Note 2 5 2 2 2 3" xfId="25234" xr:uid="{FE3354EE-C3C2-4DA0-9C30-1EACA21B2C96}"/>
    <cellStyle name="Note 2 5 2 2 2 4" xfId="33674" xr:uid="{688DB21B-3CD8-45CA-8DD6-67EAF66155F7}"/>
    <cellStyle name="Note 2 5 2 2 3" xfId="12576" xr:uid="{9C292FE2-C1D2-4EF6-8473-91C0D0F8C699}"/>
    <cellStyle name="Note 2 5 2 2 4" xfId="21017" xr:uid="{1CA7FCDD-061E-405E-A2D3-40EC54199D60}"/>
    <cellStyle name="Note 2 5 2 2 5" xfId="29457" xr:uid="{9465DB05-F385-46F1-899A-B1E5BD730F64}"/>
    <cellStyle name="Note 2 5 2 3" xfId="5322" xr:uid="{00000000-0005-0000-0000-000036210000}"/>
    <cellStyle name="Note 2 5 2 3 2" xfId="14648" xr:uid="{5C6D1701-97D8-429E-8510-C837C8FC4A4F}"/>
    <cellStyle name="Note 2 5 2 3 3" xfId="23089" xr:uid="{E79A0852-FD27-41CA-819B-40521DCF499E}"/>
    <cellStyle name="Note 2 5 2 3 4" xfId="31529" xr:uid="{C52F0A41-445B-4A7E-90FB-C68D28DA2E95}"/>
    <cellStyle name="Note 2 5 2 4" xfId="9610" xr:uid="{26530D10-1DF8-4FA4-8FC9-4C945AA92A94}"/>
    <cellStyle name="Note 2 5 2 5" xfId="10431" xr:uid="{AF2D28B3-5F18-49B4-97AB-E2A66ED25517}"/>
    <cellStyle name="Note 2 5 2 6" xfId="18872" xr:uid="{E3C6D260-1892-48C8-B78D-62C2F85E6651}"/>
    <cellStyle name="Note 2 5 2 7" xfId="27312" xr:uid="{91798371-D25D-4605-891D-DEBAA6D75D0C}"/>
    <cellStyle name="Note 2 5 3" xfId="1428" xr:uid="{00000000-0005-0000-0000-000037210000}"/>
    <cellStyle name="Note 2 5 3 2" xfId="3658" xr:uid="{00000000-0005-0000-0000-000038210000}"/>
    <cellStyle name="Note 2 5 3 2 2" xfId="7880" xr:uid="{00000000-0005-0000-0000-000039210000}"/>
    <cellStyle name="Note 2 5 3 2 2 2" xfId="17206" xr:uid="{ED874D8E-6543-439E-B052-02C27A869DA5}"/>
    <cellStyle name="Note 2 5 3 2 2 3" xfId="25647" xr:uid="{29FD6099-B511-438E-B9BD-E3E3A3898C75}"/>
    <cellStyle name="Note 2 5 3 2 2 4" xfId="34087" xr:uid="{CDD5D5E2-D0A5-4010-ABCF-DBBC1164EE47}"/>
    <cellStyle name="Note 2 5 3 2 3" xfId="12989" xr:uid="{EA23E129-882A-457E-9D30-885D8795BE7F}"/>
    <cellStyle name="Note 2 5 3 2 4" xfId="21430" xr:uid="{F7C9EAF0-6DEF-4090-A659-3E1C591EB967}"/>
    <cellStyle name="Note 2 5 3 2 5" xfId="29870" xr:uid="{9DC1AC72-C346-4030-AA28-1FB5A047870D}"/>
    <cellStyle name="Note 2 5 3 3" xfId="5735" xr:uid="{00000000-0005-0000-0000-00003A210000}"/>
    <cellStyle name="Note 2 5 3 3 2" xfId="15061" xr:uid="{884422B9-F466-4239-82B5-43FFA5B50C9A}"/>
    <cellStyle name="Note 2 5 3 3 3" xfId="23502" xr:uid="{488A8586-7888-434F-9F44-D3B28EA8ED29}"/>
    <cellStyle name="Note 2 5 3 3 4" xfId="31942" xr:uid="{A6FB85C3-C603-4927-967D-64A7A1BAFCD0}"/>
    <cellStyle name="Note 2 5 3 4" xfId="10844" xr:uid="{5A4895A7-2E5D-4ACD-A303-EC1B757FCF71}"/>
    <cellStyle name="Note 2 5 3 5" xfId="19285" xr:uid="{D42389CF-EF99-4C17-A712-9B5C0B87366A}"/>
    <cellStyle name="Note 2 5 3 6" xfId="27725" xr:uid="{2DD5FE7E-27AA-4C56-B603-9DCA6D5F2E22}"/>
    <cellStyle name="Note 2 5 4" xfId="1842" xr:uid="{00000000-0005-0000-0000-00003B210000}"/>
    <cellStyle name="Note 2 5 4 2" xfId="4071" xr:uid="{00000000-0005-0000-0000-00003C210000}"/>
    <cellStyle name="Note 2 5 4 2 2" xfId="8293" xr:uid="{00000000-0005-0000-0000-00003D210000}"/>
    <cellStyle name="Note 2 5 4 2 2 2" xfId="17619" xr:uid="{7BDBCB65-EF00-4C87-B798-626EBA4EC17E}"/>
    <cellStyle name="Note 2 5 4 2 2 3" xfId="26060" xr:uid="{0E7C8B2B-D493-4C28-9776-365B910ABA9C}"/>
    <cellStyle name="Note 2 5 4 2 2 4" xfId="34500" xr:uid="{8D278633-D101-4923-A1CE-BE4CE1A965F8}"/>
    <cellStyle name="Note 2 5 4 2 3" xfId="13402" xr:uid="{B0A1DD7B-0E30-4BD1-A0DC-354C25E8B973}"/>
    <cellStyle name="Note 2 5 4 2 4" xfId="21843" xr:uid="{4EFD7EAF-C849-4636-A2E9-61D35FE7DA27}"/>
    <cellStyle name="Note 2 5 4 2 5" xfId="30283" xr:uid="{4300EF53-1058-4296-83BB-8A133C74548D}"/>
    <cellStyle name="Note 2 5 4 3" xfId="6148" xr:uid="{00000000-0005-0000-0000-00003E210000}"/>
    <cellStyle name="Note 2 5 4 3 2" xfId="15474" xr:uid="{51196B67-301A-494A-AC31-E7680CA599FB}"/>
    <cellStyle name="Note 2 5 4 3 3" xfId="23915" xr:uid="{B5EA330B-2853-4B6E-963E-D160745067DB}"/>
    <cellStyle name="Note 2 5 4 3 4" xfId="32355" xr:uid="{6C2A2369-5348-4506-9E49-63A01F9ABFFD}"/>
    <cellStyle name="Note 2 5 4 4" xfId="11257" xr:uid="{629446DB-9494-406F-B2D9-BAD4E9CAAE32}"/>
    <cellStyle name="Note 2 5 4 5" xfId="19698" xr:uid="{0123FE81-1D44-4905-A5AB-3B891A69A26E}"/>
    <cellStyle name="Note 2 5 4 6" xfId="28138" xr:uid="{7B88CCCA-3ECD-490A-A158-94BC870BE3D6}"/>
    <cellStyle name="Note 2 5 5" xfId="2255" xr:uid="{00000000-0005-0000-0000-00003F210000}"/>
    <cellStyle name="Note 2 5 5 2" xfId="4484" xr:uid="{00000000-0005-0000-0000-000040210000}"/>
    <cellStyle name="Note 2 5 5 2 2" xfId="8706" xr:uid="{00000000-0005-0000-0000-000041210000}"/>
    <cellStyle name="Note 2 5 5 2 2 2" xfId="18032" xr:uid="{D31ACDAE-7744-4B7B-8CD3-4DABE8C8D44B}"/>
    <cellStyle name="Note 2 5 5 2 2 3" xfId="26473" xr:uid="{0532576D-3898-447F-97BE-FF203CCD3760}"/>
    <cellStyle name="Note 2 5 5 2 2 4" xfId="34913" xr:uid="{8B277157-227E-43A1-8B03-D207DD1473CF}"/>
    <cellStyle name="Note 2 5 5 2 3" xfId="13815" xr:uid="{EA001A2C-429D-44A1-BF67-AC40AE0BD805}"/>
    <cellStyle name="Note 2 5 5 2 4" xfId="22256" xr:uid="{7C31ACA2-16D3-4C10-B945-1A380D40E722}"/>
    <cellStyle name="Note 2 5 5 2 5" xfId="30696" xr:uid="{A8C76163-4BC1-4179-B95B-5BBA1C9A2677}"/>
    <cellStyle name="Note 2 5 5 3" xfId="6561" xr:uid="{00000000-0005-0000-0000-000042210000}"/>
    <cellStyle name="Note 2 5 5 3 2" xfId="15887" xr:uid="{AEDFD163-4C7D-49EB-AF9F-36DCF55C0E8E}"/>
    <cellStyle name="Note 2 5 5 3 3" xfId="24328" xr:uid="{AFA29CD7-4171-405F-B7C1-BE0FCAADEABF}"/>
    <cellStyle name="Note 2 5 5 3 4" xfId="32768" xr:uid="{28A0C5CD-87A6-434E-B3BF-D17843A46682}"/>
    <cellStyle name="Note 2 5 5 4" xfId="11670" xr:uid="{708D57E7-5C56-4CBF-ABC3-773DE1F22F33}"/>
    <cellStyle name="Note 2 5 5 5" xfId="20111" xr:uid="{F2361AE3-A5F7-482D-8616-B361D48AFA98}"/>
    <cellStyle name="Note 2 5 5 6" xfId="28551" xr:uid="{12D0BB73-28BF-41B1-BA67-32546F363037}"/>
    <cellStyle name="Note 2 5 6" xfId="2691" xr:uid="{00000000-0005-0000-0000-000043210000}"/>
    <cellStyle name="Note 2 5 6 2" xfId="6974" xr:uid="{00000000-0005-0000-0000-000044210000}"/>
    <cellStyle name="Note 2 5 6 2 2" xfId="16300" xr:uid="{79535580-A200-4AF1-BF11-8CE874CE1068}"/>
    <cellStyle name="Note 2 5 6 2 3" xfId="24741" xr:uid="{B1E6DE32-F0EA-4BE2-91E6-626585434B31}"/>
    <cellStyle name="Note 2 5 6 2 4" xfId="33181" xr:uid="{513B2C23-5423-48AD-8854-7BBEC0C37520}"/>
    <cellStyle name="Note 2 5 6 3" xfId="12083" xr:uid="{EEC13F6A-8882-415B-93BB-F4CDC044D3EF}"/>
    <cellStyle name="Note 2 5 6 4" xfId="20524" xr:uid="{4C25CD3D-85B6-4BC7-A394-9B1A42EE1540}"/>
    <cellStyle name="Note 2 5 6 5" xfId="28964" xr:uid="{414A3F56-0EAE-4BD8-9B69-93ED8321DC43}"/>
    <cellStyle name="Note 2 5 7" xfId="2750" xr:uid="{00000000-0005-0000-0000-000045210000}"/>
    <cellStyle name="Note 2 5 8" xfId="2831" xr:uid="{00000000-0005-0000-0000-000046210000}"/>
    <cellStyle name="Note 2 5 8 2" xfId="7054" xr:uid="{00000000-0005-0000-0000-000047210000}"/>
    <cellStyle name="Note 2 5 8 2 2" xfId="16380" xr:uid="{54BF3E61-E4D3-45A9-A6EC-7A0FC4DD0EB0}"/>
    <cellStyle name="Note 2 5 8 2 3" xfId="24821" xr:uid="{2BA44CFF-35F5-451D-AD76-2BFDFE6D1389}"/>
    <cellStyle name="Note 2 5 8 2 4" xfId="33261" xr:uid="{E9A0F492-45D7-4A33-9E7D-17C0D5F848BA}"/>
    <cellStyle name="Note 2 5 8 3" xfId="12163" xr:uid="{80AB7390-2C42-4F59-8D36-377C60E38508}"/>
    <cellStyle name="Note 2 5 8 4" xfId="20604" xr:uid="{6A47DA31-E67F-410B-A243-906919A2CACC}"/>
    <cellStyle name="Note 2 5 8 5" xfId="29044" xr:uid="{803268EA-A285-4A85-B101-37C00E7E2A92}"/>
    <cellStyle name="Note 2 5 9" xfId="4909" xr:uid="{00000000-0005-0000-0000-000048210000}"/>
    <cellStyle name="Note 2 5 9 2" xfId="14235" xr:uid="{A31ADF58-385F-46B5-9DE8-2CB0E332A440}"/>
    <cellStyle name="Note 2 5 9 3" xfId="22676" xr:uid="{80FE0836-C758-44F2-AA92-B1DE60A219BB}"/>
    <cellStyle name="Note 2 5 9 4" xfId="31116" xr:uid="{E51C84B9-08F0-42A7-9264-9DAED9CFD59A}"/>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9C588001-4197-48DC-AE50-8BCA81C0956E}"/>
    <cellStyle name="Note 3 2 10 2 3" xfId="24822" xr:uid="{0BE7F476-D4F9-4602-849D-62A9BBBA58CD}"/>
    <cellStyle name="Note 3 2 10 2 4" xfId="33262" xr:uid="{F25411DF-6787-4BCA-9DF3-55F72B11365D}"/>
    <cellStyle name="Note 3 2 10 3" xfId="12164" xr:uid="{652019BC-5A07-44FC-AFB8-43C7D08E3B32}"/>
    <cellStyle name="Note 3 2 10 4" xfId="20605" xr:uid="{D1DD6BF9-4B1B-4A0F-9864-8C4D5492F7BC}"/>
    <cellStyle name="Note 3 2 10 5" xfId="29045" xr:uid="{B18E626E-1BAE-4BA5-9384-6BB2BCFCEB99}"/>
    <cellStyle name="Note 3 2 11" xfId="4910" xr:uid="{00000000-0005-0000-0000-00004D210000}"/>
    <cellStyle name="Note 3 2 11 2" xfId="14236" xr:uid="{038EF164-70CA-427A-9386-9CAA63146396}"/>
    <cellStyle name="Note 3 2 11 3" xfId="22677" xr:uid="{9484A822-FAEE-488B-9D85-A4FEC78CB424}"/>
    <cellStyle name="Note 3 2 11 4" xfId="31117" xr:uid="{CA9C2113-8514-4FF1-BB88-99058B9BED79}"/>
    <cellStyle name="Note 3 2 12" xfId="8842" xr:uid="{646587AC-B7A9-43E2-AC1E-1B77745805D8}"/>
    <cellStyle name="Note 3 2 13" xfId="10019" xr:uid="{BA471CC3-A55F-4DF1-A8CB-76E9C110580D}"/>
    <cellStyle name="Note 3 2 14" xfId="18460" xr:uid="{ABE1CE12-CF76-4559-B933-90E965297BCB}"/>
    <cellStyle name="Note 3 2 15" xfId="26900" xr:uid="{E2B80B62-3D1A-483A-B6C3-80C4678B2871}"/>
    <cellStyle name="Note 3 2 2" xfId="555" xr:uid="{00000000-0005-0000-0000-00004E210000}"/>
    <cellStyle name="Note 3 2 2 10" xfId="4911" xr:uid="{00000000-0005-0000-0000-00004F210000}"/>
    <cellStyle name="Note 3 2 2 10 2" xfId="14237" xr:uid="{92B49277-C081-46FF-88CC-908A3CEF1BDF}"/>
    <cellStyle name="Note 3 2 2 10 3" xfId="22678" xr:uid="{D24B3E8B-92D9-4AC7-8A43-5254373E1AD1}"/>
    <cellStyle name="Note 3 2 2 10 4" xfId="31118" xr:uid="{AC4DC35B-8DED-43DB-8DB0-E71FA8FEFFEB}"/>
    <cellStyle name="Note 3 2 2 11" xfId="8945" xr:uid="{D320AF38-4F47-4266-9CB9-3BD7E15BFDAE}"/>
    <cellStyle name="Note 3 2 2 12" xfId="10020" xr:uid="{8E1656A7-8565-4671-B6A3-23A8A61072DF}"/>
    <cellStyle name="Note 3 2 2 13" xfId="18461" xr:uid="{E4E7F5DE-6395-4F2E-974C-8683F3F26810}"/>
    <cellStyle name="Note 3 2 2 14" xfId="26901" xr:uid="{37B0D487-0231-4E92-A4A5-CDF19D2F761A}"/>
    <cellStyle name="Note 3 2 2 2" xfId="556" xr:uid="{00000000-0005-0000-0000-000050210000}"/>
    <cellStyle name="Note 3 2 2 2 10" xfId="9152" xr:uid="{24874F5B-4700-44ED-9556-84C4E89A274D}"/>
    <cellStyle name="Note 3 2 2 2 11" xfId="10021" xr:uid="{4DDDA60A-6C62-4565-BE48-7D117D29E62F}"/>
    <cellStyle name="Note 3 2 2 2 12" xfId="18462" xr:uid="{40D51A6E-234D-4F24-B4BA-89EFE14E5DEA}"/>
    <cellStyle name="Note 3 2 2 2 13" xfId="26902" xr:uid="{47EBD061-E1AB-4457-9FC5-567ACBD0CF95}"/>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E43C3455-2738-4451-94AA-49E4F1057ABB}"/>
    <cellStyle name="Note 3 2 2 2 2 2 2 3" xfId="25237" xr:uid="{344BB3FC-FB95-44EB-AC4B-332238B13F06}"/>
    <cellStyle name="Note 3 2 2 2 2 2 2 4" xfId="33677" xr:uid="{D9466BA3-EFEC-483A-8A7E-C5AC8B0260B3}"/>
    <cellStyle name="Note 3 2 2 2 2 2 3" xfId="12579" xr:uid="{46345A0A-BBDE-4A6E-8FD4-C887CBD18723}"/>
    <cellStyle name="Note 3 2 2 2 2 2 4" xfId="21020" xr:uid="{DE3DDB89-9BBD-48C5-BAE7-0247A3168925}"/>
    <cellStyle name="Note 3 2 2 2 2 2 5" xfId="29460" xr:uid="{B8A42048-370E-4012-8406-49C5E84D1422}"/>
    <cellStyle name="Note 3 2 2 2 2 3" xfId="5325" xr:uid="{00000000-0005-0000-0000-000054210000}"/>
    <cellStyle name="Note 3 2 2 2 2 3 2" xfId="14651" xr:uid="{FCA96046-E189-4696-B620-EDA5586626BD}"/>
    <cellStyle name="Note 3 2 2 2 2 3 3" xfId="23092" xr:uid="{31EB31A1-F3E6-4E3A-8A8D-D25B3F9319DC}"/>
    <cellStyle name="Note 3 2 2 2 2 3 4" xfId="31532" xr:uid="{4EC28BC4-C09C-42F2-AF9F-3E42AD863F03}"/>
    <cellStyle name="Note 3 2 2 2 2 4" xfId="9577" xr:uid="{7C0C89D7-CA14-4942-89B2-D584AC810EDC}"/>
    <cellStyle name="Note 3 2 2 2 2 5" xfId="10434" xr:uid="{626669B8-F595-4BDC-93DE-9CACBD0E656F}"/>
    <cellStyle name="Note 3 2 2 2 2 6" xfId="18875" xr:uid="{30371014-A6DA-4ED1-90D5-953E5519CFBA}"/>
    <cellStyle name="Note 3 2 2 2 2 7" xfId="27315" xr:uid="{1AB5AF31-9208-4457-8876-630DE4F18EB2}"/>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BA6A059F-C15E-4ADF-8475-7E7FB91F3012}"/>
    <cellStyle name="Note 3 2 2 2 3 2 2 3" xfId="25650" xr:uid="{5A2FD8D5-85E7-4DF4-A2AC-F1E07E23F921}"/>
    <cellStyle name="Note 3 2 2 2 3 2 2 4" xfId="34090" xr:uid="{A610618D-F813-405F-BB1C-38ED59723B47}"/>
    <cellStyle name="Note 3 2 2 2 3 2 3" xfId="12992" xr:uid="{8FC4C9BC-2CBD-4F94-9F00-B01800C2429E}"/>
    <cellStyle name="Note 3 2 2 2 3 2 4" xfId="21433" xr:uid="{32F76A05-252B-44D6-AE0A-4949DAD31FD1}"/>
    <cellStyle name="Note 3 2 2 2 3 2 5" xfId="29873" xr:uid="{E4A8BF0A-FBCF-4E27-80E2-9F2ACF0FAAFD}"/>
    <cellStyle name="Note 3 2 2 2 3 3" xfId="5738" xr:uid="{00000000-0005-0000-0000-000058210000}"/>
    <cellStyle name="Note 3 2 2 2 3 3 2" xfId="15064" xr:uid="{8DDCE669-A2B9-4FC9-AC08-03916F903C53}"/>
    <cellStyle name="Note 3 2 2 2 3 3 3" xfId="23505" xr:uid="{DD598CBC-6048-455B-B73D-AE51436D1A31}"/>
    <cellStyle name="Note 3 2 2 2 3 3 4" xfId="31945" xr:uid="{336E9917-ED69-4D85-9214-A135B59ADA09}"/>
    <cellStyle name="Note 3 2 2 2 3 4" xfId="10847" xr:uid="{710BC97A-9E10-4E56-A125-59CB092FABA7}"/>
    <cellStyle name="Note 3 2 2 2 3 5" xfId="19288" xr:uid="{D73CC0F3-2552-49DF-9E4A-BB8196AD367C}"/>
    <cellStyle name="Note 3 2 2 2 3 6" xfId="27728" xr:uid="{05864B98-54B7-4E53-AAF7-D98FC7101F5B}"/>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BAC912AF-21F7-4F46-BBAE-1A26693BB06F}"/>
    <cellStyle name="Note 3 2 2 2 4 2 2 3" xfId="26063" xr:uid="{2ADECE34-9C9F-4A4B-9AB4-CF92F67A6854}"/>
    <cellStyle name="Note 3 2 2 2 4 2 2 4" xfId="34503" xr:uid="{EE999340-D9D8-4A5F-B8DF-DDFBF1B4AD35}"/>
    <cellStyle name="Note 3 2 2 2 4 2 3" xfId="13405" xr:uid="{23A8F7EE-EED2-49C8-81C2-1204D3039215}"/>
    <cellStyle name="Note 3 2 2 2 4 2 4" xfId="21846" xr:uid="{3BA302E5-CF54-4A23-85A5-EBB3C23DF74E}"/>
    <cellStyle name="Note 3 2 2 2 4 2 5" xfId="30286" xr:uid="{269CD468-AC0A-406E-AE58-2CE060D25A2D}"/>
    <cellStyle name="Note 3 2 2 2 4 3" xfId="6151" xr:uid="{00000000-0005-0000-0000-00005C210000}"/>
    <cellStyle name="Note 3 2 2 2 4 3 2" xfId="15477" xr:uid="{C447D285-17C5-4BD6-A7E7-624AA5AD904A}"/>
    <cellStyle name="Note 3 2 2 2 4 3 3" xfId="23918" xr:uid="{BCEEC168-58D0-4C5F-9155-2970E8DAFA95}"/>
    <cellStyle name="Note 3 2 2 2 4 3 4" xfId="32358" xr:uid="{C6C4AAC4-6321-4E0E-9CC9-A5130209F612}"/>
    <cellStyle name="Note 3 2 2 2 4 4" xfId="11260" xr:uid="{4D52C75B-6132-49D1-921C-0B5DE4BB836F}"/>
    <cellStyle name="Note 3 2 2 2 4 5" xfId="19701" xr:uid="{37BD4451-4D10-4B1C-B2B0-7A07747A90A5}"/>
    <cellStyle name="Note 3 2 2 2 4 6" xfId="28141" xr:uid="{7A0F7174-7BA7-430B-B20A-83B2373A2CBE}"/>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F2B27F90-AB3E-48E9-ACC3-3A4F0F9D9CBA}"/>
    <cellStyle name="Note 3 2 2 2 5 2 2 3" xfId="26476" xr:uid="{2C479B9A-4AC5-4ECB-B38C-E6E9890BD422}"/>
    <cellStyle name="Note 3 2 2 2 5 2 2 4" xfId="34916" xr:uid="{1DD97483-C1C4-49C0-8B56-D5A62003EEAC}"/>
    <cellStyle name="Note 3 2 2 2 5 2 3" xfId="13818" xr:uid="{19725594-44C1-419E-A6D6-3A56761A242A}"/>
    <cellStyle name="Note 3 2 2 2 5 2 4" xfId="22259" xr:uid="{AA7D2A33-CF2E-434D-822A-E2214BB3F391}"/>
    <cellStyle name="Note 3 2 2 2 5 2 5" xfId="30699" xr:uid="{C4290225-46E1-4444-9620-E75E5CE2575A}"/>
    <cellStyle name="Note 3 2 2 2 5 3" xfId="6564" xr:uid="{00000000-0005-0000-0000-000060210000}"/>
    <cellStyle name="Note 3 2 2 2 5 3 2" xfId="15890" xr:uid="{AD0F5D17-9524-46CD-8BCC-AAF007D6AC41}"/>
    <cellStyle name="Note 3 2 2 2 5 3 3" xfId="24331" xr:uid="{E386B842-B9B5-4DEF-B6C9-397AED74CF3C}"/>
    <cellStyle name="Note 3 2 2 2 5 3 4" xfId="32771" xr:uid="{575E3C50-D17A-4501-9A5F-2B1EDA395179}"/>
    <cellStyle name="Note 3 2 2 2 5 4" xfId="11673" xr:uid="{A3B543CB-5820-49C6-8FFB-CE1B79B6EF72}"/>
    <cellStyle name="Note 3 2 2 2 5 5" xfId="20114" xr:uid="{881DCDC3-AA74-416C-8396-93DC5A50CB75}"/>
    <cellStyle name="Note 3 2 2 2 5 6" xfId="28554" xr:uid="{CC7ACCE1-D55E-4411-9D87-DBAABCF25B57}"/>
    <cellStyle name="Note 3 2 2 2 6" xfId="2694" xr:uid="{00000000-0005-0000-0000-000061210000}"/>
    <cellStyle name="Note 3 2 2 2 6 2" xfId="6977" xr:uid="{00000000-0005-0000-0000-000062210000}"/>
    <cellStyle name="Note 3 2 2 2 6 2 2" xfId="16303" xr:uid="{7064565F-28DD-4F88-AAF5-1E064A11B2A1}"/>
    <cellStyle name="Note 3 2 2 2 6 2 3" xfId="24744" xr:uid="{51449B76-240F-4DA6-AF6A-0F8DCDB25CF1}"/>
    <cellStyle name="Note 3 2 2 2 6 2 4" xfId="33184" xr:uid="{79D07DF2-1A8F-4433-A110-1A66704CB2B4}"/>
    <cellStyle name="Note 3 2 2 2 6 3" xfId="12086" xr:uid="{39026BE2-8F1D-4C37-ADB3-31E37B8C0DD9}"/>
    <cellStyle name="Note 3 2 2 2 6 4" xfId="20527" xr:uid="{31BCF154-946F-4B15-AF14-AF5C4364DFD2}"/>
    <cellStyle name="Note 3 2 2 2 6 5" xfId="28967" xr:uid="{7C931A53-B346-4532-AA6E-A61ADACFDE80}"/>
    <cellStyle name="Note 3 2 2 2 7" xfId="2753" xr:uid="{00000000-0005-0000-0000-000063210000}"/>
    <cellStyle name="Note 3 2 2 2 8" xfId="2834" xr:uid="{00000000-0005-0000-0000-000064210000}"/>
    <cellStyle name="Note 3 2 2 2 8 2" xfId="7057" xr:uid="{00000000-0005-0000-0000-000065210000}"/>
    <cellStyle name="Note 3 2 2 2 8 2 2" xfId="16383" xr:uid="{BB0EB553-12FC-422B-84A5-A79BF5CF29AC}"/>
    <cellStyle name="Note 3 2 2 2 8 2 3" xfId="24824" xr:uid="{D022CA77-95F0-4EF5-B334-8EFB91723477}"/>
    <cellStyle name="Note 3 2 2 2 8 2 4" xfId="33264" xr:uid="{F9B0E98B-B3E0-4970-835C-2946D07A928D}"/>
    <cellStyle name="Note 3 2 2 2 8 3" xfId="12166" xr:uid="{A5DDD325-63D3-43C4-BFAA-6507766630CA}"/>
    <cellStyle name="Note 3 2 2 2 8 4" xfId="20607" xr:uid="{2647C4FA-54F5-4A27-A0AA-562EA1A1F825}"/>
    <cellStyle name="Note 3 2 2 2 8 5" xfId="29047" xr:uid="{E0D82EB0-A6DC-43BF-A3B8-3C0F81009B50}"/>
    <cellStyle name="Note 3 2 2 2 9" xfId="4912" xr:uid="{00000000-0005-0000-0000-000066210000}"/>
    <cellStyle name="Note 3 2 2 2 9 2" xfId="14238" xr:uid="{87AEE8DE-1261-4DE3-B41A-18573986CEE0}"/>
    <cellStyle name="Note 3 2 2 2 9 3" xfId="22679" xr:uid="{A60CED93-1D09-4925-9CE3-E483955D85AF}"/>
    <cellStyle name="Note 3 2 2 2 9 4" xfId="31119" xr:uid="{A6C104C4-09FC-4BCF-982F-50E637097294}"/>
    <cellStyle name="Note 3 2 2 3" xfId="1015" xr:uid="{00000000-0005-0000-0000-000067210000}"/>
    <cellStyle name="Note 3 2 2 3 2" xfId="3247" xr:uid="{00000000-0005-0000-0000-000068210000}"/>
    <cellStyle name="Note 3 2 2 3 2 2" xfId="7469" xr:uid="{00000000-0005-0000-0000-000069210000}"/>
    <cellStyle name="Note 3 2 2 3 2 2 2" xfId="16795" xr:uid="{6C7E2393-7C40-4667-9173-0F8CD0999D07}"/>
    <cellStyle name="Note 3 2 2 3 2 2 3" xfId="25236" xr:uid="{8607CA7F-CC39-4A4C-ADF4-8EFAE28D7799}"/>
    <cellStyle name="Note 3 2 2 3 2 2 4" xfId="33676" xr:uid="{6D3B7BB6-DE2C-46BD-9FA2-DDD260702455}"/>
    <cellStyle name="Note 3 2 2 3 2 3" xfId="12578" xr:uid="{AC22A24E-1805-49C9-8AEE-1B9A27A721F0}"/>
    <cellStyle name="Note 3 2 2 3 2 4" xfId="21019" xr:uid="{C8CE4BBF-6D58-4774-87BF-0D9754DE01DF}"/>
    <cellStyle name="Note 3 2 2 3 2 5" xfId="29459" xr:uid="{025E58CD-904D-490F-96E6-A8D1545FD113}"/>
    <cellStyle name="Note 3 2 2 3 3" xfId="5324" xr:uid="{00000000-0005-0000-0000-00006A210000}"/>
    <cellStyle name="Note 3 2 2 3 3 2" xfId="14650" xr:uid="{68795A5A-74D8-41D2-9B00-3751ECA55DEA}"/>
    <cellStyle name="Note 3 2 2 3 3 3" xfId="23091" xr:uid="{81B81FA1-78A5-4843-B149-D05167129501}"/>
    <cellStyle name="Note 3 2 2 3 3 4" xfId="31531" xr:uid="{C417590A-41E0-42DC-99B0-CC0FA703AF00}"/>
    <cellStyle name="Note 3 2 2 3 4" xfId="9370" xr:uid="{7A803908-679B-4EF0-9BD4-89724B1FB321}"/>
    <cellStyle name="Note 3 2 2 3 5" xfId="10433" xr:uid="{A9B50C7D-AABC-4A2D-A237-05C0C3560D51}"/>
    <cellStyle name="Note 3 2 2 3 6" xfId="18874" xr:uid="{C1F12B4E-E9EF-427A-9DAE-420DA02B541E}"/>
    <cellStyle name="Note 3 2 2 3 7" xfId="27314" xr:uid="{B3B51AB1-874D-4208-8CEA-B6A8B01C06B7}"/>
    <cellStyle name="Note 3 2 2 4" xfId="1430" xr:uid="{00000000-0005-0000-0000-00006B210000}"/>
    <cellStyle name="Note 3 2 2 4 2" xfId="3660" xr:uid="{00000000-0005-0000-0000-00006C210000}"/>
    <cellStyle name="Note 3 2 2 4 2 2" xfId="7882" xr:uid="{00000000-0005-0000-0000-00006D210000}"/>
    <cellStyle name="Note 3 2 2 4 2 2 2" xfId="17208" xr:uid="{6048890B-1305-4921-BCD6-88A3813B65A7}"/>
    <cellStyle name="Note 3 2 2 4 2 2 3" xfId="25649" xr:uid="{76BDB5F7-64DA-4D7D-B66B-0A54AD6F6B69}"/>
    <cellStyle name="Note 3 2 2 4 2 2 4" xfId="34089" xr:uid="{A18AF98D-EFC8-43E4-8A93-67A9529CC5A7}"/>
    <cellStyle name="Note 3 2 2 4 2 3" xfId="12991" xr:uid="{1885D5DA-3B20-45B2-B23C-E24221852881}"/>
    <cellStyle name="Note 3 2 2 4 2 4" xfId="21432" xr:uid="{8A920CDB-A09E-4F1A-8B08-17192AB0DFF4}"/>
    <cellStyle name="Note 3 2 2 4 2 5" xfId="29872" xr:uid="{C220D45D-DD48-4552-A072-6EE16A132C24}"/>
    <cellStyle name="Note 3 2 2 4 3" xfId="5737" xr:uid="{00000000-0005-0000-0000-00006E210000}"/>
    <cellStyle name="Note 3 2 2 4 3 2" xfId="15063" xr:uid="{4F6CC8B7-0F8C-41E2-A872-B8FCA7DF5BAA}"/>
    <cellStyle name="Note 3 2 2 4 3 3" xfId="23504" xr:uid="{25389B7A-0FB0-4139-89DA-0BDEDC23D73A}"/>
    <cellStyle name="Note 3 2 2 4 3 4" xfId="31944" xr:uid="{017F4455-9328-4ECB-BCF4-D1DB7768626A}"/>
    <cellStyle name="Note 3 2 2 4 4" xfId="10846" xr:uid="{DF1B240E-20D8-4128-A0BF-20C0B6A9EB64}"/>
    <cellStyle name="Note 3 2 2 4 5" xfId="19287" xr:uid="{C48C7337-4AAC-4020-B270-0EA73424700B}"/>
    <cellStyle name="Note 3 2 2 4 6" xfId="27727" xr:uid="{79767588-FA01-4077-965D-3B0B8079CC26}"/>
    <cellStyle name="Note 3 2 2 5" xfId="1844" xr:uid="{00000000-0005-0000-0000-00006F210000}"/>
    <cellStyle name="Note 3 2 2 5 2" xfId="4073" xr:uid="{00000000-0005-0000-0000-000070210000}"/>
    <cellStyle name="Note 3 2 2 5 2 2" xfId="8295" xr:uid="{00000000-0005-0000-0000-000071210000}"/>
    <cellStyle name="Note 3 2 2 5 2 2 2" xfId="17621" xr:uid="{5DD57256-CF19-4C7F-88CD-FE64625CC137}"/>
    <cellStyle name="Note 3 2 2 5 2 2 3" xfId="26062" xr:uid="{761E5E37-B0AB-4856-BF30-332E71B73D1D}"/>
    <cellStyle name="Note 3 2 2 5 2 2 4" xfId="34502" xr:uid="{851F2391-9D72-419E-8707-FB50A7159112}"/>
    <cellStyle name="Note 3 2 2 5 2 3" xfId="13404" xr:uid="{0575C4EB-2201-497C-AAD1-288A683F2F1E}"/>
    <cellStyle name="Note 3 2 2 5 2 4" xfId="21845" xr:uid="{18FF98AA-5715-475F-9025-F0CE25025EF7}"/>
    <cellStyle name="Note 3 2 2 5 2 5" xfId="30285" xr:uid="{29DDD7BC-7F36-4B0D-9106-195B147AA52B}"/>
    <cellStyle name="Note 3 2 2 5 3" xfId="6150" xr:uid="{00000000-0005-0000-0000-000072210000}"/>
    <cellStyle name="Note 3 2 2 5 3 2" xfId="15476" xr:uid="{E3E29799-7E11-4ACC-A231-3C4C22397623}"/>
    <cellStyle name="Note 3 2 2 5 3 3" xfId="23917" xr:uid="{B38EF294-8E10-49A3-AC1E-D1C7D1D62C7F}"/>
    <cellStyle name="Note 3 2 2 5 3 4" xfId="32357" xr:uid="{366E1260-AF55-4923-9778-B409DD9B99A1}"/>
    <cellStyle name="Note 3 2 2 5 4" xfId="11259" xr:uid="{3F432548-9BE9-4B3C-88D7-586629F4DB2D}"/>
    <cellStyle name="Note 3 2 2 5 5" xfId="19700" xr:uid="{27068975-7281-4BC9-BD86-2BC579A33166}"/>
    <cellStyle name="Note 3 2 2 5 6" xfId="28140" xr:uid="{ECDF3EE0-8521-44D8-9A28-D8AE072D4EE9}"/>
    <cellStyle name="Note 3 2 2 6" xfId="2257" xr:uid="{00000000-0005-0000-0000-000073210000}"/>
    <cellStyle name="Note 3 2 2 6 2" xfId="4486" xr:uid="{00000000-0005-0000-0000-000074210000}"/>
    <cellStyle name="Note 3 2 2 6 2 2" xfId="8708" xr:uid="{00000000-0005-0000-0000-000075210000}"/>
    <cellStyle name="Note 3 2 2 6 2 2 2" xfId="18034" xr:uid="{CA8F4B1E-0106-4F2C-9EBA-64846C0694A4}"/>
    <cellStyle name="Note 3 2 2 6 2 2 3" xfId="26475" xr:uid="{1C0F750A-BD29-4B12-AB14-A023A093348C}"/>
    <cellStyle name="Note 3 2 2 6 2 2 4" xfId="34915" xr:uid="{8543B66B-A8AA-48A7-8E32-E8F29578EC2C}"/>
    <cellStyle name="Note 3 2 2 6 2 3" xfId="13817" xr:uid="{CB5B3ACD-CC8B-463D-9C11-7B24F78DC613}"/>
    <cellStyle name="Note 3 2 2 6 2 4" xfId="22258" xr:uid="{7394C60F-790B-4D61-B55A-176BC34C4E73}"/>
    <cellStyle name="Note 3 2 2 6 2 5" xfId="30698" xr:uid="{CE93F38E-A1C9-4A9D-A766-AE13B955093F}"/>
    <cellStyle name="Note 3 2 2 6 3" xfId="6563" xr:uid="{00000000-0005-0000-0000-000076210000}"/>
    <cellStyle name="Note 3 2 2 6 3 2" xfId="15889" xr:uid="{13B6D137-7F08-4243-96B1-D8C5B8C4AB7D}"/>
    <cellStyle name="Note 3 2 2 6 3 3" xfId="24330" xr:uid="{109E15DF-E035-44AF-9BB8-D65674A9DAE6}"/>
    <cellStyle name="Note 3 2 2 6 3 4" xfId="32770" xr:uid="{F9220E15-25AF-412C-8FB2-594F05EB96AB}"/>
    <cellStyle name="Note 3 2 2 6 4" xfId="11672" xr:uid="{94E96146-F861-4629-B145-4845447A91FA}"/>
    <cellStyle name="Note 3 2 2 6 5" xfId="20113" xr:uid="{5E150C3E-816E-42F4-BAD8-2A9140DCC311}"/>
    <cellStyle name="Note 3 2 2 6 6" xfId="28553" xr:uid="{31EBD9B9-8B54-42BF-9A92-0F16A62877D4}"/>
    <cellStyle name="Note 3 2 2 7" xfId="2693" xr:uid="{00000000-0005-0000-0000-000077210000}"/>
    <cellStyle name="Note 3 2 2 7 2" xfId="6976" xr:uid="{00000000-0005-0000-0000-000078210000}"/>
    <cellStyle name="Note 3 2 2 7 2 2" xfId="16302" xr:uid="{26EE879B-6F07-43F1-A20E-ACC1849FF566}"/>
    <cellStyle name="Note 3 2 2 7 2 3" xfId="24743" xr:uid="{10E76EA3-8B92-49D4-83B2-F21AE0F30705}"/>
    <cellStyle name="Note 3 2 2 7 2 4" xfId="33183" xr:uid="{9C0C7062-302C-4131-95A8-EBC2874820AF}"/>
    <cellStyle name="Note 3 2 2 7 3" xfId="12085" xr:uid="{376F49E0-58F6-4270-B1E6-18DDFF965011}"/>
    <cellStyle name="Note 3 2 2 7 4" xfId="20526" xr:uid="{A59A5705-BFE1-46EC-B5DA-4B2424A56CCC}"/>
    <cellStyle name="Note 3 2 2 7 5" xfId="28966" xr:uid="{1CB4376C-BF23-4178-A301-40AA7FE6975C}"/>
    <cellStyle name="Note 3 2 2 8" xfId="2752" xr:uid="{00000000-0005-0000-0000-000079210000}"/>
    <cellStyle name="Note 3 2 2 9" xfId="2833" xr:uid="{00000000-0005-0000-0000-00007A210000}"/>
    <cellStyle name="Note 3 2 2 9 2" xfId="7056" xr:uid="{00000000-0005-0000-0000-00007B210000}"/>
    <cellStyle name="Note 3 2 2 9 2 2" xfId="16382" xr:uid="{B1B6B58C-33C7-4A78-8EEC-115D7B54FD4A}"/>
    <cellStyle name="Note 3 2 2 9 2 3" xfId="24823" xr:uid="{7D2F59A3-1318-4369-B304-BD9318A3445E}"/>
    <cellStyle name="Note 3 2 2 9 2 4" xfId="33263" xr:uid="{2D53EF24-EF54-41DC-89B4-D643BE9F5AEE}"/>
    <cellStyle name="Note 3 2 2 9 3" xfId="12165" xr:uid="{1719C5A1-3493-4B03-B929-1C0ADC43BF11}"/>
    <cellStyle name="Note 3 2 2 9 4" xfId="20606" xr:uid="{E452C39B-8B1F-4175-827D-9669CB5A5C15}"/>
    <cellStyle name="Note 3 2 2 9 5" xfId="29046" xr:uid="{F8D67998-82EE-4B00-81A7-EA9E76F4DB9B}"/>
    <cellStyle name="Note 3 2 3" xfId="557" xr:uid="{00000000-0005-0000-0000-00007C210000}"/>
    <cellStyle name="Note 3 2 3 10" xfId="9049" xr:uid="{98DA21AE-8EED-4AF2-A5D5-94394E9C9EFE}"/>
    <cellStyle name="Note 3 2 3 11" xfId="10022" xr:uid="{E27BFA85-268F-481A-95B2-058C727E99F6}"/>
    <cellStyle name="Note 3 2 3 12" xfId="18463" xr:uid="{DC87B353-01D1-47F0-B3E7-01DFAF154A2B}"/>
    <cellStyle name="Note 3 2 3 13" xfId="26903" xr:uid="{C660F609-F4D7-4314-9E0B-0E72287BD146}"/>
    <cellStyle name="Note 3 2 3 2" xfId="1017" xr:uid="{00000000-0005-0000-0000-00007D210000}"/>
    <cellStyle name="Note 3 2 3 2 2" xfId="3249" xr:uid="{00000000-0005-0000-0000-00007E210000}"/>
    <cellStyle name="Note 3 2 3 2 2 2" xfId="7471" xr:uid="{00000000-0005-0000-0000-00007F210000}"/>
    <cellStyle name="Note 3 2 3 2 2 2 2" xfId="16797" xr:uid="{0575E96C-DDC4-424A-9B27-494649643E5F}"/>
    <cellStyle name="Note 3 2 3 2 2 2 3" xfId="25238" xr:uid="{BCD104C6-FA39-40E8-BC23-3429F941B7FD}"/>
    <cellStyle name="Note 3 2 3 2 2 2 4" xfId="33678" xr:uid="{1165BDFC-7956-48BE-A124-DD43EA3B85EC}"/>
    <cellStyle name="Note 3 2 3 2 2 3" xfId="12580" xr:uid="{CB777890-05AE-45A5-AC4F-1DABC1771731}"/>
    <cellStyle name="Note 3 2 3 2 2 4" xfId="21021" xr:uid="{816941F8-C273-410F-B6CA-98B16638656D}"/>
    <cellStyle name="Note 3 2 3 2 2 5" xfId="29461" xr:uid="{B032A4D3-778B-4655-A021-4D32EB640973}"/>
    <cellStyle name="Note 3 2 3 2 3" xfId="5326" xr:uid="{00000000-0005-0000-0000-000080210000}"/>
    <cellStyle name="Note 3 2 3 2 3 2" xfId="14652" xr:uid="{1F048D21-18C5-408C-A2B2-E3A335F47BD2}"/>
    <cellStyle name="Note 3 2 3 2 3 3" xfId="23093" xr:uid="{498DB439-77EC-4D3F-9235-8989FA82D6E2}"/>
    <cellStyle name="Note 3 2 3 2 3 4" xfId="31533" xr:uid="{1A8B112A-118C-452E-892D-7B5BB8285FE1}"/>
    <cellStyle name="Note 3 2 3 2 4" xfId="9474" xr:uid="{8827394E-7DCF-4E58-BF45-94E8587F7D91}"/>
    <cellStyle name="Note 3 2 3 2 5" xfId="10435" xr:uid="{0CCB0C2B-D625-4E4B-9B3B-916111EFFD99}"/>
    <cellStyle name="Note 3 2 3 2 6" xfId="18876" xr:uid="{B9CC0811-39FA-4C4E-859C-67CCACD4EFE8}"/>
    <cellStyle name="Note 3 2 3 2 7" xfId="27316" xr:uid="{C7A49C66-FABD-4A8F-85D9-0FA57D92FE22}"/>
    <cellStyle name="Note 3 2 3 3" xfId="1432" xr:uid="{00000000-0005-0000-0000-000081210000}"/>
    <cellStyle name="Note 3 2 3 3 2" xfId="3662" xr:uid="{00000000-0005-0000-0000-000082210000}"/>
    <cellStyle name="Note 3 2 3 3 2 2" xfId="7884" xr:uid="{00000000-0005-0000-0000-000083210000}"/>
    <cellStyle name="Note 3 2 3 3 2 2 2" xfId="17210" xr:uid="{8C4511DF-F80B-4FFD-95CA-6CC978C1DEF4}"/>
    <cellStyle name="Note 3 2 3 3 2 2 3" xfId="25651" xr:uid="{B55D111D-7E0D-493B-A05F-14DB62142219}"/>
    <cellStyle name="Note 3 2 3 3 2 2 4" xfId="34091" xr:uid="{03E7ACE8-E53A-4D03-A9C8-CA248207D082}"/>
    <cellStyle name="Note 3 2 3 3 2 3" xfId="12993" xr:uid="{684EC410-4F5C-48F3-9079-4C4D69BE71E6}"/>
    <cellStyle name="Note 3 2 3 3 2 4" xfId="21434" xr:uid="{5715FDEF-E563-4966-B7B5-F6096900B196}"/>
    <cellStyle name="Note 3 2 3 3 2 5" xfId="29874" xr:uid="{131812BF-0B5B-4828-818E-F5137428A149}"/>
    <cellStyle name="Note 3 2 3 3 3" xfId="5739" xr:uid="{00000000-0005-0000-0000-000084210000}"/>
    <cellStyle name="Note 3 2 3 3 3 2" xfId="15065" xr:uid="{EB4588CE-9AE9-4139-9423-3F2955A8D64F}"/>
    <cellStyle name="Note 3 2 3 3 3 3" xfId="23506" xr:uid="{E8FD3B04-6049-4FC2-9B2D-94E43C3B4C9A}"/>
    <cellStyle name="Note 3 2 3 3 3 4" xfId="31946" xr:uid="{71D3B97E-E08F-4F23-A534-7879649E35BD}"/>
    <cellStyle name="Note 3 2 3 3 4" xfId="10848" xr:uid="{1798A271-43A3-42A3-A3A0-81442081EF80}"/>
    <cellStyle name="Note 3 2 3 3 5" xfId="19289" xr:uid="{A682EE63-8F0A-450E-8742-7071357985B0}"/>
    <cellStyle name="Note 3 2 3 3 6" xfId="27729" xr:uid="{772FEA2F-7C93-4720-B2ED-85A942DF4EDD}"/>
    <cellStyle name="Note 3 2 3 4" xfId="1846" xr:uid="{00000000-0005-0000-0000-000085210000}"/>
    <cellStyle name="Note 3 2 3 4 2" xfId="4075" xr:uid="{00000000-0005-0000-0000-000086210000}"/>
    <cellStyle name="Note 3 2 3 4 2 2" xfId="8297" xr:uid="{00000000-0005-0000-0000-000087210000}"/>
    <cellStyle name="Note 3 2 3 4 2 2 2" xfId="17623" xr:uid="{66F35D3E-A5EA-4079-9F77-1760F0648386}"/>
    <cellStyle name="Note 3 2 3 4 2 2 3" xfId="26064" xr:uid="{ECC48A78-2139-4829-A612-BC2F9566EBC5}"/>
    <cellStyle name="Note 3 2 3 4 2 2 4" xfId="34504" xr:uid="{93F6E0F3-9327-4A70-A372-9B29F614F698}"/>
    <cellStyle name="Note 3 2 3 4 2 3" xfId="13406" xr:uid="{4AB98DC0-1A79-418B-A086-4023207AB148}"/>
    <cellStyle name="Note 3 2 3 4 2 4" xfId="21847" xr:uid="{15344E39-1D88-4EB3-AB55-F8F0FB2B43B5}"/>
    <cellStyle name="Note 3 2 3 4 2 5" xfId="30287" xr:uid="{FBB22DAB-F4C8-4582-B2E7-EA497BDAA38A}"/>
    <cellStyle name="Note 3 2 3 4 3" xfId="6152" xr:uid="{00000000-0005-0000-0000-000088210000}"/>
    <cellStyle name="Note 3 2 3 4 3 2" xfId="15478" xr:uid="{082C8D35-CB00-42C6-9320-7879B5568BC8}"/>
    <cellStyle name="Note 3 2 3 4 3 3" xfId="23919" xr:uid="{796309CA-52F2-4E80-9370-64ACEDAA54B0}"/>
    <cellStyle name="Note 3 2 3 4 3 4" xfId="32359" xr:uid="{1EE6BFF6-B7E1-4102-9B01-76B80DCA0D35}"/>
    <cellStyle name="Note 3 2 3 4 4" xfId="11261" xr:uid="{65C92213-5F85-4097-8B71-304E71E02A29}"/>
    <cellStyle name="Note 3 2 3 4 5" xfId="19702" xr:uid="{47FC9A23-5A95-4D29-8D84-A1BD441B902F}"/>
    <cellStyle name="Note 3 2 3 4 6" xfId="28142" xr:uid="{FEEF8586-C3C4-4F4E-9767-851787F8E32F}"/>
    <cellStyle name="Note 3 2 3 5" xfId="2259" xr:uid="{00000000-0005-0000-0000-000089210000}"/>
    <cellStyle name="Note 3 2 3 5 2" xfId="4488" xr:uid="{00000000-0005-0000-0000-00008A210000}"/>
    <cellStyle name="Note 3 2 3 5 2 2" xfId="8710" xr:uid="{00000000-0005-0000-0000-00008B210000}"/>
    <cellStyle name="Note 3 2 3 5 2 2 2" xfId="18036" xr:uid="{C5A3825A-3034-49FD-BC06-8B0741BB93F1}"/>
    <cellStyle name="Note 3 2 3 5 2 2 3" xfId="26477" xr:uid="{236F573F-94FC-468F-9EF9-4C301FE021CC}"/>
    <cellStyle name="Note 3 2 3 5 2 2 4" xfId="34917" xr:uid="{0911BC84-35C4-4216-80B4-FEBFA4A6F7B2}"/>
    <cellStyle name="Note 3 2 3 5 2 3" xfId="13819" xr:uid="{EB282134-9E1F-4280-BB33-90C219A90C26}"/>
    <cellStyle name="Note 3 2 3 5 2 4" xfId="22260" xr:uid="{046F9DB4-515E-4538-9CEA-85686343ECAB}"/>
    <cellStyle name="Note 3 2 3 5 2 5" xfId="30700" xr:uid="{E22FFBDA-5204-4C15-A133-AB230B3CEF7E}"/>
    <cellStyle name="Note 3 2 3 5 3" xfId="6565" xr:uid="{00000000-0005-0000-0000-00008C210000}"/>
    <cellStyle name="Note 3 2 3 5 3 2" xfId="15891" xr:uid="{0C9947AD-1912-450E-9DA4-F41A770BB6FC}"/>
    <cellStyle name="Note 3 2 3 5 3 3" xfId="24332" xr:uid="{9B077A72-B4E1-4594-9343-083B077E7DC2}"/>
    <cellStyle name="Note 3 2 3 5 3 4" xfId="32772" xr:uid="{3E510985-8372-4D6F-A46B-728CEED3293D}"/>
    <cellStyle name="Note 3 2 3 5 4" xfId="11674" xr:uid="{DC8A22BB-15F6-460F-9990-B15FB7DDB28A}"/>
    <cellStyle name="Note 3 2 3 5 5" xfId="20115" xr:uid="{D791F0C4-ABD2-42FA-9CBC-5FCD9E64FE38}"/>
    <cellStyle name="Note 3 2 3 5 6" xfId="28555" xr:uid="{ECB50F69-FF16-41E8-ACD6-E7F8B2633255}"/>
    <cellStyle name="Note 3 2 3 6" xfId="2695" xr:uid="{00000000-0005-0000-0000-00008D210000}"/>
    <cellStyle name="Note 3 2 3 6 2" xfId="6978" xr:uid="{00000000-0005-0000-0000-00008E210000}"/>
    <cellStyle name="Note 3 2 3 6 2 2" xfId="16304" xr:uid="{EBF4648D-0600-4E56-BB74-0D9FE645BA91}"/>
    <cellStyle name="Note 3 2 3 6 2 3" xfId="24745" xr:uid="{961C3931-9908-45EA-9FD8-F5B34754279A}"/>
    <cellStyle name="Note 3 2 3 6 2 4" xfId="33185" xr:uid="{A7B991F9-9D02-4E73-81E4-496073FABC52}"/>
    <cellStyle name="Note 3 2 3 6 3" xfId="12087" xr:uid="{EF8D7243-6825-4722-8FBF-5AB9C402927B}"/>
    <cellStyle name="Note 3 2 3 6 4" xfId="20528" xr:uid="{AF77134A-B3EB-41F1-8250-68ED6AB1A133}"/>
    <cellStyle name="Note 3 2 3 6 5" xfId="28968" xr:uid="{EFE17880-0A2A-4815-BDD0-9E92DE8959EF}"/>
    <cellStyle name="Note 3 2 3 7" xfId="2754" xr:uid="{00000000-0005-0000-0000-00008F210000}"/>
    <cellStyle name="Note 3 2 3 8" xfId="2835" xr:uid="{00000000-0005-0000-0000-000090210000}"/>
    <cellStyle name="Note 3 2 3 8 2" xfId="7058" xr:uid="{00000000-0005-0000-0000-000091210000}"/>
    <cellStyle name="Note 3 2 3 8 2 2" xfId="16384" xr:uid="{B0473742-FCD6-43E7-AEAE-F6248DF5ABD7}"/>
    <cellStyle name="Note 3 2 3 8 2 3" xfId="24825" xr:uid="{5E050976-B97C-4986-985D-AEBF22587CCF}"/>
    <cellStyle name="Note 3 2 3 8 2 4" xfId="33265" xr:uid="{29A979E1-990B-43CB-A6F4-59FEA07064F1}"/>
    <cellStyle name="Note 3 2 3 8 3" xfId="12167" xr:uid="{A8C6A920-796F-49D9-B264-85E4E890086B}"/>
    <cellStyle name="Note 3 2 3 8 4" xfId="20608" xr:uid="{D547DC3C-9F7C-40C3-888E-C406CC8BF5E7}"/>
    <cellStyle name="Note 3 2 3 8 5" xfId="29048" xr:uid="{09E3DC56-7A7A-4905-82C3-32B966AED0CC}"/>
    <cellStyle name="Note 3 2 3 9" xfId="4913" xr:uid="{00000000-0005-0000-0000-000092210000}"/>
    <cellStyle name="Note 3 2 3 9 2" xfId="14239" xr:uid="{9CF523F9-F51D-40C5-8FA2-287DF2EEDF16}"/>
    <cellStyle name="Note 3 2 3 9 3" xfId="22680" xr:uid="{0C197C46-2A16-458D-9379-A771D732CB69}"/>
    <cellStyle name="Note 3 2 3 9 4" xfId="31120" xr:uid="{E297C174-285F-4B84-8E23-49F392EC2BC5}"/>
    <cellStyle name="Note 3 2 4" xfId="1014" xr:uid="{00000000-0005-0000-0000-000093210000}"/>
    <cellStyle name="Note 3 2 4 2" xfId="3246" xr:uid="{00000000-0005-0000-0000-000094210000}"/>
    <cellStyle name="Note 3 2 4 2 2" xfId="7468" xr:uid="{00000000-0005-0000-0000-000095210000}"/>
    <cellStyle name="Note 3 2 4 2 2 2" xfId="16794" xr:uid="{2352264E-44F9-4C18-8EEF-7A6F476E7427}"/>
    <cellStyle name="Note 3 2 4 2 2 3" xfId="25235" xr:uid="{C53436D7-48B6-485E-9B8F-252274CE1E7B}"/>
    <cellStyle name="Note 3 2 4 2 2 4" xfId="33675" xr:uid="{489C1F93-D73D-421D-BB19-FDFB4A1CEBC7}"/>
    <cellStyle name="Note 3 2 4 2 3" xfId="12577" xr:uid="{5B799B18-016D-4AAA-B082-067DB3FC3E91}"/>
    <cellStyle name="Note 3 2 4 2 4" xfId="21018" xr:uid="{0A65917A-5B21-4358-A83A-3BE73988A70C}"/>
    <cellStyle name="Note 3 2 4 2 5" xfId="29458" xr:uid="{02B71A6D-884A-4189-8E08-927934DD0F05}"/>
    <cellStyle name="Note 3 2 4 3" xfId="5323" xr:uid="{00000000-0005-0000-0000-000096210000}"/>
    <cellStyle name="Note 3 2 4 3 2" xfId="14649" xr:uid="{81114D6A-E557-4331-AC7F-F935716F376B}"/>
    <cellStyle name="Note 3 2 4 3 3" xfId="23090" xr:uid="{FF0E4791-0120-4254-82E6-522327D57B4B}"/>
    <cellStyle name="Note 3 2 4 3 4" xfId="31530" xr:uid="{E901C4D7-079E-4DCC-8FEB-263ED7E2C3DB}"/>
    <cellStyle name="Note 3 2 4 4" xfId="9267" xr:uid="{1291CED5-E18E-4F1A-8856-A132B18F5C81}"/>
    <cellStyle name="Note 3 2 4 5" xfId="10432" xr:uid="{794628E0-510C-4C94-B137-7A513FD63A96}"/>
    <cellStyle name="Note 3 2 4 6" xfId="18873" xr:uid="{D6F0F0B0-F5A7-4D6F-8226-0D9680AE8E57}"/>
    <cellStyle name="Note 3 2 4 7" xfId="27313" xr:uid="{6DA92A86-0DEB-4A35-9936-ECDEE1D3C8C5}"/>
    <cellStyle name="Note 3 2 5" xfId="1429" xr:uid="{00000000-0005-0000-0000-000097210000}"/>
    <cellStyle name="Note 3 2 5 2" xfId="3659" xr:uid="{00000000-0005-0000-0000-000098210000}"/>
    <cellStyle name="Note 3 2 5 2 2" xfId="7881" xr:uid="{00000000-0005-0000-0000-000099210000}"/>
    <cellStyle name="Note 3 2 5 2 2 2" xfId="17207" xr:uid="{F71D8988-07BE-4BE2-9F47-4DB3ABCA166F}"/>
    <cellStyle name="Note 3 2 5 2 2 3" xfId="25648" xr:uid="{C47CAEFF-65D1-4D7D-8F37-C3C5F530C50A}"/>
    <cellStyle name="Note 3 2 5 2 2 4" xfId="34088" xr:uid="{3AA29F33-1F75-41B6-8F22-44FF79E6BAF6}"/>
    <cellStyle name="Note 3 2 5 2 3" xfId="12990" xr:uid="{1F3D2830-FB7F-4804-8639-8B6BBD437EE4}"/>
    <cellStyle name="Note 3 2 5 2 4" xfId="21431" xr:uid="{A5C81D36-BB7D-4BCE-87BC-0666F1592176}"/>
    <cellStyle name="Note 3 2 5 2 5" xfId="29871" xr:uid="{0CAD80B3-9CAB-4C72-B269-D61A601CBA84}"/>
    <cellStyle name="Note 3 2 5 3" xfId="5736" xr:uid="{00000000-0005-0000-0000-00009A210000}"/>
    <cellStyle name="Note 3 2 5 3 2" xfId="15062" xr:uid="{F903FEBC-F31A-418F-A482-75621D57B85C}"/>
    <cellStyle name="Note 3 2 5 3 3" xfId="23503" xr:uid="{A67E6A39-7070-4DDE-9C6D-B5C2C9279DA2}"/>
    <cellStyle name="Note 3 2 5 3 4" xfId="31943" xr:uid="{B048E830-6578-4C28-BCA1-5ECA78295DDB}"/>
    <cellStyle name="Note 3 2 5 4" xfId="10845" xr:uid="{E79278DB-4653-41C2-81A9-E35D9FEC036A}"/>
    <cellStyle name="Note 3 2 5 5" xfId="19286" xr:uid="{87F7BF6E-1206-46FB-845B-2C18ADAD46DA}"/>
    <cellStyle name="Note 3 2 5 6" xfId="27726" xr:uid="{FBDDE1D9-4541-412F-97C7-1FC228D8493D}"/>
    <cellStyle name="Note 3 2 6" xfId="1843" xr:uid="{00000000-0005-0000-0000-00009B210000}"/>
    <cellStyle name="Note 3 2 6 2" xfId="4072" xr:uid="{00000000-0005-0000-0000-00009C210000}"/>
    <cellStyle name="Note 3 2 6 2 2" xfId="8294" xr:uid="{00000000-0005-0000-0000-00009D210000}"/>
    <cellStyle name="Note 3 2 6 2 2 2" xfId="17620" xr:uid="{17C5D674-AABF-4238-9909-8DD360086746}"/>
    <cellStyle name="Note 3 2 6 2 2 3" xfId="26061" xr:uid="{C14693D3-D654-4EDE-8455-98D0B8C14209}"/>
    <cellStyle name="Note 3 2 6 2 2 4" xfId="34501" xr:uid="{8F4574F8-1B08-45D3-A016-03845014CF20}"/>
    <cellStyle name="Note 3 2 6 2 3" xfId="13403" xr:uid="{03057BB9-1F74-4E92-A9B1-04BF37A12815}"/>
    <cellStyle name="Note 3 2 6 2 4" xfId="21844" xr:uid="{4B732150-1E42-4407-8B50-E572E32763CD}"/>
    <cellStyle name="Note 3 2 6 2 5" xfId="30284" xr:uid="{CF381469-41C3-423E-9557-51B195C92B42}"/>
    <cellStyle name="Note 3 2 6 3" xfId="6149" xr:uid="{00000000-0005-0000-0000-00009E210000}"/>
    <cellStyle name="Note 3 2 6 3 2" xfId="15475" xr:uid="{2D036A92-978B-46A8-A488-869A55CDA0D5}"/>
    <cellStyle name="Note 3 2 6 3 3" xfId="23916" xr:uid="{83B987BA-AF30-4FCD-BC78-3CB3142998E2}"/>
    <cellStyle name="Note 3 2 6 3 4" xfId="32356" xr:uid="{A055470C-3BF0-4091-9D91-311EDE62F902}"/>
    <cellStyle name="Note 3 2 6 4" xfId="11258" xr:uid="{C8207CA5-1D53-4C3F-A7B9-CC22E52E7FEB}"/>
    <cellStyle name="Note 3 2 6 5" xfId="19699" xr:uid="{4C94834C-7795-468B-91AE-9F9847E3478D}"/>
    <cellStyle name="Note 3 2 6 6" xfId="28139" xr:uid="{C500A775-F293-433D-B496-00C47AF63A60}"/>
    <cellStyle name="Note 3 2 7" xfId="2256" xr:uid="{00000000-0005-0000-0000-00009F210000}"/>
    <cellStyle name="Note 3 2 7 2" xfId="4485" xr:uid="{00000000-0005-0000-0000-0000A0210000}"/>
    <cellStyle name="Note 3 2 7 2 2" xfId="8707" xr:uid="{00000000-0005-0000-0000-0000A1210000}"/>
    <cellStyle name="Note 3 2 7 2 2 2" xfId="18033" xr:uid="{B2230D9C-598E-4FFB-BC69-DA8B41FE8F76}"/>
    <cellStyle name="Note 3 2 7 2 2 3" xfId="26474" xr:uid="{D221CBC4-9C93-4DD0-B72E-D1BC9BB78E2B}"/>
    <cellStyle name="Note 3 2 7 2 2 4" xfId="34914" xr:uid="{87582B9E-4BAA-4129-B99E-B7205B71A4D2}"/>
    <cellStyle name="Note 3 2 7 2 3" xfId="13816" xr:uid="{6B126FE1-A534-4AF4-84AB-A630EB229E2F}"/>
    <cellStyle name="Note 3 2 7 2 4" xfId="22257" xr:uid="{74AF636C-06B0-4F09-9DF3-CB9AE7ED63A9}"/>
    <cellStyle name="Note 3 2 7 2 5" xfId="30697" xr:uid="{89ED6792-2815-433F-AC29-D5AF31E9024F}"/>
    <cellStyle name="Note 3 2 7 3" xfId="6562" xr:uid="{00000000-0005-0000-0000-0000A2210000}"/>
    <cellStyle name="Note 3 2 7 3 2" xfId="15888" xr:uid="{95BC5A37-4660-45A5-A5F5-18D16ED82F5F}"/>
    <cellStyle name="Note 3 2 7 3 3" xfId="24329" xr:uid="{2C34DCD5-0C67-45C0-9D65-DCF5ABDCCC6B}"/>
    <cellStyle name="Note 3 2 7 3 4" xfId="32769" xr:uid="{921C36AD-3D8A-4DA7-84B1-8046355515C5}"/>
    <cellStyle name="Note 3 2 7 4" xfId="11671" xr:uid="{DF5EB13B-2022-4614-BF10-617A29DBF185}"/>
    <cellStyle name="Note 3 2 7 5" xfId="20112" xr:uid="{CEDA2111-46E3-4850-A116-C64EA30E8C61}"/>
    <cellStyle name="Note 3 2 7 6" xfId="28552" xr:uid="{00F057F5-3746-44D3-BF70-43BD97CB705B}"/>
    <cellStyle name="Note 3 2 8" xfId="2692" xr:uid="{00000000-0005-0000-0000-0000A3210000}"/>
    <cellStyle name="Note 3 2 8 2" xfId="6975" xr:uid="{00000000-0005-0000-0000-0000A4210000}"/>
    <cellStyle name="Note 3 2 8 2 2" xfId="16301" xr:uid="{4FFFA682-CF8C-43C4-8161-F4105D527FCF}"/>
    <cellStyle name="Note 3 2 8 2 3" xfId="24742" xr:uid="{14CDCEF9-D561-4061-9A10-20A4B63AD2E2}"/>
    <cellStyle name="Note 3 2 8 2 4" xfId="33182" xr:uid="{17BE6AD1-E0B5-400D-9D5C-963A8EE5486E}"/>
    <cellStyle name="Note 3 2 8 3" xfId="12084" xr:uid="{8960FFCD-472D-437D-A3DE-DF3795B0BE27}"/>
    <cellStyle name="Note 3 2 8 4" xfId="20525" xr:uid="{EE9E5F0B-9803-472C-8481-E4A39DC52EA9}"/>
    <cellStyle name="Note 3 2 8 5" xfId="28965" xr:uid="{41AFD014-18E9-4C4E-8740-A2AFEFAAA9E6}"/>
    <cellStyle name="Note 3 2 9" xfId="2751" xr:uid="{00000000-0005-0000-0000-0000A5210000}"/>
    <cellStyle name="Note 3 3" xfId="558" xr:uid="{00000000-0005-0000-0000-0000A6210000}"/>
    <cellStyle name="Note 3 3 10" xfId="4914" xr:uid="{00000000-0005-0000-0000-0000A7210000}"/>
    <cellStyle name="Note 3 3 10 2" xfId="14240" xr:uid="{355FE6B8-5753-4766-87FB-E1F41B756BB5}"/>
    <cellStyle name="Note 3 3 10 3" xfId="22681" xr:uid="{13D82EFC-63AF-4A7E-9C77-AF4AE9863E4A}"/>
    <cellStyle name="Note 3 3 10 4" xfId="31121" xr:uid="{26AC3DCF-C80B-49A0-A849-3CBE1A79F01E}"/>
    <cellStyle name="Note 3 3 11" xfId="8892" xr:uid="{8511F94A-7472-4DD0-A9AB-40754FEE5F47}"/>
    <cellStyle name="Note 3 3 12" xfId="10023" xr:uid="{B450482F-1AB3-4394-8C26-900237320F0D}"/>
    <cellStyle name="Note 3 3 13" xfId="18464" xr:uid="{BB83BBDC-DBA6-42D6-8506-23E8E440C297}"/>
    <cellStyle name="Note 3 3 14" xfId="26904" xr:uid="{4C9EE4D5-EBBA-40FB-AA80-CB06E33226A4}"/>
    <cellStyle name="Note 3 3 2" xfId="559" xr:uid="{00000000-0005-0000-0000-0000A8210000}"/>
    <cellStyle name="Note 3 3 2 10" xfId="9099" xr:uid="{29F3AC20-D296-4B59-BA53-0A5C025B0569}"/>
    <cellStyle name="Note 3 3 2 11" xfId="10024" xr:uid="{FE970E78-E725-4452-8FD4-83835A06EF6C}"/>
    <cellStyle name="Note 3 3 2 12" xfId="18465" xr:uid="{8F02828D-5AEF-48AA-8582-54258451470F}"/>
    <cellStyle name="Note 3 3 2 13" xfId="26905" xr:uid="{360A0F1D-DC93-4B13-AA8A-F624F2307FF7}"/>
    <cellStyle name="Note 3 3 2 2" xfId="1019" xr:uid="{00000000-0005-0000-0000-0000A9210000}"/>
    <cellStyle name="Note 3 3 2 2 2" xfId="3251" xr:uid="{00000000-0005-0000-0000-0000AA210000}"/>
    <cellStyle name="Note 3 3 2 2 2 2" xfId="7473" xr:uid="{00000000-0005-0000-0000-0000AB210000}"/>
    <cellStyle name="Note 3 3 2 2 2 2 2" xfId="16799" xr:uid="{A26F864A-8768-4BD9-B3D8-06BB24FF77C1}"/>
    <cellStyle name="Note 3 3 2 2 2 2 3" xfId="25240" xr:uid="{2FB336DB-3A3C-4141-87FB-50BFF59B3C51}"/>
    <cellStyle name="Note 3 3 2 2 2 2 4" xfId="33680" xr:uid="{EFEA0D5F-DC6E-4110-89B6-B04B5B66193F}"/>
    <cellStyle name="Note 3 3 2 2 2 3" xfId="12582" xr:uid="{0795587E-00B2-44E5-928F-0A258DEA6CC4}"/>
    <cellStyle name="Note 3 3 2 2 2 4" xfId="21023" xr:uid="{95475394-7574-44DA-B1C9-87B72F4D4D17}"/>
    <cellStyle name="Note 3 3 2 2 2 5" xfId="29463" xr:uid="{FC02F690-9425-464E-AFBF-8725A34257FF}"/>
    <cellStyle name="Note 3 3 2 2 3" xfId="5328" xr:uid="{00000000-0005-0000-0000-0000AC210000}"/>
    <cellStyle name="Note 3 3 2 2 3 2" xfId="14654" xr:uid="{A1D75CE3-EA9B-4E47-924B-723F75FF4540}"/>
    <cellStyle name="Note 3 3 2 2 3 3" xfId="23095" xr:uid="{8946F0F3-3C29-4CCF-A28C-FCD49314AAE7}"/>
    <cellStyle name="Note 3 3 2 2 3 4" xfId="31535" xr:uid="{9277BDC9-761B-422C-9A98-FDA3615D2309}"/>
    <cellStyle name="Note 3 3 2 2 4" xfId="9524" xr:uid="{D03F5DE7-D9AB-48C0-A1E3-0A929D2C18C5}"/>
    <cellStyle name="Note 3 3 2 2 5" xfId="10437" xr:uid="{740A180D-89DF-497A-9AD5-27581E792BD2}"/>
    <cellStyle name="Note 3 3 2 2 6" xfId="18878" xr:uid="{AE6737F5-8FB7-4057-A416-98D294EFDDBA}"/>
    <cellStyle name="Note 3 3 2 2 7" xfId="27318" xr:uid="{B2296DFE-57CB-49D8-8E10-29A5FC1D76F2}"/>
    <cellStyle name="Note 3 3 2 3" xfId="1434" xr:uid="{00000000-0005-0000-0000-0000AD210000}"/>
    <cellStyle name="Note 3 3 2 3 2" xfId="3664" xr:uid="{00000000-0005-0000-0000-0000AE210000}"/>
    <cellStyle name="Note 3 3 2 3 2 2" xfId="7886" xr:uid="{00000000-0005-0000-0000-0000AF210000}"/>
    <cellStyle name="Note 3 3 2 3 2 2 2" xfId="17212" xr:uid="{42397288-E3E2-44B4-A973-0871ECB459D6}"/>
    <cellStyle name="Note 3 3 2 3 2 2 3" xfId="25653" xr:uid="{276E7D97-1C46-4A3F-A301-6550C9C0D73B}"/>
    <cellStyle name="Note 3 3 2 3 2 2 4" xfId="34093" xr:uid="{BC18E1E0-AAEC-4800-A114-0C261FCC9F0D}"/>
    <cellStyle name="Note 3 3 2 3 2 3" xfId="12995" xr:uid="{4445ACAF-DBE9-482A-9C60-F72A0E9E9BE7}"/>
    <cellStyle name="Note 3 3 2 3 2 4" xfId="21436" xr:uid="{8DC6B6A4-6471-4F73-8D25-6E0ECDC68427}"/>
    <cellStyle name="Note 3 3 2 3 2 5" xfId="29876" xr:uid="{14576543-9995-4AFF-82E7-C37850357A89}"/>
    <cellStyle name="Note 3 3 2 3 3" xfId="5741" xr:uid="{00000000-0005-0000-0000-0000B0210000}"/>
    <cellStyle name="Note 3 3 2 3 3 2" xfId="15067" xr:uid="{6268DCCE-705E-4308-8445-5E155EDBEB03}"/>
    <cellStyle name="Note 3 3 2 3 3 3" xfId="23508" xr:uid="{54BD8D2C-D20D-460E-8C9D-532B0F3110D3}"/>
    <cellStyle name="Note 3 3 2 3 3 4" xfId="31948" xr:uid="{74236356-B755-43F9-8947-77F606E41801}"/>
    <cellStyle name="Note 3 3 2 3 4" xfId="10850" xr:uid="{8F8A0500-E87A-430C-98F0-410069858CD0}"/>
    <cellStyle name="Note 3 3 2 3 5" xfId="19291" xr:uid="{B4F1260A-26EF-458F-9DC7-7644E00AF84F}"/>
    <cellStyle name="Note 3 3 2 3 6" xfId="27731" xr:uid="{A76FCB8E-6176-46F0-8772-3502A4B5449C}"/>
    <cellStyle name="Note 3 3 2 4" xfId="1848" xr:uid="{00000000-0005-0000-0000-0000B1210000}"/>
    <cellStyle name="Note 3 3 2 4 2" xfId="4077" xr:uid="{00000000-0005-0000-0000-0000B2210000}"/>
    <cellStyle name="Note 3 3 2 4 2 2" xfId="8299" xr:uid="{00000000-0005-0000-0000-0000B3210000}"/>
    <cellStyle name="Note 3 3 2 4 2 2 2" xfId="17625" xr:uid="{83FD1CCE-5F49-46BB-ACB5-41EAA1740274}"/>
    <cellStyle name="Note 3 3 2 4 2 2 3" xfId="26066" xr:uid="{8E96F816-3D6C-49F5-8F49-9A02B818F263}"/>
    <cellStyle name="Note 3 3 2 4 2 2 4" xfId="34506" xr:uid="{2952F19E-686A-4865-B60C-E349EDCF6DC1}"/>
    <cellStyle name="Note 3 3 2 4 2 3" xfId="13408" xr:uid="{53D24F84-2663-4750-AB25-8C437074B0E9}"/>
    <cellStyle name="Note 3 3 2 4 2 4" xfId="21849" xr:uid="{084B55BA-015D-4030-ADF6-C085259D9DAD}"/>
    <cellStyle name="Note 3 3 2 4 2 5" xfId="30289" xr:uid="{E7C3AB2A-9222-4B04-B937-FD03D3F1054E}"/>
    <cellStyle name="Note 3 3 2 4 3" xfId="6154" xr:uid="{00000000-0005-0000-0000-0000B4210000}"/>
    <cellStyle name="Note 3 3 2 4 3 2" xfId="15480" xr:uid="{37DF81EA-E96B-48C7-BDBF-1CF72A2061B2}"/>
    <cellStyle name="Note 3 3 2 4 3 3" xfId="23921" xr:uid="{2038B3B9-D0FD-438E-A564-B1A6076194D8}"/>
    <cellStyle name="Note 3 3 2 4 3 4" xfId="32361" xr:uid="{89B9A95F-FEE2-4A5C-8168-2EF0512E691A}"/>
    <cellStyle name="Note 3 3 2 4 4" xfId="11263" xr:uid="{6BA99D4E-D7BF-41F7-A56C-A496BF7968DF}"/>
    <cellStyle name="Note 3 3 2 4 5" xfId="19704" xr:uid="{6FBBD3BB-A2C6-4C22-834E-4B675677F873}"/>
    <cellStyle name="Note 3 3 2 4 6" xfId="28144" xr:uid="{C8F369BE-C48D-4A84-AD63-B2C5EBC03C5A}"/>
    <cellStyle name="Note 3 3 2 5" xfId="2261" xr:uid="{00000000-0005-0000-0000-0000B5210000}"/>
    <cellStyle name="Note 3 3 2 5 2" xfId="4490" xr:uid="{00000000-0005-0000-0000-0000B6210000}"/>
    <cellStyle name="Note 3 3 2 5 2 2" xfId="8712" xr:uid="{00000000-0005-0000-0000-0000B7210000}"/>
    <cellStyle name="Note 3 3 2 5 2 2 2" xfId="18038" xr:uid="{C601886D-428B-4604-84A0-4D52D8621852}"/>
    <cellStyle name="Note 3 3 2 5 2 2 3" xfId="26479" xr:uid="{0020FCE9-CE5D-48C2-A8BB-E1656078F04F}"/>
    <cellStyle name="Note 3 3 2 5 2 2 4" xfId="34919" xr:uid="{8E206D12-2A37-401A-A17E-5E980CE68CDB}"/>
    <cellStyle name="Note 3 3 2 5 2 3" xfId="13821" xr:uid="{2DA6F112-2B20-4F12-8AB7-9B74FBC835C9}"/>
    <cellStyle name="Note 3 3 2 5 2 4" xfId="22262" xr:uid="{25AFFB45-AC0A-4007-AB03-26BF84D55DC4}"/>
    <cellStyle name="Note 3 3 2 5 2 5" xfId="30702" xr:uid="{5CFE51F9-FDFB-42D4-A38F-C2BD5351ACB8}"/>
    <cellStyle name="Note 3 3 2 5 3" xfId="6567" xr:uid="{00000000-0005-0000-0000-0000B8210000}"/>
    <cellStyle name="Note 3 3 2 5 3 2" xfId="15893" xr:uid="{80E9F78B-24CA-43F0-946A-1DDEAEBCBE34}"/>
    <cellStyle name="Note 3 3 2 5 3 3" xfId="24334" xr:uid="{840B940A-9B87-4C6A-900C-60876A223DE4}"/>
    <cellStyle name="Note 3 3 2 5 3 4" xfId="32774" xr:uid="{E354011E-766E-43AC-9D54-553CA4A1D892}"/>
    <cellStyle name="Note 3 3 2 5 4" xfId="11676" xr:uid="{73DCA5CC-A502-4695-A705-D3E500D7D0DF}"/>
    <cellStyle name="Note 3 3 2 5 5" xfId="20117" xr:uid="{DA7F7480-8F53-4633-AEA8-75617CF31932}"/>
    <cellStyle name="Note 3 3 2 5 6" xfId="28557" xr:uid="{A3DA4C8E-1C14-4E89-B223-C2E0B119A91A}"/>
    <cellStyle name="Note 3 3 2 6" xfId="2697" xr:uid="{00000000-0005-0000-0000-0000B9210000}"/>
    <cellStyle name="Note 3 3 2 6 2" xfId="6980" xr:uid="{00000000-0005-0000-0000-0000BA210000}"/>
    <cellStyle name="Note 3 3 2 6 2 2" xfId="16306" xr:uid="{C6C9B9D3-D363-40EC-84F4-8512B323DA6F}"/>
    <cellStyle name="Note 3 3 2 6 2 3" xfId="24747" xr:uid="{1AFEAB00-1E84-4DF6-B370-09FF4D5D8E44}"/>
    <cellStyle name="Note 3 3 2 6 2 4" xfId="33187" xr:uid="{9E600FE1-8606-4354-B1EA-4A4B01F47D70}"/>
    <cellStyle name="Note 3 3 2 6 3" xfId="12089" xr:uid="{4C612915-A9C2-45BE-9AA9-8C0FE9D1F3D0}"/>
    <cellStyle name="Note 3 3 2 6 4" xfId="20530" xr:uid="{296007A8-6094-45C2-A6D1-2EA21142C611}"/>
    <cellStyle name="Note 3 3 2 6 5" xfId="28970" xr:uid="{3A12BEBF-307B-4335-B2FD-ECDB8DAC018D}"/>
    <cellStyle name="Note 3 3 2 7" xfId="2756" xr:uid="{00000000-0005-0000-0000-0000BB210000}"/>
    <cellStyle name="Note 3 3 2 8" xfId="2837" xr:uid="{00000000-0005-0000-0000-0000BC210000}"/>
    <cellStyle name="Note 3 3 2 8 2" xfId="7060" xr:uid="{00000000-0005-0000-0000-0000BD210000}"/>
    <cellStyle name="Note 3 3 2 8 2 2" xfId="16386" xr:uid="{CA657832-9B5C-49D6-8D8F-697B98A8AB70}"/>
    <cellStyle name="Note 3 3 2 8 2 3" xfId="24827" xr:uid="{07F49EF2-EE82-4FDA-9066-5F7D2B8FDFD3}"/>
    <cellStyle name="Note 3 3 2 8 2 4" xfId="33267" xr:uid="{2DBDA446-1A8E-4AA0-9DD1-5867B56631FC}"/>
    <cellStyle name="Note 3 3 2 8 3" xfId="12169" xr:uid="{2E1F54A3-27A7-4400-B87E-BB093A828E86}"/>
    <cellStyle name="Note 3 3 2 8 4" xfId="20610" xr:uid="{655F5A58-29B9-4E76-8DCE-2CFEA248D873}"/>
    <cellStyle name="Note 3 3 2 8 5" xfId="29050" xr:uid="{7193B02E-64CA-4E91-9808-39985984910A}"/>
    <cellStyle name="Note 3 3 2 9" xfId="4915" xr:uid="{00000000-0005-0000-0000-0000BE210000}"/>
    <cellStyle name="Note 3 3 2 9 2" xfId="14241" xr:uid="{B9EC9DE4-81E9-4D00-AF92-E031A784E4B6}"/>
    <cellStyle name="Note 3 3 2 9 3" xfId="22682" xr:uid="{EA94B709-B0C7-4F3A-B7D8-AFE559E389B1}"/>
    <cellStyle name="Note 3 3 2 9 4" xfId="31122" xr:uid="{366896EF-B1A8-4B81-8CDF-8B9896C78EFA}"/>
    <cellStyle name="Note 3 3 3" xfId="1018" xr:uid="{00000000-0005-0000-0000-0000BF210000}"/>
    <cellStyle name="Note 3 3 3 2" xfId="3250" xr:uid="{00000000-0005-0000-0000-0000C0210000}"/>
    <cellStyle name="Note 3 3 3 2 2" xfId="7472" xr:uid="{00000000-0005-0000-0000-0000C1210000}"/>
    <cellStyle name="Note 3 3 3 2 2 2" xfId="16798" xr:uid="{D5B1082F-B479-4613-B6EF-A11C5CC779BF}"/>
    <cellStyle name="Note 3 3 3 2 2 3" xfId="25239" xr:uid="{51BAB601-9644-4D0A-8E2D-3F02F3700FD2}"/>
    <cellStyle name="Note 3 3 3 2 2 4" xfId="33679" xr:uid="{FC5CF5CA-3033-429C-8FD8-F93A9436ED15}"/>
    <cellStyle name="Note 3 3 3 2 3" xfId="12581" xr:uid="{4DCD8782-B556-4EA2-BF69-80B7594E4530}"/>
    <cellStyle name="Note 3 3 3 2 4" xfId="21022" xr:uid="{9DFEF298-7AA7-48BD-8CDA-29631BA17E4F}"/>
    <cellStyle name="Note 3 3 3 2 5" xfId="29462" xr:uid="{F1E9E15F-C3FF-4D7C-8F3E-5B16975CD8D9}"/>
    <cellStyle name="Note 3 3 3 3" xfId="5327" xr:uid="{00000000-0005-0000-0000-0000C2210000}"/>
    <cellStyle name="Note 3 3 3 3 2" xfId="14653" xr:uid="{63F1061E-65F3-4AA8-9B94-10F173FBC417}"/>
    <cellStyle name="Note 3 3 3 3 3" xfId="23094" xr:uid="{7C3FA918-D456-4884-A60F-3388E43A79BF}"/>
    <cellStyle name="Note 3 3 3 3 4" xfId="31534" xr:uid="{BE92FBEB-8D4A-4749-BBBA-9DA7685DF272}"/>
    <cellStyle name="Note 3 3 3 4" xfId="9317" xr:uid="{171D8024-554D-4F15-BFD3-81CBE1A601EA}"/>
    <cellStyle name="Note 3 3 3 5" xfId="10436" xr:uid="{8B98BD50-EF04-4792-91C1-2B1145FF3599}"/>
    <cellStyle name="Note 3 3 3 6" xfId="18877" xr:uid="{76A39242-BD60-425C-9D2A-C1A5E6455B1F}"/>
    <cellStyle name="Note 3 3 3 7" xfId="27317" xr:uid="{EE84BAF7-666C-4A89-B82C-95C1C5C55405}"/>
    <cellStyle name="Note 3 3 4" xfId="1433" xr:uid="{00000000-0005-0000-0000-0000C3210000}"/>
    <cellStyle name="Note 3 3 4 2" xfId="3663" xr:uid="{00000000-0005-0000-0000-0000C4210000}"/>
    <cellStyle name="Note 3 3 4 2 2" xfId="7885" xr:uid="{00000000-0005-0000-0000-0000C5210000}"/>
    <cellStyle name="Note 3 3 4 2 2 2" xfId="17211" xr:uid="{23BF1583-F144-4F00-AEB5-32D40CDC3E4B}"/>
    <cellStyle name="Note 3 3 4 2 2 3" xfId="25652" xr:uid="{D2C82B31-8E16-4241-A0B5-F9204840A471}"/>
    <cellStyle name="Note 3 3 4 2 2 4" xfId="34092" xr:uid="{232A072B-C7E1-452B-A448-11EB3F822ECF}"/>
    <cellStyle name="Note 3 3 4 2 3" xfId="12994" xr:uid="{F6A6ED6D-E796-4251-851E-28E98E904F2D}"/>
    <cellStyle name="Note 3 3 4 2 4" xfId="21435" xr:uid="{1AB80DF9-AADA-4B10-8D6C-534B6D6570F8}"/>
    <cellStyle name="Note 3 3 4 2 5" xfId="29875" xr:uid="{9FBCF954-C18E-4915-912D-75332D226025}"/>
    <cellStyle name="Note 3 3 4 3" xfId="5740" xr:uid="{00000000-0005-0000-0000-0000C6210000}"/>
    <cellStyle name="Note 3 3 4 3 2" xfId="15066" xr:uid="{A20F6603-D543-4673-9ED4-6071411586AF}"/>
    <cellStyle name="Note 3 3 4 3 3" xfId="23507" xr:uid="{AAB6D40D-A72E-4D2B-9216-886DA79015C8}"/>
    <cellStyle name="Note 3 3 4 3 4" xfId="31947" xr:uid="{8281685F-4095-4FC7-AD5B-9CC420FBF1E6}"/>
    <cellStyle name="Note 3 3 4 4" xfId="10849" xr:uid="{78C3B284-7006-46AC-BBF6-9F69FA75F395}"/>
    <cellStyle name="Note 3 3 4 5" xfId="19290" xr:uid="{2DD98A94-5225-484C-8E3F-C24DC195C1CF}"/>
    <cellStyle name="Note 3 3 4 6" xfId="27730" xr:uid="{D4286630-16BC-4860-95F0-6E25521000B5}"/>
    <cellStyle name="Note 3 3 5" xfId="1847" xr:uid="{00000000-0005-0000-0000-0000C7210000}"/>
    <cellStyle name="Note 3 3 5 2" xfId="4076" xr:uid="{00000000-0005-0000-0000-0000C8210000}"/>
    <cellStyle name="Note 3 3 5 2 2" xfId="8298" xr:uid="{00000000-0005-0000-0000-0000C9210000}"/>
    <cellStyle name="Note 3 3 5 2 2 2" xfId="17624" xr:uid="{60CF6C5C-20A4-4CCF-9DCF-063A6B686A60}"/>
    <cellStyle name="Note 3 3 5 2 2 3" xfId="26065" xr:uid="{18BC561F-4B71-4FC6-8754-57F1E11DEFDF}"/>
    <cellStyle name="Note 3 3 5 2 2 4" xfId="34505" xr:uid="{08B9FA32-9F70-498B-AB59-B8DAF2F0F0B8}"/>
    <cellStyle name="Note 3 3 5 2 3" xfId="13407" xr:uid="{F722EE01-6B5F-4413-8906-2222C2C6691A}"/>
    <cellStyle name="Note 3 3 5 2 4" xfId="21848" xr:uid="{17D316B6-2321-4D0B-9B19-7543CE3BBA4B}"/>
    <cellStyle name="Note 3 3 5 2 5" xfId="30288" xr:uid="{CF4EC4EF-71CC-480F-A32B-B6AAD72AB7B8}"/>
    <cellStyle name="Note 3 3 5 3" xfId="6153" xr:uid="{00000000-0005-0000-0000-0000CA210000}"/>
    <cellStyle name="Note 3 3 5 3 2" xfId="15479" xr:uid="{7D272CCE-A123-4D77-830B-1904AB62A23D}"/>
    <cellStyle name="Note 3 3 5 3 3" xfId="23920" xr:uid="{3A11ED8F-2E99-4494-9715-CB83D52EAEF2}"/>
    <cellStyle name="Note 3 3 5 3 4" xfId="32360" xr:uid="{DA26B186-45A9-44AC-B93C-9D765FDE11E8}"/>
    <cellStyle name="Note 3 3 5 4" xfId="11262" xr:uid="{7EA694B6-C5F0-46DD-8C1B-8EE109E8BA3A}"/>
    <cellStyle name="Note 3 3 5 5" xfId="19703" xr:uid="{550B3251-B951-4543-9FC4-6F958DFF03F0}"/>
    <cellStyle name="Note 3 3 5 6" xfId="28143" xr:uid="{1FA53A6A-5B0A-455D-A4BC-E230A635B971}"/>
    <cellStyle name="Note 3 3 6" xfId="2260" xr:uid="{00000000-0005-0000-0000-0000CB210000}"/>
    <cellStyle name="Note 3 3 6 2" xfId="4489" xr:uid="{00000000-0005-0000-0000-0000CC210000}"/>
    <cellStyle name="Note 3 3 6 2 2" xfId="8711" xr:uid="{00000000-0005-0000-0000-0000CD210000}"/>
    <cellStyle name="Note 3 3 6 2 2 2" xfId="18037" xr:uid="{0D2BB70D-322B-4C8E-A309-4A54163C5557}"/>
    <cellStyle name="Note 3 3 6 2 2 3" xfId="26478" xr:uid="{D9A2E967-E9D7-4ABE-A897-574A9CA08865}"/>
    <cellStyle name="Note 3 3 6 2 2 4" xfId="34918" xr:uid="{9B02633A-943E-4E74-8A65-1D13B498E879}"/>
    <cellStyle name="Note 3 3 6 2 3" xfId="13820" xr:uid="{8EF16517-F970-41E3-A133-7C6FA0FA8063}"/>
    <cellStyle name="Note 3 3 6 2 4" xfId="22261" xr:uid="{D6FAB884-F8AE-4B9E-A751-3E45A2EC75B1}"/>
    <cellStyle name="Note 3 3 6 2 5" xfId="30701" xr:uid="{E43B8DB1-7DF1-4DEB-9880-153DFD42083C}"/>
    <cellStyle name="Note 3 3 6 3" xfId="6566" xr:uid="{00000000-0005-0000-0000-0000CE210000}"/>
    <cellStyle name="Note 3 3 6 3 2" xfId="15892" xr:uid="{61182C70-303C-4ECA-AD81-B1508827DF67}"/>
    <cellStyle name="Note 3 3 6 3 3" xfId="24333" xr:uid="{B9C3D6F4-E4ED-4D06-B76F-99936DBC37A8}"/>
    <cellStyle name="Note 3 3 6 3 4" xfId="32773" xr:uid="{CEA40450-8A73-4CEC-BE82-9C64544930C3}"/>
    <cellStyle name="Note 3 3 6 4" xfId="11675" xr:uid="{4C29B21E-E955-4C4C-8DAC-E0537AA5B44F}"/>
    <cellStyle name="Note 3 3 6 5" xfId="20116" xr:uid="{BF85E441-0927-45E4-A3D7-FA40351F89F9}"/>
    <cellStyle name="Note 3 3 6 6" xfId="28556" xr:uid="{A2DEF2A2-49D2-40CA-B42F-1EB7629D904B}"/>
    <cellStyle name="Note 3 3 7" xfId="2696" xr:uid="{00000000-0005-0000-0000-0000CF210000}"/>
    <cellStyle name="Note 3 3 7 2" xfId="6979" xr:uid="{00000000-0005-0000-0000-0000D0210000}"/>
    <cellStyle name="Note 3 3 7 2 2" xfId="16305" xr:uid="{4E8ECE75-D19A-4B50-8D1A-DF611FBFAA69}"/>
    <cellStyle name="Note 3 3 7 2 3" xfId="24746" xr:uid="{25CD77B9-D861-49BC-BD5F-A75C601DD9BC}"/>
    <cellStyle name="Note 3 3 7 2 4" xfId="33186" xr:uid="{C009BE37-FACB-4973-8041-83098D47043C}"/>
    <cellStyle name="Note 3 3 7 3" xfId="12088" xr:uid="{C92D1D60-64E2-48D9-B6B9-C73FB51B5CAB}"/>
    <cellStyle name="Note 3 3 7 4" xfId="20529" xr:uid="{1825A0A0-4826-4832-8175-EACA28214785}"/>
    <cellStyle name="Note 3 3 7 5" xfId="28969" xr:uid="{96A6AB54-A4EF-432B-B95E-3D2958C1D126}"/>
    <cellStyle name="Note 3 3 8" xfId="2755" xr:uid="{00000000-0005-0000-0000-0000D1210000}"/>
    <cellStyle name="Note 3 3 9" xfId="2836" xr:uid="{00000000-0005-0000-0000-0000D2210000}"/>
    <cellStyle name="Note 3 3 9 2" xfId="7059" xr:uid="{00000000-0005-0000-0000-0000D3210000}"/>
    <cellStyle name="Note 3 3 9 2 2" xfId="16385" xr:uid="{1E531B21-3197-4C15-827F-557F261B1CCE}"/>
    <cellStyle name="Note 3 3 9 2 3" xfId="24826" xr:uid="{EA0B6A46-B1E2-4F96-A47D-7389675B91DE}"/>
    <cellStyle name="Note 3 3 9 2 4" xfId="33266" xr:uid="{F3C3588D-75F6-4BB3-A738-F87D837388BD}"/>
    <cellStyle name="Note 3 3 9 3" xfId="12168" xr:uid="{6D2A6D6F-F4B8-4BD5-8A75-F0541EDC0D5B}"/>
    <cellStyle name="Note 3 3 9 4" xfId="20609" xr:uid="{E2EE350B-5413-403C-9915-DA63DBC4168E}"/>
    <cellStyle name="Note 3 3 9 5" xfId="29049" xr:uid="{8209968A-6FD8-4787-B3D6-EF5146C8B4C5}"/>
    <cellStyle name="Note 3 4" xfId="560" xr:uid="{00000000-0005-0000-0000-0000D4210000}"/>
    <cellStyle name="Note 3 4 10" xfId="8996" xr:uid="{0D704BEA-0820-4E61-9EA3-F4C1E73C6543}"/>
    <cellStyle name="Note 3 4 11" xfId="10025" xr:uid="{0810E41A-2A0C-4664-A3E1-22190717114D}"/>
    <cellStyle name="Note 3 4 12" xfId="18466" xr:uid="{EB66C677-D365-49B4-A057-0C0AD18E7D13}"/>
    <cellStyle name="Note 3 4 13" xfId="26906" xr:uid="{582470B8-9D5D-4E1E-A734-41B240A7E2D4}"/>
    <cellStyle name="Note 3 4 2" xfId="1020" xr:uid="{00000000-0005-0000-0000-0000D5210000}"/>
    <cellStyle name="Note 3 4 2 2" xfId="3252" xr:uid="{00000000-0005-0000-0000-0000D6210000}"/>
    <cellStyle name="Note 3 4 2 2 2" xfId="7474" xr:uid="{00000000-0005-0000-0000-0000D7210000}"/>
    <cellStyle name="Note 3 4 2 2 2 2" xfId="16800" xr:uid="{8D818CBC-E58F-418F-B966-0F821BBDFDBD}"/>
    <cellStyle name="Note 3 4 2 2 2 3" xfId="25241" xr:uid="{3B052D92-5AA7-4D24-9A3D-9510B5801566}"/>
    <cellStyle name="Note 3 4 2 2 2 4" xfId="33681" xr:uid="{AD5AB3BE-B5C1-4684-9D3D-0FA9DA529E37}"/>
    <cellStyle name="Note 3 4 2 2 3" xfId="12583" xr:uid="{D8D105C6-DADD-4AE5-B704-CEA2D206C91E}"/>
    <cellStyle name="Note 3 4 2 2 4" xfId="21024" xr:uid="{7A8B5E1C-F48C-4C29-84D0-06E07511CD9F}"/>
    <cellStyle name="Note 3 4 2 2 5" xfId="29464" xr:uid="{DD15DF4F-B747-4C45-A83E-503D5F11DEAA}"/>
    <cellStyle name="Note 3 4 2 3" xfId="5329" xr:uid="{00000000-0005-0000-0000-0000D8210000}"/>
    <cellStyle name="Note 3 4 2 3 2" xfId="14655" xr:uid="{B0ECDC61-9948-415A-89A2-6ABA4593D127}"/>
    <cellStyle name="Note 3 4 2 3 3" xfId="23096" xr:uid="{6CC3FB67-2648-4816-B571-91BC10185CC9}"/>
    <cellStyle name="Note 3 4 2 3 4" xfId="31536" xr:uid="{15709620-8A35-4A4E-8468-2C8D4AD0BBC1}"/>
    <cellStyle name="Note 3 4 2 4" xfId="9421" xr:uid="{EC0A57E0-416C-4EC5-866A-A09E44531CB5}"/>
    <cellStyle name="Note 3 4 2 5" xfId="10438" xr:uid="{8656AEBC-0770-427C-85D7-F2A19DA688A3}"/>
    <cellStyle name="Note 3 4 2 6" xfId="18879" xr:uid="{A2A45966-606B-466E-AB7B-965184632662}"/>
    <cellStyle name="Note 3 4 2 7" xfId="27319" xr:uid="{57FA8AF5-574A-4E15-BB82-78B90CD3A54D}"/>
    <cellStyle name="Note 3 4 3" xfId="1435" xr:uid="{00000000-0005-0000-0000-0000D9210000}"/>
    <cellStyle name="Note 3 4 3 2" xfId="3665" xr:uid="{00000000-0005-0000-0000-0000DA210000}"/>
    <cellStyle name="Note 3 4 3 2 2" xfId="7887" xr:uid="{00000000-0005-0000-0000-0000DB210000}"/>
    <cellStyle name="Note 3 4 3 2 2 2" xfId="17213" xr:uid="{D9769CF4-AD92-41F4-9431-B4CE63D63EC7}"/>
    <cellStyle name="Note 3 4 3 2 2 3" xfId="25654" xr:uid="{4E3DF515-6405-49FB-8A96-D6AC79AA9D3B}"/>
    <cellStyle name="Note 3 4 3 2 2 4" xfId="34094" xr:uid="{0B1DD7FE-ACCD-4F8B-8217-EB9AB955345C}"/>
    <cellStyle name="Note 3 4 3 2 3" xfId="12996" xr:uid="{320EDA2F-10F5-44FF-BA44-774DD6ABFA57}"/>
    <cellStyle name="Note 3 4 3 2 4" xfId="21437" xr:uid="{352BBEEC-CCE8-4099-978D-1D40F2582BCE}"/>
    <cellStyle name="Note 3 4 3 2 5" xfId="29877" xr:uid="{1064479B-73FC-4C4C-8C97-2DCA87DCE664}"/>
    <cellStyle name="Note 3 4 3 3" xfId="5742" xr:uid="{00000000-0005-0000-0000-0000DC210000}"/>
    <cellStyle name="Note 3 4 3 3 2" xfId="15068" xr:uid="{57013B50-CA24-4489-BEE0-0BA7D8E26E10}"/>
    <cellStyle name="Note 3 4 3 3 3" xfId="23509" xr:uid="{A35112C9-1F7F-4435-8960-B37384F20A33}"/>
    <cellStyle name="Note 3 4 3 3 4" xfId="31949" xr:uid="{9FBF23EE-D4AB-4E69-B00C-A0128CBB0401}"/>
    <cellStyle name="Note 3 4 3 4" xfId="10851" xr:uid="{105ADD60-8A48-4DF2-8E05-B8E9E3CD83A4}"/>
    <cellStyle name="Note 3 4 3 5" xfId="19292" xr:uid="{95B66425-607F-4B0A-B2A4-82626746F182}"/>
    <cellStyle name="Note 3 4 3 6" xfId="27732" xr:uid="{03E1C6FB-2324-499E-B4EA-2545FA22386F}"/>
    <cellStyle name="Note 3 4 4" xfId="1849" xr:uid="{00000000-0005-0000-0000-0000DD210000}"/>
    <cellStyle name="Note 3 4 4 2" xfId="4078" xr:uid="{00000000-0005-0000-0000-0000DE210000}"/>
    <cellStyle name="Note 3 4 4 2 2" xfId="8300" xr:uid="{00000000-0005-0000-0000-0000DF210000}"/>
    <cellStyle name="Note 3 4 4 2 2 2" xfId="17626" xr:uid="{A54AC091-6834-481A-B1DB-450BAE8D80B2}"/>
    <cellStyle name="Note 3 4 4 2 2 3" xfId="26067" xr:uid="{9AE3679C-8840-483D-8B2F-D11108C729F7}"/>
    <cellStyle name="Note 3 4 4 2 2 4" xfId="34507" xr:uid="{ED92EF8F-2CA2-4C4D-ADBF-0312A9D9EA4E}"/>
    <cellStyle name="Note 3 4 4 2 3" xfId="13409" xr:uid="{AC04986A-A16F-4CC6-8B8E-0C6321A043FB}"/>
    <cellStyle name="Note 3 4 4 2 4" xfId="21850" xr:uid="{112D1970-D31D-41E8-8C3E-1680A2F888C6}"/>
    <cellStyle name="Note 3 4 4 2 5" xfId="30290" xr:uid="{B0BA6EF0-EDC2-46A0-A6A6-2D251817E130}"/>
    <cellStyle name="Note 3 4 4 3" xfId="6155" xr:uid="{00000000-0005-0000-0000-0000E0210000}"/>
    <cellStyle name="Note 3 4 4 3 2" xfId="15481" xr:uid="{A9FBE64E-3545-4F01-8335-18E3B3CB1990}"/>
    <cellStyle name="Note 3 4 4 3 3" xfId="23922" xr:uid="{9782F365-731F-43F0-BBEC-70335C78B150}"/>
    <cellStyle name="Note 3 4 4 3 4" xfId="32362" xr:uid="{02F9B565-B694-42A6-AD74-A9F460FBA6A3}"/>
    <cellStyle name="Note 3 4 4 4" xfId="11264" xr:uid="{0B20593C-F478-4111-9B74-8000547E4DA7}"/>
    <cellStyle name="Note 3 4 4 5" xfId="19705" xr:uid="{9567BA1F-22A9-4550-867B-7E900BF4A4F8}"/>
    <cellStyle name="Note 3 4 4 6" xfId="28145" xr:uid="{359C7E3F-6E9C-40AF-B7B1-1ED97875E7F9}"/>
    <cellStyle name="Note 3 4 5" xfId="2262" xr:uid="{00000000-0005-0000-0000-0000E1210000}"/>
    <cellStyle name="Note 3 4 5 2" xfId="4491" xr:uid="{00000000-0005-0000-0000-0000E2210000}"/>
    <cellStyle name="Note 3 4 5 2 2" xfId="8713" xr:uid="{00000000-0005-0000-0000-0000E3210000}"/>
    <cellStyle name="Note 3 4 5 2 2 2" xfId="18039" xr:uid="{77344BA7-9CF0-479F-AE2C-81C9074BEB79}"/>
    <cellStyle name="Note 3 4 5 2 2 3" xfId="26480" xr:uid="{0C97EAB6-1E11-406F-9B69-47BBE91CC720}"/>
    <cellStyle name="Note 3 4 5 2 2 4" xfId="34920" xr:uid="{1DF95C3F-337A-49FC-8C58-8EAA58AD7380}"/>
    <cellStyle name="Note 3 4 5 2 3" xfId="13822" xr:uid="{533D5AA2-C460-4ACA-9E8D-D3E9681FABD6}"/>
    <cellStyle name="Note 3 4 5 2 4" xfId="22263" xr:uid="{A45FFC71-C57B-423E-8B48-97D1B8B7AA39}"/>
    <cellStyle name="Note 3 4 5 2 5" xfId="30703" xr:uid="{FFA297F3-4248-4F59-AD52-224071557271}"/>
    <cellStyle name="Note 3 4 5 3" xfId="6568" xr:uid="{00000000-0005-0000-0000-0000E4210000}"/>
    <cellStyle name="Note 3 4 5 3 2" xfId="15894" xr:uid="{B8F99C13-483A-4865-894D-67ABA51ABF6E}"/>
    <cellStyle name="Note 3 4 5 3 3" xfId="24335" xr:uid="{DFAA67AA-65E4-4353-9D61-40F783D81327}"/>
    <cellStyle name="Note 3 4 5 3 4" xfId="32775" xr:uid="{7F757743-5247-4F20-8877-1F32BFD38197}"/>
    <cellStyle name="Note 3 4 5 4" xfId="11677" xr:uid="{49695DF8-CE76-48D2-8307-F862FD159880}"/>
    <cellStyle name="Note 3 4 5 5" xfId="20118" xr:uid="{4DA17351-E57D-446E-AFD3-713EF95A03E3}"/>
    <cellStyle name="Note 3 4 5 6" xfId="28558" xr:uid="{D4B28AE2-2558-4CBF-B52B-C1E509A2DB50}"/>
    <cellStyle name="Note 3 4 6" xfId="2698" xr:uid="{00000000-0005-0000-0000-0000E5210000}"/>
    <cellStyle name="Note 3 4 6 2" xfId="6981" xr:uid="{00000000-0005-0000-0000-0000E6210000}"/>
    <cellStyle name="Note 3 4 6 2 2" xfId="16307" xr:uid="{B45941B8-65F3-4423-A164-CD3D4D58CA85}"/>
    <cellStyle name="Note 3 4 6 2 3" xfId="24748" xr:uid="{17C2C1A7-B43A-4445-8FD2-4D1A0F42AEE8}"/>
    <cellStyle name="Note 3 4 6 2 4" xfId="33188" xr:uid="{1BA70FD8-6EC5-4861-9C23-DFBA0BC592A4}"/>
    <cellStyle name="Note 3 4 6 3" xfId="12090" xr:uid="{FB1967BA-3E7C-4131-8FB0-CC436F17C2CD}"/>
    <cellStyle name="Note 3 4 6 4" xfId="20531" xr:uid="{3382D8F5-E74E-4774-82EB-191687A7AB6D}"/>
    <cellStyle name="Note 3 4 6 5" xfId="28971" xr:uid="{2156C287-94C2-4306-99D8-D4A3AEBAF1CF}"/>
    <cellStyle name="Note 3 4 7" xfId="2757" xr:uid="{00000000-0005-0000-0000-0000E7210000}"/>
    <cellStyle name="Note 3 4 8" xfId="2838" xr:uid="{00000000-0005-0000-0000-0000E8210000}"/>
    <cellStyle name="Note 3 4 8 2" xfId="7061" xr:uid="{00000000-0005-0000-0000-0000E9210000}"/>
    <cellStyle name="Note 3 4 8 2 2" xfId="16387" xr:uid="{96ECDE38-710F-475C-89FD-EEB8646CB058}"/>
    <cellStyle name="Note 3 4 8 2 3" xfId="24828" xr:uid="{DB234A2A-6425-456C-90E5-D4FEF7DCDC97}"/>
    <cellStyle name="Note 3 4 8 2 4" xfId="33268" xr:uid="{58115E89-9EEC-4B4F-96DA-CBE747AF6B16}"/>
    <cellStyle name="Note 3 4 8 3" xfId="12170" xr:uid="{915CBF06-4321-47F6-8FAF-71B44759B0E6}"/>
    <cellStyle name="Note 3 4 8 4" xfId="20611" xr:uid="{F5534E0B-0909-45F5-A452-815A47B4A684}"/>
    <cellStyle name="Note 3 4 8 5" xfId="29051" xr:uid="{4CB275B2-F217-43FA-948E-E75DACD6A51E}"/>
    <cellStyle name="Note 3 4 9" xfId="4916" xr:uid="{00000000-0005-0000-0000-0000EA210000}"/>
    <cellStyle name="Note 3 4 9 2" xfId="14242" xr:uid="{7DB74E48-7951-4DD5-AF3B-0508F0310EC2}"/>
    <cellStyle name="Note 3 4 9 3" xfId="22683" xr:uid="{CBE56C5C-50CC-4DE6-B0D7-28B08F3AB5C8}"/>
    <cellStyle name="Note 3 4 9 4" xfId="31123" xr:uid="{5CFEAE5F-B525-40E8-BC7D-35517880E668}"/>
    <cellStyle name="Note 3 5" xfId="561" xr:uid="{00000000-0005-0000-0000-0000EB210000}"/>
    <cellStyle name="Note 3 5 10" xfId="9213" xr:uid="{D9D7FB9A-B03C-4A97-A778-36731B43DF3F}"/>
    <cellStyle name="Note 3 5 11" xfId="10026" xr:uid="{C5D4D873-2B1D-4D47-9C30-9C721548B65E}"/>
    <cellStyle name="Note 3 5 12" xfId="18467" xr:uid="{114C2754-4600-488A-BE4E-2BD3DCAD5A17}"/>
    <cellStyle name="Note 3 5 13" xfId="26907" xr:uid="{1A3FCA98-4B28-4B30-A02B-EA6114CE0DD7}"/>
    <cellStyle name="Note 3 5 2" xfId="1021" xr:uid="{00000000-0005-0000-0000-0000EC210000}"/>
    <cellStyle name="Note 3 5 2 2" xfId="3253" xr:uid="{00000000-0005-0000-0000-0000ED210000}"/>
    <cellStyle name="Note 3 5 2 2 2" xfId="7475" xr:uid="{00000000-0005-0000-0000-0000EE210000}"/>
    <cellStyle name="Note 3 5 2 2 2 2" xfId="16801" xr:uid="{4666E3E2-5411-4DF8-99F2-9A76593604E5}"/>
    <cellStyle name="Note 3 5 2 2 2 3" xfId="25242" xr:uid="{4EF60051-1A9C-43A3-900D-BFAEF483C935}"/>
    <cellStyle name="Note 3 5 2 2 2 4" xfId="33682" xr:uid="{4977BDC9-3B41-4E18-8BCD-05B2CED3B4A5}"/>
    <cellStyle name="Note 3 5 2 2 3" xfId="12584" xr:uid="{0AE20A69-D3E5-4516-BAEE-2963860C67BC}"/>
    <cellStyle name="Note 3 5 2 2 4" xfId="21025" xr:uid="{0DA35C52-AC7A-4329-BBCB-6D9E472A5A4D}"/>
    <cellStyle name="Note 3 5 2 2 5" xfId="29465" xr:uid="{18BFDE01-E494-4927-8302-4766020719DC}"/>
    <cellStyle name="Note 3 5 2 3" xfId="5330" xr:uid="{00000000-0005-0000-0000-0000EF210000}"/>
    <cellStyle name="Note 3 5 2 3 2" xfId="14656" xr:uid="{5C274F7D-0A05-4CD1-BA2D-36201E8694BE}"/>
    <cellStyle name="Note 3 5 2 3 3" xfId="23097" xr:uid="{FBCABBF3-AF60-41B3-9DD3-735C08FA666B}"/>
    <cellStyle name="Note 3 5 2 3 4" xfId="31537" xr:uid="{20D140E0-0BD7-4A67-AFE4-A5BFE4FF267C}"/>
    <cellStyle name="Note 3 5 2 4" xfId="9611" xr:uid="{74765414-66B3-4FDA-BA21-3BFFEF98E338}"/>
    <cellStyle name="Note 3 5 2 5" xfId="10439" xr:uid="{4572619C-B6AA-4739-8B58-5C32CCB8868F}"/>
    <cellStyle name="Note 3 5 2 6" xfId="18880" xr:uid="{864A9A39-6408-446A-B4F1-42F1F1E2E65D}"/>
    <cellStyle name="Note 3 5 2 7" xfId="27320" xr:uid="{72A57110-4AA2-46DF-BC96-3C677E7E2E3F}"/>
    <cellStyle name="Note 3 5 3" xfId="1436" xr:uid="{00000000-0005-0000-0000-0000F0210000}"/>
    <cellStyle name="Note 3 5 3 2" xfId="3666" xr:uid="{00000000-0005-0000-0000-0000F1210000}"/>
    <cellStyle name="Note 3 5 3 2 2" xfId="7888" xr:uid="{00000000-0005-0000-0000-0000F2210000}"/>
    <cellStyle name="Note 3 5 3 2 2 2" xfId="17214" xr:uid="{D494CEA5-ADAB-4760-A5B5-945F8E32255A}"/>
    <cellStyle name="Note 3 5 3 2 2 3" xfId="25655" xr:uid="{8DB73A6E-29E0-4428-9CFA-FD7E3E328190}"/>
    <cellStyle name="Note 3 5 3 2 2 4" xfId="34095" xr:uid="{F7617AB8-CB9A-4990-8C8D-7122AE3BFA27}"/>
    <cellStyle name="Note 3 5 3 2 3" xfId="12997" xr:uid="{83E4F456-5EA1-4569-B02D-BE7A286CF77C}"/>
    <cellStyle name="Note 3 5 3 2 4" xfId="21438" xr:uid="{75D5BF45-2F63-4CD4-AFC1-3C23752C9AEC}"/>
    <cellStyle name="Note 3 5 3 2 5" xfId="29878" xr:uid="{615BBE59-922C-49B6-930A-678BA41F76CF}"/>
    <cellStyle name="Note 3 5 3 3" xfId="5743" xr:uid="{00000000-0005-0000-0000-0000F3210000}"/>
    <cellStyle name="Note 3 5 3 3 2" xfId="15069" xr:uid="{9610A6AE-0006-47CF-B3DD-7B513116985A}"/>
    <cellStyle name="Note 3 5 3 3 3" xfId="23510" xr:uid="{338B65D9-E242-4E7C-A569-DABDE6E1B9FF}"/>
    <cellStyle name="Note 3 5 3 3 4" xfId="31950" xr:uid="{CD99E0BE-8FD0-47FF-A6CB-43B252EECD00}"/>
    <cellStyle name="Note 3 5 3 4" xfId="10852" xr:uid="{CF759855-8842-460C-925D-1FFB42F61422}"/>
    <cellStyle name="Note 3 5 3 5" xfId="19293" xr:uid="{8E336AAB-5B37-4C71-81EA-2AF8E5FE25CF}"/>
    <cellStyle name="Note 3 5 3 6" xfId="27733" xr:uid="{C23A145A-D82C-4A7D-B24D-A156BA65658E}"/>
    <cellStyle name="Note 3 5 4" xfId="1850" xr:uid="{00000000-0005-0000-0000-0000F4210000}"/>
    <cellStyle name="Note 3 5 4 2" xfId="4079" xr:uid="{00000000-0005-0000-0000-0000F5210000}"/>
    <cellStyle name="Note 3 5 4 2 2" xfId="8301" xr:uid="{00000000-0005-0000-0000-0000F6210000}"/>
    <cellStyle name="Note 3 5 4 2 2 2" xfId="17627" xr:uid="{FD781F24-5605-4800-BCBF-DADC9D532B9E}"/>
    <cellStyle name="Note 3 5 4 2 2 3" xfId="26068" xr:uid="{70D61373-B2D0-47C4-B8FE-48C06B4D9670}"/>
    <cellStyle name="Note 3 5 4 2 2 4" xfId="34508" xr:uid="{A57C61C0-B5FF-4928-9948-AD61C6704187}"/>
    <cellStyle name="Note 3 5 4 2 3" xfId="13410" xr:uid="{0DCA4226-0AA0-4C4E-AFB5-E40356E58EC4}"/>
    <cellStyle name="Note 3 5 4 2 4" xfId="21851" xr:uid="{F05463BA-E87C-4291-BA78-E6162BB7986D}"/>
    <cellStyle name="Note 3 5 4 2 5" xfId="30291" xr:uid="{6A04B733-3385-40DF-BDAB-75C91A88F7DA}"/>
    <cellStyle name="Note 3 5 4 3" xfId="6156" xr:uid="{00000000-0005-0000-0000-0000F7210000}"/>
    <cellStyle name="Note 3 5 4 3 2" xfId="15482" xr:uid="{2C937D9E-F7BE-4693-BA90-7BC5064A4E8D}"/>
    <cellStyle name="Note 3 5 4 3 3" xfId="23923" xr:uid="{40AD1967-B44D-46A9-9745-8739AA31BC70}"/>
    <cellStyle name="Note 3 5 4 3 4" xfId="32363" xr:uid="{5E411E26-2D46-48D1-9C8C-DE77D17BFD43}"/>
    <cellStyle name="Note 3 5 4 4" xfId="11265" xr:uid="{95195E9A-2CBA-42BE-BB8A-D5160B90CC21}"/>
    <cellStyle name="Note 3 5 4 5" xfId="19706" xr:uid="{AA43CBD8-5C7E-4D0A-9D20-0E9951F5A878}"/>
    <cellStyle name="Note 3 5 4 6" xfId="28146" xr:uid="{6827FCF9-6CBF-45F3-9F6D-6995AC04EDEB}"/>
    <cellStyle name="Note 3 5 5" xfId="2263" xr:uid="{00000000-0005-0000-0000-0000F8210000}"/>
    <cellStyle name="Note 3 5 5 2" xfId="4492" xr:uid="{00000000-0005-0000-0000-0000F9210000}"/>
    <cellStyle name="Note 3 5 5 2 2" xfId="8714" xr:uid="{00000000-0005-0000-0000-0000FA210000}"/>
    <cellStyle name="Note 3 5 5 2 2 2" xfId="18040" xr:uid="{B31A2819-EC35-4702-BD5C-A43DBC89A74E}"/>
    <cellStyle name="Note 3 5 5 2 2 3" xfId="26481" xr:uid="{07D45E7B-0C3D-4851-8CBB-E17995E7B06D}"/>
    <cellStyle name="Note 3 5 5 2 2 4" xfId="34921" xr:uid="{F8F358AD-FA84-46B0-8003-C5D469A4B1AF}"/>
    <cellStyle name="Note 3 5 5 2 3" xfId="13823" xr:uid="{0BA931EA-C540-40C9-BAFC-CE4A5FEF9B44}"/>
    <cellStyle name="Note 3 5 5 2 4" xfId="22264" xr:uid="{C383173E-5B73-4E86-A24C-0BD2DE152B56}"/>
    <cellStyle name="Note 3 5 5 2 5" xfId="30704" xr:uid="{0B31BB42-08F8-4146-A6D9-7119194F5D89}"/>
    <cellStyle name="Note 3 5 5 3" xfId="6569" xr:uid="{00000000-0005-0000-0000-0000FB210000}"/>
    <cellStyle name="Note 3 5 5 3 2" xfId="15895" xr:uid="{3FD9F1C1-FD2B-4D5D-9119-87F349ED3D8E}"/>
    <cellStyle name="Note 3 5 5 3 3" xfId="24336" xr:uid="{85A1EF08-4AF6-4D79-96C4-81BE538D8A28}"/>
    <cellStyle name="Note 3 5 5 3 4" xfId="32776" xr:uid="{105CCE67-9F5E-48BE-900B-8EA60F5C2C9F}"/>
    <cellStyle name="Note 3 5 5 4" xfId="11678" xr:uid="{ED56E041-5328-4DA1-AE0B-BEDF5BF5C4C4}"/>
    <cellStyle name="Note 3 5 5 5" xfId="20119" xr:uid="{E212CA08-846E-420E-8049-E003CCB3DCE3}"/>
    <cellStyle name="Note 3 5 5 6" xfId="28559" xr:uid="{55D8F654-065B-40E9-A6D5-E1CE8EA533C3}"/>
    <cellStyle name="Note 3 5 6" xfId="2699" xr:uid="{00000000-0005-0000-0000-0000FC210000}"/>
    <cellStyle name="Note 3 5 6 2" xfId="6982" xr:uid="{00000000-0005-0000-0000-0000FD210000}"/>
    <cellStyle name="Note 3 5 6 2 2" xfId="16308" xr:uid="{E03CE914-FC10-4E08-858B-E1F6F6B5550A}"/>
    <cellStyle name="Note 3 5 6 2 3" xfId="24749" xr:uid="{26573AA7-1064-4014-A28C-DEE0B3D26F76}"/>
    <cellStyle name="Note 3 5 6 2 4" xfId="33189" xr:uid="{7D66F7C8-0642-471B-AEF7-204940633BFD}"/>
    <cellStyle name="Note 3 5 6 3" xfId="12091" xr:uid="{20C7EC82-8930-4697-8382-85DD5928CC89}"/>
    <cellStyle name="Note 3 5 6 4" xfId="20532" xr:uid="{5F613549-945D-4444-8A14-993472A0F854}"/>
    <cellStyle name="Note 3 5 6 5" xfId="28972" xr:uid="{0C445DBC-402A-4E53-9F99-E25B516DF5DD}"/>
    <cellStyle name="Note 3 5 7" xfId="2758" xr:uid="{00000000-0005-0000-0000-0000FE210000}"/>
    <cellStyle name="Note 3 5 8" xfId="2839" xr:uid="{00000000-0005-0000-0000-0000FF210000}"/>
    <cellStyle name="Note 3 5 8 2" xfId="7062" xr:uid="{00000000-0005-0000-0000-000000220000}"/>
    <cellStyle name="Note 3 5 8 2 2" xfId="16388" xr:uid="{310A271E-D015-4554-AB14-9BB4ACFA0EE0}"/>
    <cellStyle name="Note 3 5 8 2 3" xfId="24829" xr:uid="{9AB816CA-3470-4495-8133-8B5D01D9120B}"/>
    <cellStyle name="Note 3 5 8 2 4" xfId="33269" xr:uid="{F7BF0627-5A5F-4EC2-82C2-F744A1B038A4}"/>
    <cellStyle name="Note 3 5 8 3" xfId="12171" xr:uid="{597E9D07-F3DF-4832-9A6C-BDFC096B8D66}"/>
    <cellStyle name="Note 3 5 8 4" xfId="20612" xr:uid="{ADD4057E-82FF-4B8F-B2BE-4A2635B1A1F1}"/>
    <cellStyle name="Note 3 5 8 5" xfId="29052" xr:uid="{8D4E9283-328D-42B6-A3D8-F8F7A816EF35}"/>
    <cellStyle name="Note 3 5 9" xfId="4917" xr:uid="{00000000-0005-0000-0000-000001220000}"/>
    <cellStyle name="Note 3 5 9 2" xfId="14243" xr:uid="{F787310A-EBC2-4DDE-91D9-D2CDE7411C81}"/>
    <cellStyle name="Note 3 5 9 3" xfId="22684" xr:uid="{B6F5FE7B-F03B-4518-BCD6-4A3E97B5AC3E}"/>
    <cellStyle name="Note 3 5 9 4" xfId="31124" xr:uid="{0CE259C8-411A-49CF-8499-6140CB459B09}"/>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3" xfId="13826" xr:uid="{21BF958D-BAB3-4576-80B6-6A08FC5A9EAB}"/>
    <cellStyle name="Percent 3 4" xfId="22267" xr:uid="{E7C2B7C1-9EE6-44B2-B89E-D9643D0C9935}"/>
    <cellStyle name="Percent 3 5" xfId="30707" xr:uid="{EC5D6339-0D00-48CA-98C6-71DD19996FB2}"/>
    <cellStyle name="Percent 4" xfId="4502" xr:uid="{00000000-0005-0000-0000-000007220000}"/>
    <cellStyle name="Percent 4 2" xfId="8717" xr:uid="{00000000-0005-0000-0000-000008220000}"/>
    <cellStyle name="Percent 4 2 2" xfId="18043" xr:uid="{0E941FE8-9F42-4542-8DF2-3F7829D9825F}"/>
    <cellStyle name="Percent 4 2 3" xfId="26484" xr:uid="{BA9F959A-B091-4A45-B3F6-0DA92BE1BE5E}"/>
    <cellStyle name="Percent 4 2 4" xfId="34924" xr:uid="{926BBDE6-6B00-4EC2-8B16-5CF23EA725A7}"/>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3" xfId="18052" xr:uid="{529F033B-0D5A-4FBC-9DBC-3A0886B6A28D}"/>
    <cellStyle name="Percent 4 3 2 2 4" xfId="26493" xr:uid="{CCF217E8-D831-432B-97AD-D92714986DB5}"/>
    <cellStyle name="Percent 4 3 2 2 5" xfId="34933" xr:uid="{DE68FF9F-3A58-4143-90F3-A902E18001A3}"/>
    <cellStyle name="Percent 4 3 2 3" xfId="18049" xr:uid="{84A01467-593E-41B4-B4B4-336F97012CF0}"/>
    <cellStyle name="Percent 4 3 2 4" xfId="26490" xr:uid="{3EE23818-72E8-4851-81F3-9F31E5FDE1E3}"/>
    <cellStyle name="Percent 4 3 2 5" xfId="34930" xr:uid="{CFFD3D3D-E5B3-4BDB-A270-230C023ED20A}"/>
    <cellStyle name="Percent 4 3 3" xfId="18046" xr:uid="{C1725AD2-DCEC-4204-9DE7-E46434B95AF8}"/>
    <cellStyle name="Percent 4 3 4" xfId="26487" xr:uid="{82A69313-42BF-4263-87CE-EF7FFD322CC9}"/>
    <cellStyle name="Percent 4 3 5" xfId="34927" xr:uid="{0EE8E58B-E0CB-4915-9D8A-F6AEAB331735}"/>
    <cellStyle name="Percent 4 4" xfId="13829" xr:uid="{B96339C4-E113-4FE8-B47D-7C99E3ACE72C}"/>
    <cellStyle name="Percent 4 5" xfId="22270" xr:uid="{6D33C0A0-D794-4130-9BAE-5BBFB45CACBF}"/>
    <cellStyle name="Percent 4 6" xfId="30710" xr:uid="{047E6651-AE04-411B-A07C-ED83448078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171" sqref="D171:F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9" t="s">
        <v>548</v>
      </c>
      <c r="B1" s="1279"/>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row>
    <row r="2" spans="1:38" ht="13.5" thickBot="1">
      <c r="A2" s="1280"/>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row>
    <row r="3" spans="1:38" ht="13.5"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81" t="s">
        <v>1992</v>
      </c>
      <c r="E7" s="1281"/>
      <c r="F7" s="1281"/>
      <c r="G7" s="1281"/>
      <c r="H7" s="1281"/>
      <c r="I7" s="1281"/>
      <c r="J7" s="1281"/>
      <c r="K7" s="1281"/>
      <c r="L7" s="1281"/>
      <c r="M7" s="1281"/>
      <c r="N7" s="1281"/>
      <c r="O7" s="1281"/>
      <c r="P7" s="1281"/>
      <c r="Q7" s="1281"/>
      <c r="R7" s="1281"/>
      <c r="S7" s="1281"/>
      <c r="T7" s="1281"/>
      <c r="U7" s="1281"/>
      <c r="V7" s="1281"/>
      <c r="W7" s="1281"/>
      <c r="X7" s="1281"/>
      <c r="Y7" s="1281"/>
      <c r="Z7" s="1281"/>
      <c r="AA7" s="1281"/>
      <c r="AB7" s="1281"/>
      <c r="AC7" s="1281"/>
      <c r="AD7" s="1281"/>
      <c r="AE7" s="1281"/>
      <c r="AF7" s="1281"/>
      <c r="AG7" s="1281"/>
      <c r="AH7" s="1281"/>
      <c r="AI7" s="1281"/>
      <c r="AJ7" s="1281"/>
      <c r="AK7" s="1281"/>
      <c r="AL7" s="454"/>
    </row>
    <row r="8" spans="1:38">
      <c r="A8" s="204"/>
      <c r="B8" s="204"/>
      <c r="C8" s="205"/>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454"/>
    </row>
    <row r="9" spans="1:38">
      <c r="A9" s="204"/>
      <c r="B9" s="204"/>
      <c r="C9" s="205"/>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454"/>
    </row>
    <row r="10" spans="1:38">
      <c r="A10" s="204"/>
      <c r="B10" s="204"/>
      <c r="C10" s="205"/>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2.95" customHeight="1">
      <c r="A11" s="204"/>
      <c r="B11" s="204"/>
      <c r="C11" s="205"/>
      <c r="D11" s="1281" t="s">
        <v>1993</v>
      </c>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454"/>
    </row>
    <row r="12" spans="1:38">
      <c r="A12" s="204"/>
      <c r="B12" s="204"/>
      <c r="C12" s="205"/>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454"/>
    </row>
    <row r="13" spans="1:38">
      <c r="A13" s="204"/>
      <c r="B13" s="204"/>
      <c r="C13" s="205"/>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454"/>
    </row>
    <row r="14" spans="1:38">
      <c r="A14" s="204"/>
      <c r="B14" s="204"/>
      <c r="C14" s="205"/>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15" customHeight="1">
      <c r="A15" s="204"/>
      <c r="B15" s="204"/>
      <c r="C15" s="205"/>
      <c r="D15" s="1281" t="s">
        <v>2527</v>
      </c>
      <c r="E15" s="1281"/>
      <c r="F15" s="1281"/>
      <c r="G15" s="1281"/>
      <c r="H15" s="1281"/>
      <c r="I15" s="1281"/>
      <c r="J15" s="1281"/>
      <c r="K15" s="1281"/>
      <c r="L15" s="1281"/>
      <c r="M15" s="1281"/>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c r="AL15" s="454"/>
    </row>
    <row r="16" spans="1:38" ht="13.15" customHeight="1">
      <c r="A16" s="204"/>
      <c r="B16" s="204"/>
      <c r="C16" s="205"/>
      <c r="D16" s="1281"/>
      <c r="E16" s="1281"/>
      <c r="F16" s="1281"/>
      <c r="G16" s="1281"/>
      <c r="H16" s="1281"/>
      <c r="I16" s="1281"/>
      <c r="J16" s="1281"/>
      <c r="K16" s="1281"/>
      <c r="L16" s="1281"/>
      <c r="M16" s="1281"/>
      <c r="N16" s="1281"/>
      <c r="O16" s="1281"/>
      <c r="P16" s="1281"/>
      <c r="Q16" s="1281"/>
      <c r="R16" s="1281"/>
      <c r="S16" s="1281"/>
      <c r="T16" s="1281"/>
      <c r="U16" s="1281"/>
      <c r="V16" s="1281"/>
      <c r="W16" s="1281"/>
      <c r="X16" s="1281"/>
      <c r="Y16" s="1281"/>
      <c r="Z16" s="1281"/>
      <c r="AA16" s="1281"/>
      <c r="AB16" s="1281"/>
      <c r="AC16" s="1281"/>
      <c r="AD16" s="1281"/>
      <c r="AE16" s="1281"/>
      <c r="AF16" s="1281"/>
      <c r="AG16" s="1281"/>
      <c r="AH16" s="1281"/>
      <c r="AI16" s="1281"/>
      <c r="AJ16" s="1281"/>
      <c r="AK16" s="1281"/>
      <c r="AL16" s="454"/>
    </row>
    <row r="17" spans="1:38">
      <c r="A17" s="204"/>
      <c r="B17" s="204"/>
      <c r="C17" s="205"/>
      <c r="D17" s="1281"/>
      <c r="E17" s="1281"/>
      <c r="F17" s="1281"/>
      <c r="G17" s="1281"/>
      <c r="H17" s="1281"/>
      <c r="I17" s="1281"/>
      <c r="J17" s="1281"/>
      <c r="K17" s="1281"/>
      <c r="L17" s="1281"/>
      <c r="M17" s="1281"/>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c r="AL17" s="454"/>
    </row>
    <row r="18" spans="1:38">
      <c r="A18" s="204"/>
      <c r="B18" s="204"/>
      <c r="C18" s="205"/>
      <c r="D18" s="518" t="s">
        <v>2526</v>
      </c>
      <c r="E18" s="440"/>
      <c r="G18" s="440"/>
      <c r="H18" s="440"/>
      <c r="I18" s="440"/>
      <c r="J18" s="1283" t="s">
        <v>2525</v>
      </c>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454"/>
    </row>
    <row r="19" spans="1:38">
      <c r="A19" s="204"/>
      <c r="B19" s="204"/>
      <c r="C19" s="205"/>
      <c r="D19" s="440"/>
      <c r="E19" s="440"/>
      <c r="F19" s="1187"/>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15" customHeight="1">
      <c r="A20" s="204"/>
      <c r="B20" s="204"/>
      <c r="C20" s="205"/>
      <c r="D20" s="1281" t="s">
        <v>1994</v>
      </c>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c r="AL20" s="204"/>
    </row>
    <row r="21" spans="1:38">
      <c r="A21" s="204"/>
      <c r="B21" s="204"/>
      <c r="C21" s="205"/>
      <c r="D21" s="1281"/>
      <c r="E21" s="1281"/>
      <c r="F21" s="1281"/>
      <c r="G21" s="1281"/>
      <c r="H21" s="1281"/>
      <c r="I21" s="1281"/>
      <c r="J21" s="1281"/>
      <c r="K21" s="1281"/>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204"/>
    </row>
    <row r="22" spans="1:38">
      <c r="A22" s="204"/>
      <c r="B22" s="204"/>
      <c r="C22" s="205"/>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204"/>
    </row>
    <row r="23" spans="1:38" ht="13.15" customHeight="1">
      <c r="A23" s="204"/>
      <c r="B23" s="204"/>
      <c r="C23" s="205"/>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204"/>
    </row>
    <row r="24" spans="1:38">
      <c r="A24" s="204"/>
      <c r="B24" s="204"/>
      <c r="C24" s="205"/>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204"/>
    </row>
    <row r="25" spans="1:38">
      <c r="A25" s="204"/>
      <c r="B25" s="204"/>
      <c r="C25" s="205"/>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204"/>
    </row>
    <row r="26" spans="1:38">
      <c r="A26" s="204"/>
      <c r="B26" s="204"/>
      <c r="C26" s="205"/>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204"/>
    </row>
    <row r="27" spans="1:38">
      <c r="A27" s="204"/>
      <c r="B27" s="204"/>
      <c r="C27" s="205"/>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204"/>
    </row>
    <row r="28" spans="1:38">
      <c r="A28" s="204"/>
      <c r="B28" s="204"/>
      <c r="C28" s="205"/>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204"/>
    </row>
    <row r="29" spans="1:38">
      <c r="A29" s="204"/>
      <c r="B29" s="204"/>
      <c r="C29" s="205"/>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4"/>
    </row>
    <row r="30" spans="1:38" ht="13.15" customHeight="1">
      <c r="A30" s="204"/>
      <c r="B30" s="204"/>
      <c r="C30" s="205"/>
      <c r="D30" s="1281" t="s">
        <v>1995</v>
      </c>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204"/>
    </row>
    <row r="31" spans="1:38">
      <c r="A31" s="204"/>
      <c r="B31" s="204"/>
      <c r="C31" s="205"/>
      <c r="D31" s="454"/>
      <c r="E31" s="1289" t="s">
        <v>2605</v>
      </c>
      <c r="F31" s="1290"/>
      <c r="G31" s="1290"/>
      <c r="H31" s="1290"/>
      <c r="I31" s="1290"/>
      <c r="J31" s="1290"/>
      <c r="K31" s="1290"/>
      <c r="L31" s="1290"/>
      <c r="M31" s="1290"/>
      <c r="N31" s="1290"/>
      <c r="O31" s="1290"/>
      <c r="P31" s="1290"/>
      <c r="Q31" s="1290"/>
      <c r="R31" s="1290"/>
      <c r="S31" s="1290"/>
      <c r="T31" s="1290"/>
      <c r="U31" s="1290"/>
      <c r="V31" s="1290"/>
      <c r="W31" s="1290"/>
      <c r="X31" s="1290"/>
      <c r="Y31" s="1290"/>
      <c r="Z31" s="1290"/>
      <c r="AA31" s="1290"/>
      <c r="AB31" s="1290"/>
      <c r="AC31" s="1290"/>
      <c r="AD31" s="1290"/>
      <c r="AE31" s="1290"/>
      <c r="AF31" s="1290"/>
      <c r="AG31" s="1290"/>
      <c r="AH31" s="1290"/>
      <c r="AI31" s="1290"/>
      <c r="AJ31" s="1290"/>
      <c r="AK31" s="1290"/>
      <c r="AL31" s="204"/>
    </row>
    <row r="32" spans="1:38">
      <c r="A32" s="4"/>
      <c r="C32" s="2"/>
    </row>
    <row r="33" spans="1:38">
      <c r="A33" s="4"/>
      <c r="D33" s="1282" t="s">
        <v>2095</v>
      </c>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row>
    <row r="34" spans="1:38">
      <c r="A34" s="4"/>
      <c r="D34" s="1282"/>
      <c r="E34" s="1282"/>
      <c r="F34" s="1282"/>
      <c r="G34" s="1282"/>
      <c r="H34" s="1282"/>
      <c r="I34" s="1282"/>
      <c r="J34" s="1282"/>
      <c r="K34" s="1282"/>
      <c r="L34" s="1282"/>
      <c r="M34" s="1282"/>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282"/>
    </row>
    <row r="35" spans="1:38">
      <c r="A35" s="4"/>
      <c r="D35" s="120"/>
      <c r="E35" s="1288" t="s">
        <v>2606</v>
      </c>
      <c r="F35" s="1288"/>
      <c r="G35" s="1288"/>
      <c r="H35" s="1288"/>
      <c r="I35" s="1288"/>
      <c r="J35" s="1288"/>
      <c r="K35" s="1288"/>
      <c r="L35" s="1288"/>
      <c r="M35" s="1288"/>
      <c r="N35" s="1288"/>
      <c r="O35" s="1288"/>
      <c r="P35" s="1288"/>
      <c r="Q35" s="1288"/>
      <c r="R35" s="1288"/>
      <c r="S35" s="1288"/>
      <c r="T35" s="1288"/>
      <c r="U35" s="1288"/>
      <c r="V35" s="1288"/>
      <c r="W35" s="1288"/>
      <c r="X35" s="1288"/>
      <c r="Y35" s="1288"/>
      <c r="Z35" s="1288"/>
      <c r="AA35" s="1288"/>
      <c r="AB35" s="1288"/>
      <c r="AC35" s="1288"/>
      <c r="AD35" s="1288"/>
      <c r="AE35" s="1288"/>
      <c r="AF35" s="1288"/>
      <c r="AG35" s="1288"/>
      <c r="AH35" s="1288"/>
      <c r="AI35" s="1288"/>
      <c r="AJ35" s="1288"/>
      <c r="AK35" s="1288"/>
    </row>
    <row r="36" spans="1:38">
      <c r="A36" s="4"/>
      <c r="D36" s="120"/>
      <c r="E36" s="1288" t="s">
        <v>2607</v>
      </c>
      <c r="F36" s="1288"/>
      <c r="G36" s="1288"/>
      <c r="H36" s="1288"/>
      <c r="I36" s="1288"/>
      <c r="J36" s="1288"/>
      <c r="K36" s="1288"/>
      <c r="L36" s="1288"/>
      <c r="M36" s="1288"/>
      <c r="N36" s="1288"/>
      <c r="O36" s="1288"/>
      <c r="P36" s="1288"/>
      <c r="Q36" s="1288"/>
      <c r="R36" s="1288"/>
      <c r="S36" s="1288"/>
      <c r="T36" s="1288"/>
      <c r="U36" s="1288"/>
      <c r="V36" s="1288"/>
      <c r="W36" s="1288"/>
      <c r="X36" s="1288"/>
      <c r="Y36" s="1288"/>
      <c r="Z36" s="1288"/>
      <c r="AA36" s="1288"/>
      <c r="AB36" s="1288"/>
      <c r="AC36" s="1288"/>
      <c r="AD36" s="1288"/>
      <c r="AE36" s="1288"/>
      <c r="AF36" s="1288"/>
      <c r="AG36" s="1288"/>
      <c r="AH36" s="1288"/>
      <c r="AI36" s="1288"/>
      <c r="AJ36" s="1288"/>
      <c r="AK36" s="128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81" customFormat="1" ht="13.15" customHeight="1">
      <c r="A40" s="4"/>
      <c r="B40"/>
      <c r="C40" s="2"/>
      <c r="D40" s="4"/>
      <c r="E40" s="4" t="s">
        <v>651</v>
      </c>
      <c r="F40" s="1281" t="s">
        <v>1162</v>
      </c>
    </row>
    <row r="41" spans="1:38" s="1281" customFormat="1" ht="13.15" customHeight="1">
      <c r="A41" s="4"/>
      <c r="B41"/>
      <c r="C41" s="2"/>
      <c r="D41" s="4"/>
      <c r="E41" s="4"/>
    </row>
    <row r="42" spans="1:38">
      <c r="A42" s="4"/>
      <c r="C42" s="2"/>
      <c r="D42" s="4"/>
      <c r="E42" s="4"/>
      <c r="F42" s="35" t="s">
        <v>685</v>
      </c>
      <c r="G42" s="4" t="s">
        <v>175</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15" customHeight="1">
      <c r="A43" s="4"/>
      <c r="B43"/>
      <c r="C43" s="2"/>
      <c r="D43" s="4"/>
      <c r="E43" s="3" t="s">
        <v>347</v>
      </c>
      <c r="F43" s="1286" t="s">
        <v>1244</v>
      </c>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c r="AD43" s="1286"/>
      <c r="AE43" s="1286"/>
      <c r="AF43" s="1286"/>
      <c r="AG43" s="1286"/>
      <c r="AH43" s="1286"/>
      <c r="AI43" s="1286"/>
      <c r="AJ43" s="1286"/>
      <c r="AK43" s="1286"/>
      <c r="AL43" s="1286"/>
    </row>
    <row r="44" spans="1:38" s="118" customFormat="1">
      <c r="A44" s="4"/>
      <c r="B44"/>
      <c r="C44" s="2"/>
      <c r="D44" s="4"/>
      <c r="E44" s="4"/>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c r="AD44" s="1286"/>
      <c r="AE44" s="1286"/>
      <c r="AF44" s="1286"/>
      <c r="AG44" s="1286"/>
      <c r="AH44" s="1286"/>
      <c r="AI44" s="1286"/>
      <c r="AJ44" s="1286"/>
      <c r="AK44" s="1286"/>
      <c r="AL44" s="1286"/>
    </row>
    <row r="45" spans="1:38" s="118" customFormat="1" ht="13.15" customHeight="1">
      <c r="A45" s="4"/>
      <c r="B45"/>
      <c r="C45" s="2"/>
      <c r="D45" s="4"/>
      <c r="E45" s="4"/>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c r="AI45" s="1286"/>
      <c r="AJ45" s="1286"/>
      <c r="AK45" s="1286"/>
      <c r="AL45" s="1286"/>
    </row>
    <row r="46" spans="1:38">
      <c r="A46" s="4"/>
      <c r="C46" s="2"/>
      <c r="D46" s="4"/>
      <c r="E46" s="4"/>
      <c r="F46" s="118" t="s">
        <v>685</v>
      </c>
      <c r="G46" s="3" t="s">
        <v>1996</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348</v>
      </c>
      <c r="F48" s="1281" t="s">
        <v>1997</v>
      </c>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row>
    <row r="49" spans="1:38">
      <c r="A49" s="4"/>
      <c r="C49" s="2"/>
      <c r="D49" s="4"/>
      <c r="E49" s="4"/>
      <c r="F49" s="1281"/>
      <c r="G49" s="1281"/>
      <c r="H49" s="1281"/>
      <c r="I49" s="1281"/>
      <c r="J49" s="1281"/>
      <c r="K49" s="1281"/>
      <c r="L49" s="1281"/>
      <c r="M49" s="1281"/>
      <c r="N49" s="1281"/>
      <c r="O49" s="1281"/>
      <c r="P49" s="1281"/>
      <c r="Q49" s="1281"/>
      <c r="R49" s="1281"/>
      <c r="S49" s="1281"/>
      <c r="T49" s="1281"/>
      <c r="U49" s="1281"/>
      <c r="V49" s="1281"/>
      <c r="W49" s="1281"/>
      <c r="X49" s="1281"/>
      <c r="Y49" s="1281"/>
      <c r="Z49" s="1281"/>
      <c r="AA49" s="1281"/>
      <c r="AB49" s="1281"/>
      <c r="AC49" s="1281"/>
      <c r="AD49" s="1281"/>
      <c r="AE49" s="1281"/>
      <c r="AF49" s="1281"/>
      <c r="AG49" s="1281"/>
      <c r="AH49" s="1281"/>
      <c r="AI49" s="1281"/>
      <c r="AJ49" s="1281"/>
      <c r="AK49" s="1281"/>
    </row>
    <row r="50" spans="1:38">
      <c r="A50" s="4"/>
      <c r="C50" s="2"/>
      <c r="D50" s="4"/>
      <c r="F50" s="1281"/>
      <c r="G50" s="1281"/>
      <c r="H50" s="1281"/>
      <c r="I50" s="1281"/>
      <c r="J50" s="1281"/>
      <c r="K50" s="1281"/>
      <c r="L50" s="1281"/>
      <c r="M50" s="1281"/>
      <c r="N50" s="1281"/>
      <c r="O50" s="1281"/>
      <c r="P50" s="1281"/>
      <c r="Q50" s="1281"/>
      <c r="R50" s="1281"/>
      <c r="S50" s="1281"/>
      <c r="T50" s="1281"/>
      <c r="U50" s="1281"/>
      <c r="V50" s="1281"/>
      <c r="W50" s="1281"/>
      <c r="X50" s="1281"/>
      <c r="Y50" s="1281"/>
      <c r="Z50" s="1281"/>
      <c r="AA50" s="1281"/>
      <c r="AB50" s="1281"/>
      <c r="AC50" s="1281"/>
      <c r="AD50" s="1281"/>
      <c r="AE50" s="1281"/>
      <c r="AF50" s="1281"/>
      <c r="AG50" s="1281"/>
      <c r="AH50" s="1281"/>
      <c r="AI50" s="1281"/>
      <c r="AJ50" s="1281"/>
      <c r="AK50" s="128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84" t="s">
        <v>1189</v>
      </c>
      <c r="H54" s="1284"/>
      <c r="I54" s="1284"/>
      <c r="J54" s="1284"/>
      <c r="K54" s="1284"/>
      <c r="L54" s="1284"/>
      <c r="M54" s="1284"/>
      <c r="N54" s="1284"/>
      <c r="O54" s="1284"/>
      <c r="P54" s="1284"/>
      <c r="Q54" s="1284"/>
      <c r="R54" s="1284"/>
      <c r="S54" s="1284"/>
      <c r="T54" s="1284"/>
      <c r="U54" s="1284"/>
      <c r="V54" s="1284"/>
      <c r="W54" s="1284"/>
      <c r="X54" s="1284"/>
      <c r="Y54" s="1284"/>
      <c r="Z54" s="1284"/>
      <c r="AA54" s="1284"/>
      <c r="AB54" s="1284"/>
      <c r="AC54" s="1284"/>
      <c r="AD54" s="1284"/>
      <c r="AE54" s="1284"/>
      <c r="AF54" s="1284"/>
      <c r="AG54" s="1284"/>
      <c r="AH54" s="1284"/>
      <c r="AI54" s="1284"/>
      <c r="AJ54" s="1284"/>
      <c r="AK54" s="1284"/>
      <c r="AL54" s="204"/>
    </row>
    <row r="55" spans="1:38" ht="13.15" customHeight="1">
      <c r="A55" s="204"/>
      <c r="B55" s="204"/>
      <c r="C55" s="205"/>
      <c r="D55" s="205"/>
      <c r="E55" s="204"/>
      <c r="F55" s="206"/>
      <c r="G55" s="477" t="s">
        <v>1191</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4"/>
    </row>
    <row r="56" spans="1:38">
      <c r="A56" s="204"/>
      <c r="B56" s="204"/>
      <c r="C56" s="205"/>
      <c r="D56" s="205"/>
      <c r="E56" s="204"/>
      <c r="F56" s="206"/>
      <c r="G56" s="1284" t="s">
        <v>573</v>
      </c>
      <c r="H56" s="1284"/>
      <c r="I56" s="1284"/>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4"/>
    </row>
    <row r="57" spans="1:38" ht="13.15" customHeight="1">
      <c r="A57" s="204"/>
      <c r="B57" s="205"/>
      <c r="C57" s="205"/>
      <c r="D57" s="205"/>
      <c r="E57" s="204"/>
      <c r="F57" s="206" t="s">
        <v>507</v>
      </c>
      <c r="G57" s="1284" t="s">
        <v>1998</v>
      </c>
      <c r="H57" s="1284"/>
      <c r="I57" s="1284"/>
      <c r="J57" s="1284"/>
      <c r="K57" s="1284"/>
      <c r="L57" s="1284"/>
      <c r="M57" s="1284"/>
      <c r="N57" s="1284"/>
      <c r="O57" s="1284"/>
      <c r="P57" s="1284"/>
      <c r="Q57" s="1284"/>
      <c r="R57" s="1284"/>
      <c r="S57" s="1284"/>
      <c r="T57" s="1284"/>
      <c r="U57" s="1284"/>
      <c r="V57" s="1284"/>
      <c r="W57" s="1284"/>
      <c r="X57" s="1284"/>
      <c r="Y57" s="1284"/>
      <c r="Z57" s="1284"/>
      <c r="AA57" s="1284"/>
      <c r="AB57" s="1284"/>
      <c r="AC57" s="1284"/>
      <c r="AD57" s="1284"/>
      <c r="AE57" s="1284"/>
      <c r="AF57" s="1284"/>
      <c r="AG57" s="1284"/>
      <c r="AH57" s="1284"/>
      <c r="AI57" s="1284"/>
      <c r="AJ57" s="1284"/>
      <c r="AK57" s="1284"/>
      <c r="AL57" s="1284"/>
    </row>
    <row r="58" spans="1:38">
      <c r="A58" s="204"/>
      <c r="B58" s="204"/>
      <c r="C58" s="205"/>
      <c r="D58" s="205"/>
      <c r="E58" s="204"/>
      <c r="F58" s="206"/>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c r="AJ58" s="1284"/>
      <c r="AK58" s="1284"/>
      <c r="AL58" s="1284"/>
    </row>
    <row r="59" spans="1:38">
      <c r="A59" s="204"/>
      <c r="B59" s="204"/>
      <c r="C59" s="205"/>
      <c r="D59" s="205"/>
      <c r="E59" s="204"/>
      <c r="F59" s="206"/>
      <c r="G59" s="478" t="s">
        <v>1277</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81" t="s">
        <v>1164</v>
      </c>
      <c r="H64" s="1281"/>
      <c r="I64" s="1281"/>
      <c r="J64" s="1281"/>
      <c r="K64" s="1281"/>
      <c r="L64" s="1281"/>
      <c r="M64" s="1281"/>
      <c r="N64" s="1281"/>
      <c r="O64" s="1281"/>
      <c r="P64" s="1281"/>
      <c r="Q64" s="1281"/>
      <c r="R64" s="1281"/>
      <c r="S64" s="1281"/>
      <c r="T64" s="1281"/>
      <c r="U64" s="1281"/>
      <c r="V64" s="1281"/>
      <c r="W64" s="1281"/>
      <c r="X64" s="1281"/>
      <c r="Y64" s="1281"/>
      <c r="Z64" s="1281"/>
      <c r="AA64" s="1281"/>
      <c r="AB64" s="1281"/>
      <c r="AC64" s="1281"/>
      <c r="AD64" s="1281"/>
      <c r="AE64" s="1281"/>
      <c r="AF64" s="1281"/>
      <c r="AG64" s="1281"/>
      <c r="AH64" s="1281"/>
      <c r="AI64" s="1281"/>
      <c r="AJ64" s="1281"/>
      <c r="AK64" s="1281"/>
    </row>
    <row r="65" spans="1:37">
      <c r="A65" s="4"/>
      <c r="C65" s="2"/>
      <c r="D65" s="4"/>
      <c r="E65" s="4"/>
      <c r="G65" s="1281"/>
      <c r="H65" s="1281"/>
      <c r="I65" s="1281"/>
      <c r="J65" s="1281"/>
      <c r="K65" s="1281"/>
      <c r="L65" s="1281"/>
      <c r="M65" s="1281"/>
      <c r="N65" s="1281"/>
      <c r="O65" s="1281"/>
      <c r="P65" s="1281"/>
      <c r="Q65" s="1281"/>
      <c r="R65" s="1281"/>
      <c r="S65" s="1281"/>
      <c r="T65" s="1281"/>
      <c r="U65" s="1281"/>
      <c r="V65" s="1281"/>
      <c r="W65" s="1281"/>
      <c r="X65" s="1281"/>
      <c r="Y65" s="1281"/>
      <c r="Z65" s="1281"/>
      <c r="AA65" s="1281"/>
      <c r="AB65" s="1281"/>
      <c r="AC65" s="1281"/>
      <c r="AD65" s="1281"/>
      <c r="AE65" s="1281"/>
      <c r="AF65" s="1281"/>
      <c r="AG65" s="1281"/>
      <c r="AH65" s="1281"/>
      <c r="AI65" s="1281"/>
      <c r="AJ65" s="1281"/>
      <c r="AK65" s="1281"/>
    </row>
    <row r="66" spans="1:37">
      <c r="A66" s="4"/>
      <c r="C66" s="2"/>
      <c r="D66" s="4"/>
      <c r="E66" s="4"/>
      <c r="G66" s="1281"/>
      <c r="H66" s="1281"/>
      <c r="I66" s="1281"/>
      <c r="J66" s="1281"/>
      <c r="K66" s="1281"/>
      <c r="L66" s="1281"/>
      <c r="M66" s="1281"/>
      <c r="N66" s="1281"/>
      <c r="O66" s="1281"/>
      <c r="P66" s="1281"/>
      <c r="Q66" s="1281"/>
      <c r="R66" s="1281"/>
      <c r="S66" s="1281"/>
      <c r="T66" s="1281"/>
      <c r="U66" s="1281"/>
      <c r="V66" s="1281"/>
      <c r="W66" s="1281"/>
      <c r="X66" s="1281"/>
      <c r="Y66" s="1281"/>
      <c r="Z66" s="1281"/>
      <c r="AA66" s="1281"/>
      <c r="AB66" s="1281"/>
      <c r="AC66" s="1281"/>
      <c r="AD66" s="1281"/>
      <c r="AE66" s="1281"/>
      <c r="AF66" s="1281"/>
      <c r="AG66" s="1281"/>
      <c r="AH66" s="1281"/>
      <c r="AI66" s="1281"/>
      <c r="AJ66" s="1281"/>
      <c r="AK66" s="1281"/>
    </row>
    <row r="67" spans="1:37" ht="13.15" customHeight="1">
      <c r="A67" s="4"/>
      <c r="C67" s="2"/>
      <c r="D67" s="4"/>
      <c r="E67" s="4"/>
      <c r="F67" t="s">
        <v>507</v>
      </c>
      <c r="G67" s="1281" t="s">
        <v>1165</v>
      </c>
      <c r="H67" s="1281"/>
      <c r="I67" s="1281"/>
      <c r="J67" s="1281"/>
      <c r="K67" s="1281"/>
      <c r="L67" s="1281"/>
      <c r="M67" s="1281"/>
      <c r="N67" s="1281"/>
      <c r="O67" s="1281"/>
      <c r="P67" s="1281"/>
      <c r="Q67" s="1281"/>
      <c r="R67" s="1281"/>
      <c r="S67" s="1281"/>
      <c r="T67" s="1281"/>
      <c r="U67" s="1281"/>
      <c r="V67" s="1281"/>
      <c r="W67" s="1281"/>
      <c r="X67" s="1281"/>
      <c r="Y67" s="1281"/>
      <c r="Z67" s="1281"/>
      <c r="AA67" s="1281"/>
      <c r="AB67" s="1281"/>
      <c r="AC67" s="1281"/>
      <c r="AD67" s="1281"/>
      <c r="AE67" s="1281"/>
      <c r="AF67" s="1281"/>
      <c r="AG67" s="1281"/>
      <c r="AH67" s="1281"/>
      <c r="AI67" s="1281"/>
      <c r="AJ67" s="1281"/>
      <c r="AK67" s="1281"/>
    </row>
    <row r="68" spans="1:37">
      <c r="A68" s="4"/>
      <c r="C68" s="2"/>
      <c r="D68" s="4"/>
      <c r="E68" s="4"/>
      <c r="F68" s="27"/>
      <c r="G68" s="1281"/>
      <c r="H68" s="1281"/>
      <c r="I68" s="1281"/>
      <c r="J68" s="1281"/>
      <c r="K68" s="1281"/>
      <c r="L68" s="1281"/>
      <c r="M68" s="1281"/>
      <c r="N68" s="1281"/>
      <c r="O68" s="1281"/>
      <c r="P68" s="1281"/>
      <c r="Q68" s="1281"/>
      <c r="R68" s="1281"/>
      <c r="S68" s="1281"/>
      <c r="T68" s="1281"/>
      <c r="U68" s="1281"/>
      <c r="V68" s="1281"/>
      <c r="W68" s="1281"/>
      <c r="X68" s="1281"/>
      <c r="Y68" s="1281"/>
      <c r="Z68" s="1281"/>
      <c r="AA68" s="1281"/>
      <c r="AB68" s="1281"/>
      <c r="AC68" s="1281"/>
      <c r="AD68" s="1281"/>
      <c r="AE68" s="1281"/>
      <c r="AF68" s="1281"/>
      <c r="AG68" s="1281"/>
      <c r="AH68" s="1281"/>
      <c r="AI68" s="1281"/>
      <c r="AJ68" s="1281"/>
      <c r="AK68" s="1281"/>
    </row>
    <row r="69" spans="1:37">
      <c r="A69" s="4"/>
      <c r="C69" s="2"/>
      <c r="D69" s="4"/>
      <c r="E69" s="4" t="s">
        <v>347</v>
      </c>
      <c r="F69" s="4" t="s">
        <v>420</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c r="A70" s="4"/>
      <c r="C70" s="2"/>
      <c r="D70" s="4"/>
      <c r="E70" s="4"/>
      <c r="F70" s="8" t="s">
        <v>685</v>
      </c>
      <c r="G70" s="1281" t="s">
        <v>1166</v>
      </c>
      <c r="H70" s="1281"/>
      <c r="I70" s="1281"/>
      <c r="J70" s="1281"/>
      <c r="K70" s="1281"/>
      <c r="L70" s="1281"/>
      <c r="M70" s="1281"/>
      <c r="N70" s="1281"/>
      <c r="O70" s="1281"/>
      <c r="P70" s="1281"/>
      <c r="Q70" s="1281"/>
      <c r="R70" s="1281"/>
      <c r="S70" s="1281"/>
      <c r="T70" s="1281"/>
      <c r="U70" s="1281"/>
      <c r="V70" s="1281"/>
      <c r="W70" s="1281"/>
      <c r="X70" s="1281"/>
      <c r="Y70" s="1281"/>
      <c r="Z70" s="1281"/>
      <c r="AA70" s="1281"/>
      <c r="AB70" s="1281"/>
      <c r="AC70" s="1281"/>
      <c r="AD70" s="1281"/>
      <c r="AE70" s="1281"/>
      <c r="AF70" s="1281"/>
      <c r="AG70" s="1281"/>
      <c r="AH70" s="1281"/>
      <c r="AI70" s="1281"/>
      <c r="AJ70" s="1281"/>
      <c r="AK70" s="1281"/>
    </row>
    <row r="71" spans="1:37">
      <c r="A71" s="4"/>
      <c r="C71" s="2"/>
      <c r="D71" s="4"/>
      <c r="E71" s="4"/>
      <c r="F71" s="8"/>
      <c r="G71" s="1281"/>
      <c r="H71" s="1281"/>
      <c r="I71" s="1281"/>
      <c r="J71" s="1281"/>
      <c r="K71" s="1281"/>
      <c r="L71" s="1281"/>
      <c r="M71" s="1281"/>
      <c r="N71" s="1281"/>
      <c r="O71" s="1281"/>
      <c r="P71" s="1281"/>
      <c r="Q71" s="1281"/>
      <c r="R71" s="1281"/>
      <c r="S71" s="1281"/>
      <c r="T71" s="1281"/>
      <c r="U71" s="1281"/>
      <c r="V71" s="1281"/>
      <c r="W71" s="1281"/>
      <c r="X71" s="1281"/>
      <c r="Y71" s="1281"/>
      <c r="Z71" s="1281"/>
      <c r="AA71" s="1281"/>
      <c r="AB71" s="1281"/>
      <c r="AC71" s="1281"/>
      <c r="AD71" s="1281"/>
      <c r="AE71" s="1281"/>
      <c r="AF71" s="1281"/>
      <c r="AG71" s="1281"/>
      <c r="AH71" s="1281"/>
      <c r="AI71" s="1281"/>
      <c r="AJ71" s="1281"/>
      <c r="AK71" s="1281"/>
    </row>
    <row r="72" spans="1:37">
      <c r="A72" s="4"/>
      <c r="C72" s="2"/>
      <c r="D72" s="4"/>
      <c r="E72" s="4"/>
      <c r="F72" s="8" t="s">
        <v>507</v>
      </c>
      <c r="G72" s="1281" t="s">
        <v>1167</v>
      </c>
      <c r="H72" s="1281"/>
      <c r="I72" s="1281"/>
      <c r="J72" s="1281"/>
      <c r="K72" s="1281"/>
      <c r="L72" s="1281"/>
      <c r="M72" s="1281"/>
      <c r="N72" s="1281"/>
      <c r="O72" s="1281"/>
      <c r="P72" s="1281"/>
      <c r="Q72" s="1281"/>
      <c r="R72" s="1281"/>
      <c r="S72" s="1281"/>
      <c r="T72" s="1281"/>
      <c r="U72" s="1281"/>
      <c r="V72" s="1281"/>
      <c r="W72" s="1281"/>
      <c r="X72" s="1281"/>
      <c r="Y72" s="1281"/>
      <c r="Z72" s="1281"/>
      <c r="AA72" s="1281"/>
      <c r="AB72" s="1281"/>
      <c r="AC72" s="1281"/>
      <c r="AD72" s="1281"/>
      <c r="AE72" s="1281"/>
      <c r="AF72" s="1281"/>
      <c r="AG72" s="1281"/>
      <c r="AH72" s="1281"/>
      <c r="AI72" s="1281"/>
      <c r="AJ72" s="1281"/>
      <c r="AK72" s="1281"/>
    </row>
    <row r="73" spans="1:37">
      <c r="A73" s="4"/>
      <c r="C73" s="2"/>
      <c r="D73" s="4"/>
      <c r="E73" s="4"/>
      <c r="F73" s="8"/>
      <c r="G73" s="1281"/>
      <c r="H73" s="1281"/>
      <c r="I73" s="1281"/>
      <c r="J73" s="1281"/>
      <c r="K73" s="1281"/>
      <c r="L73" s="1281"/>
      <c r="M73" s="1281"/>
      <c r="N73" s="1281"/>
      <c r="O73" s="1281"/>
      <c r="P73" s="1281"/>
      <c r="Q73" s="1281"/>
      <c r="R73" s="1281"/>
      <c r="S73" s="1281"/>
      <c r="T73" s="1281"/>
      <c r="U73" s="1281"/>
      <c r="V73" s="1281"/>
      <c r="W73" s="1281"/>
      <c r="X73" s="1281"/>
      <c r="Y73" s="1281"/>
      <c r="Z73" s="1281"/>
      <c r="AA73" s="1281"/>
      <c r="AB73" s="1281"/>
      <c r="AC73" s="1281"/>
      <c r="AD73" s="1281"/>
      <c r="AE73" s="1281"/>
      <c r="AF73" s="1281"/>
      <c r="AG73" s="1281"/>
      <c r="AH73" s="1281"/>
      <c r="AI73" s="1281"/>
      <c r="AJ73" s="1281"/>
      <c r="AK73" s="1281"/>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81" t="s">
        <v>1168</v>
      </c>
      <c r="H80" s="1281"/>
      <c r="I80" s="1281"/>
      <c r="J80" s="1281"/>
      <c r="K80" s="1281"/>
      <c r="L80" s="1281"/>
      <c r="M80" s="1281"/>
      <c r="N80" s="1281"/>
      <c r="O80" s="1281"/>
      <c r="P80" s="1281"/>
      <c r="Q80" s="1281"/>
      <c r="R80" s="1281"/>
      <c r="S80" s="1281"/>
      <c r="T80" s="1281"/>
      <c r="U80" s="1281"/>
      <c r="V80" s="1281"/>
      <c r="W80" s="1281"/>
      <c r="X80" s="1281"/>
      <c r="Y80" s="1281"/>
      <c r="Z80" s="1281"/>
      <c r="AA80" s="1281"/>
      <c r="AB80" s="1281"/>
      <c r="AC80" s="1281"/>
      <c r="AD80" s="1281"/>
      <c r="AE80" s="1281"/>
      <c r="AF80" s="1281"/>
      <c r="AG80" s="1281"/>
      <c r="AH80" s="1281"/>
      <c r="AI80" s="1281"/>
      <c r="AJ80" s="1281"/>
      <c r="AK80" s="1281"/>
    </row>
    <row r="81" spans="1:37">
      <c r="A81" s="4"/>
      <c r="C81" s="2"/>
      <c r="D81" s="4"/>
      <c r="E81" s="4"/>
      <c r="F81" s="4"/>
      <c r="G81" s="1281"/>
      <c r="H81" s="1281"/>
      <c r="I81" s="1281"/>
      <c r="J81" s="1281"/>
      <c r="K81" s="1281"/>
      <c r="L81" s="1281"/>
      <c r="M81" s="1281"/>
      <c r="N81" s="1281"/>
      <c r="O81" s="1281"/>
      <c r="P81" s="1281"/>
      <c r="Q81" s="1281"/>
      <c r="R81" s="1281"/>
      <c r="S81" s="1281"/>
      <c r="T81" s="1281"/>
      <c r="U81" s="1281"/>
      <c r="V81" s="1281"/>
      <c r="W81" s="1281"/>
      <c r="X81" s="1281"/>
      <c r="Y81" s="1281"/>
      <c r="Z81" s="1281"/>
      <c r="AA81" s="1281"/>
      <c r="AB81" s="1281"/>
      <c r="AC81" s="1281"/>
      <c r="AD81" s="1281"/>
      <c r="AE81" s="1281"/>
      <c r="AF81" s="1281"/>
      <c r="AG81" s="1281"/>
      <c r="AH81" s="1281"/>
      <c r="AI81" s="1281"/>
      <c r="AJ81" s="1281"/>
      <c r="AK81" s="1281"/>
    </row>
    <row r="82" spans="1:37">
      <c r="A82" s="4"/>
      <c r="C82" s="2"/>
      <c r="D82" s="4"/>
      <c r="E82" s="4"/>
      <c r="F82" s="4"/>
      <c r="G82" s="1281"/>
      <c r="H82" s="1281"/>
      <c r="I82" s="1281"/>
      <c r="J82" s="1281"/>
      <c r="K82" s="1281"/>
      <c r="L82" s="1281"/>
      <c r="M82" s="1281"/>
      <c r="N82" s="1281"/>
      <c r="O82" s="1281"/>
      <c r="P82" s="1281"/>
      <c r="Q82" s="1281"/>
      <c r="R82" s="1281"/>
      <c r="S82" s="1281"/>
      <c r="T82" s="1281"/>
      <c r="U82" s="1281"/>
      <c r="V82" s="1281"/>
      <c r="W82" s="1281"/>
      <c r="X82" s="1281"/>
      <c r="Y82" s="1281"/>
      <c r="Z82" s="1281"/>
      <c r="AA82" s="1281"/>
      <c r="AB82" s="1281"/>
      <c r="AC82" s="1281"/>
      <c r="AD82" s="1281"/>
      <c r="AE82" s="1281"/>
      <c r="AF82" s="1281"/>
      <c r="AG82" s="1281"/>
      <c r="AH82" s="1281"/>
      <c r="AI82" s="1281"/>
      <c r="AJ82" s="1281"/>
      <c r="AK82" s="1281"/>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81" t="s">
        <v>1169</v>
      </c>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row>
    <row r="85" spans="1:37">
      <c r="A85" s="4"/>
      <c r="C85" s="2"/>
      <c r="D85" s="4"/>
      <c r="E85" s="4"/>
      <c r="F85" s="4"/>
      <c r="G85" s="1281"/>
      <c r="H85" s="1281"/>
      <c r="I85" s="1281"/>
      <c r="J85" s="1281"/>
      <c r="K85" s="1281"/>
      <c r="L85" s="1281"/>
      <c r="M85" s="1281"/>
      <c r="N85" s="1281"/>
      <c r="O85" s="1281"/>
      <c r="P85" s="1281"/>
      <c r="Q85" s="1281"/>
      <c r="R85" s="1281"/>
      <c r="S85" s="1281"/>
      <c r="T85" s="1281"/>
      <c r="U85" s="1281"/>
      <c r="V85" s="1281"/>
      <c r="W85" s="1281"/>
      <c r="X85" s="1281"/>
      <c r="Y85" s="1281"/>
      <c r="Z85" s="1281"/>
      <c r="AA85" s="1281"/>
      <c r="AB85" s="1281"/>
      <c r="AC85" s="1281"/>
      <c r="AD85" s="1281"/>
      <c r="AE85" s="1281"/>
      <c r="AF85" s="1281"/>
      <c r="AG85" s="1281"/>
      <c r="AH85" s="1281"/>
      <c r="AI85" s="1281"/>
      <c r="AJ85" s="1281"/>
      <c r="AK85" s="1281"/>
    </row>
    <row r="86" spans="1:37">
      <c r="A86" s="4"/>
      <c r="C86" s="2"/>
      <c r="D86" s="4"/>
      <c r="E86" s="4"/>
      <c r="G86" s="1281"/>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91" t="s">
        <v>1170</v>
      </c>
      <c r="H88" s="1291"/>
      <c r="I88" s="1291"/>
      <c r="J88" s="1291"/>
      <c r="K88" s="1291"/>
      <c r="L88" s="1291"/>
      <c r="M88" s="1291"/>
      <c r="N88" s="1291"/>
      <c r="O88" s="1291"/>
      <c r="P88" s="1291"/>
      <c r="Q88" s="1291"/>
      <c r="R88" s="1291"/>
      <c r="S88" s="1291"/>
      <c r="T88" s="1291"/>
      <c r="U88" s="1291"/>
      <c r="V88" s="1291"/>
      <c r="W88" s="1291"/>
      <c r="X88" s="1291"/>
      <c r="Y88" s="1291"/>
      <c r="Z88" s="1291"/>
      <c r="AA88" s="1291"/>
      <c r="AB88" s="1291"/>
      <c r="AC88" s="1291"/>
      <c r="AD88" s="1291"/>
      <c r="AE88" s="1291"/>
      <c r="AF88" s="1291"/>
      <c r="AG88" s="1291"/>
      <c r="AH88" s="1291"/>
      <c r="AI88" s="1291"/>
      <c r="AJ88" s="1291"/>
      <c r="AK88" s="1291"/>
    </row>
    <row r="89" spans="1:37">
      <c r="A89" s="4"/>
      <c r="C89" s="2"/>
      <c r="D89" s="4"/>
      <c r="E89" s="4"/>
      <c r="G89" s="1291"/>
      <c r="H89" s="1291"/>
      <c r="I89" s="1291"/>
      <c r="J89" s="1291"/>
      <c r="K89" s="1291"/>
      <c r="L89" s="1291"/>
      <c r="M89" s="1291"/>
      <c r="N89" s="1291"/>
      <c r="O89" s="1291"/>
      <c r="P89" s="1291"/>
      <c r="Q89" s="1291"/>
      <c r="R89" s="1291"/>
      <c r="S89" s="1291"/>
      <c r="T89" s="1291"/>
      <c r="U89" s="1291"/>
      <c r="V89" s="1291"/>
      <c r="W89" s="1291"/>
      <c r="X89" s="1291"/>
      <c r="Y89" s="1291"/>
      <c r="Z89" s="1291"/>
      <c r="AA89" s="1291"/>
      <c r="AB89" s="1291"/>
      <c r="AC89" s="1291"/>
      <c r="AD89" s="1291"/>
      <c r="AE89" s="1291"/>
      <c r="AF89" s="1291"/>
      <c r="AG89" s="1291"/>
      <c r="AH89" s="1291"/>
      <c r="AI89" s="1291"/>
      <c r="AJ89" s="1291"/>
      <c r="AK89" s="1291"/>
    </row>
    <row r="90" spans="1:37">
      <c r="A90" s="4"/>
      <c r="C90" s="2"/>
      <c r="D90" s="4"/>
      <c r="E90" s="4"/>
      <c r="G90" s="1291"/>
      <c r="H90" s="1291"/>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c r="AK90" s="1291"/>
    </row>
    <row r="91" spans="1:37">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81" t="s">
        <v>1171</v>
      </c>
      <c r="H92" s="1281"/>
      <c r="I92" s="1281"/>
      <c r="J92" s="1281"/>
      <c r="K92" s="1281"/>
      <c r="L92" s="1281"/>
      <c r="M92" s="1281"/>
      <c r="N92" s="1281"/>
      <c r="O92" s="1281"/>
      <c r="P92" s="1281"/>
      <c r="Q92" s="1281"/>
      <c r="R92" s="1281"/>
      <c r="S92" s="1281"/>
      <c r="T92" s="1281"/>
      <c r="U92" s="1281"/>
      <c r="V92" s="1281"/>
      <c r="W92" s="1281"/>
      <c r="X92" s="1281"/>
      <c r="Y92" s="1281"/>
      <c r="Z92" s="1281"/>
      <c r="AA92" s="1281"/>
      <c r="AB92" s="1281"/>
      <c r="AC92" s="1281"/>
      <c r="AD92" s="1281"/>
      <c r="AE92" s="1281"/>
      <c r="AF92" s="1281"/>
      <c r="AG92" s="1281"/>
      <c r="AH92" s="1281"/>
      <c r="AI92" s="1281"/>
      <c r="AJ92" s="1281"/>
      <c r="AK92" s="1281"/>
    </row>
    <row r="93" spans="1:37">
      <c r="A93" s="4"/>
      <c r="C93" s="2"/>
      <c r="D93" s="4"/>
      <c r="E93" s="4"/>
      <c r="G93" s="1281"/>
      <c r="H93" s="1281"/>
      <c r="I93" s="1281"/>
      <c r="J93" s="1281"/>
      <c r="K93" s="1281"/>
      <c r="L93" s="1281"/>
      <c r="M93" s="1281"/>
      <c r="N93" s="1281"/>
      <c r="O93" s="1281"/>
      <c r="P93" s="1281"/>
      <c r="Q93" s="1281"/>
      <c r="R93" s="1281"/>
      <c r="S93" s="1281"/>
      <c r="T93" s="1281"/>
      <c r="U93" s="1281"/>
      <c r="V93" s="1281"/>
      <c r="W93" s="1281"/>
      <c r="X93" s="1281"/>
      <c r="Y93" s="1281"/>
      <c r="Z93" s="1281"/>
      <c r="AA93" s="1281"/>
      <c r="AB93" s="1281"/>
      <c r="AC93" s="1281"/>
      <c r="AD93" s="1281"/>
      <c r="AE93" s="1281"/>
      <c r="AF93" s="1281"/>
      <c r="AG93" s="1281"/>
      <c r="AH93" s="1281"/>
      <c r="AI93" s="1281"/>
      <c r="AJ93" s="1281"/>
      <c r="AK93" s="1281"/>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81" t="s">
        <v>1172</v>
      </c>
      <c r="H95" s="1281"/>
      <c r="I95" s="1281"/>
      <c r="J95" s="1281"/>
      <c r="K95" s="1281"/>
      <c r="L95" s="1281"/>
      <c r="M95" s="1281"/>
      <c r="N95" s="1281"/>
      <c r="O95" s="1281"/>
      <c r="P95" s="1281"/>
      <c r="Q95" s="1281"/>
      <c r="R95" s="1281"/>
      <c r="S95" s="1281"/>
      <c r="T95" s="1281"/>
      <c r="U95" s="1281"/>
      <c r="V95" s="1281"/>
      <c r="W95" s="1281"/>
      <c r="X95" s="1281"/>
      <c r="Y95" s="1281"/>
      <c r="Z95" s="1281"/>
      <c r="AA95" s="1281"/>
      <c r="AB95" s="1281"/>
      <c r="AC95" s="1281"/>
      <c r="AD95" s="1281"/>
      <c r="AE95" s="1281"/>
      <c r="AF95" s="1281"/>
      <c r="AG95" s="1281"/>
      <c r="AH95" s="1281"/>
      <c r="AI95" s="1281"/>
      <c r="AJ95" s="1281"/>
      <c r="AK95" s="1281"/>
    </row>
    <row r="96" spans="1:37">
      <c r="A96" s="4"/>
      <c r="C96" s="2"/>
      <c r="D96" s="4"/>
      <c r="E96" s="4"/>
      <c r="G96" s="1281"/>
      <c r="H96" s="1281"/>
      <c r="I96" s="1281"/>
      <c r="J96" s="1281"/>
      <c r="K96" s="1281"/>
      <c r="L96" s="1281"/>
      <c r="M96" s="1281"/>
      <c r="N96" s="1281"/>
      <c r="O96" s="1281"/>
      <c r="P96" s="1281"/>
      <c r="Q96" s="1281"/>
      <c r="R96" s="1281"/>
      <c r="S96" s="1281"/>
      <c r="T96" s="1281"/>
      <c r="U96" s="1281"/>
      <c r="V96" s="1281"/>
      <c r="W96" s="1281"/>
      <c r="X96" s="1281"/>
      <c r="Y96" s="1281"/>
      <c r="Z96" s="1281"/>
      <c r="AA96" s="1281"/>
      <c r="AB96" s="1281"/>
      <c r="AC96" s="1281"/>
      <c r="AD96" s="1281"/>
      <c r="AE96" s="1281"/>
      <c r="AF96" s="1281"/>
      <c r="AG96" s="1281"/>
      <c r="AH96" s="1281"/>
      <c r="AI96" s="1281"/>
      <c r="AJ96" s="1281"/>
      <c r="AK96" s="1281"/>
    </row>
    <row r="97" spans="1:38">
      <c r="A97" s="4"/>
      <c r="C97" s="2"/>
      <c r="D97" s="4"/>
      <c r="E97" s="4"/>
      <c r="G97" s="1281"/>
      <c r="H97" s="1281"/>
      <c r="I97" s="1281"/>
      <c r="J97" s="1281"/>
      <c r="K97" s="1281"/>
      <c r="L97" s="1281"/>
      <c r="M97" s="1281"/>
      <c r="N97" s="1281"/>
      <c r="O97" s="1281"/>
      <c r="P97" s="1281"/>
      <c r="Q97" s="1281"/>
      <c r="R97" s="1281"/>
      <c r="S97" s="1281"/>
      <c r="T97" s="1281"/>
      <c r="U97" s="1281"/>
      <c r="V97" s="1281"/>
      <c r="W97" s="1281"/>
      <c r="X97" s="1281"/>
      <c r="Y97" s="1281"/>
      <c r="Z97" s="1281"/>
      <c r="AA97" s="1281"/>
      <c r="AB97" s="1281"/>
      <c r="AC97" s="1281"/>
      <c r="AD97" s="1281"/>
      <c r="AE97" s="1281"/>
      <c r="AF97" s="1281"/>
      <c r="AG97" s="1281"/>
      <c r="AH97" s="1281"/>
      <c r="AI97" s="1281"/>
      <c r="AJ97" s="1281"/>
      <c r="AK97" s="1281"/>
    </row>
    <row r="98" spans="1:38">
      <c r="A98" s="4"/>
      <c r="D98" s="99"/>
      <c r="E98" s="1292" t="s">
        <v>1173</v>
      </c>
      <c r="F98" s="1292"/>
      <c r="G98" s="1292"/>
      <c r="H98" s="1292"/>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G98" s="1292"/>
      <c r="AH98" s="1292"/>
      <c r="AI98" s="1292"/>
      <c r="AJ98" s="1292"/>
      <c r="AK98" s="1292"/>
    </row>
    <row r="99" spans="1:38">
      <c r="A99" s="4"/>
      <c r="D99" s="99"/>
      <c r="E99" s="1292"/>
      <c r="F99" s="1292"/>
      <c r="G99" s="1292"/>
      <c r="H99" s="1292"/>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c r="AG99" s="1292"/>
      <c r="AH99" s="1292"/>
      <c r="AI99" s="1292"/>
      <c r="AJ99" s="1292"/>
      <c r="AK99" s="129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1254</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c r="D135" s="2" t="s">
        <v>512</v>
      </c>
      <c r="E135" s="2" t="s">
        <v>515</v>
      </c>
      <c r="F135" s="2"/>
    </row>
    <row r="136" spans="4:37">
      <c r="E136" s="3" t="s">
        <v>1211</v>
      </c>
      <c r="F136" s="4"/>
    </row>
    <row r="137" spans="4:37">
      <c r="F137" s="4"/>
    </row>
    <row r="138" spans="4:37">
      <c r="D138" s="2" t="s">
        <v>302</v>
      </c>
      <c r="E138" s="2" t="s">
        <v>1999</v>
      </c>
      <c r="F138" s="2"/>
      <c r="G138" s="2"/>
      <c r="H138" s="2"/>
    </row>
    <row r="139" spans="4:37">
      <c r="E139" t="s">
        <v>112</v>
      </c>
      <c r="F139" t="s">
        <v>52</v>
      </c>
    </row>
    <row r="140" spans="4:37">
      <c r="E140" t="s">
        <v>113</v>
      </c>
      <c r="F140" t="s">
        <v>464</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512</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281" t="s">
        <v>1174</v>
      </c>
      <c r="H205" s="1281"/>
      <c r="I205" s="1281"/>
      <c r="J205" s="1281"/>
      <c r="K205" s="1281"/>
      <c r="L205" s="1281"/>
      <c r="M205" s="1281"/>
      <c r="N205" s="1281"/>
      <c r="O205" s="1281"/>
      <c r="P205" s="1281"/>
      <c r="Q205" s="1281"/>
      <c r="R205" s="1281"/>
      <c r="S205" s="1281"/>
      <c r="T205" s="1281"/>
      <c r="U205" s="1281"/>
      <c r="V205" s="1281"/>
      <c r="W205" s="1281"/>
      <c r="X205" s="1281"/>
      <c r="Y205" s="1281"/>
      <c r="Z205" s="1281"/>
      <c r="AA205" s="1281"/>
      <c r="AB205" s="1281"/>
      <c r="AC205" s="1281"/>
      <c r="AD205" s="1281"/>
      <c r="AE205" s="1281"/>
      <c r="AF205" s="1281"/>
      <c r="AG205" s="1281"/>
      <c r="AH205" s="1281"/>
      <c r="AI205" s="1281"/>
      <c r="AJ205" s="1281"/>
      <c r="AK205" s="1281"/>
    </row>
    <row r="206" spans="2:37">
      <c r="B206" s="4"/>
      <c r="C206" s="4"/>
      <c r="D206" s="2"/>
      <c r="G206" s="1281"/>
      <c r="H206" s="1281"/>
      <c r="I206" s="1281"/>
      <c r="J206" s="1281"/>
      <c r="K206" s="1281"/>
      <c r="L206" s="1281"/>
      <c r="M206" s="1281"/>
      <c r="N206" s="1281"/>
      <c r="O206" s="1281"/>
      <c r="P206" s="1281"/>
      <c r="Q206" s="1281"/>
      <c r="R206" s="1281"/>
      <c r="S206" s="1281"/>
      <c r="T206" s="1281"/>
      <c r="U206" s="1281"/>
      <c r="V206" s="1281"/>
      <c r="W206" s="1281"/>
      <c r="X206" s="1281"/>
      <c r="Y206" s="1281"/>
      <c r="Z206" s="1281"/>
      <c r="AA206" s="1281"/>
      <c r="AB206" s="1281"/>
      <c r="AC206" s="1281"/>
      <c r="AD206" s="1281"/>
      <c r="AE206" s="1281"/>
      <c r="AF206" s="1281"/>
      <c r="AG206" s="1281"/>
      <c r="AH206" s="1281"/>
      <c r="AI206" s="1281"/>
      <c r="AJ206" s="1281"/>
      <c r="AK206" s="1281"/>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8"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559</v>
      </c>
      <c r="K293" s="4"/>
      <c r="L293" s="4"/>
      <c r="M293" s="4"/>
      <c r="N293" s="4"/>
      <c r="O293" s="4"/>
      <c r="P293" s="4"/>
      <c r="Q293" s="4"/>
      <c r="R293" s="4"/>
      <c r="S293" s="4"/>
      <c r="T293" s="4"/>
      <c r="U293" s="4"/>
      <c r="V293" s="4"/>
      <c r="W293" s="4"/>
    </row>
    <row r="294" spans="2:23">
      <c r="B294" s="2"/>
      <c r="D294" s="4"/>
      <c r="E294" s="4"/>
      <c r="F294" s="4" t="s">
        <v>442</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81" t="s">
        <v>1153</v>
      </c>
      <c r="G336" s="1281"/>
      <c r="H336" s="1281"/>
      <c r="I336" s="1281"/>
      <c r="J336" s="1281"/>
      <c r="K336" s="1281"/>
      <c r="L336" s="1281"/>
      <c r="M336" s="1281"/>
      <c r="N336" s="1281"/>
      <c r="O336" s="1281"/>
      <c r="P336" s="1281"/>
      <c r="Q336" s="1281"/>
      <c r="R336" s="1281"/>
      <c r="S336" s="1281"/>
      <c r="T336" s="1281"/>
      <c r="U336" s="1281"/>
      <c r="V336" s="1281"/>
      <c r="W336" s="1281"/>
      <c r="X336" s="1281"/>
      <c r="Y336" s="1281"/>
      <c r="Z336" s="1281"/>
      <c r="AA336" s="1281"/>
      <c r="AB336" s="1281"/>
      <c r="AC336" s="1281"/>
      <c r="AD336" s="1281"/>
      <c r="AE336" s="1281"/>
      <c r="AF336" s="1281"/>
      <c r="AG336" s="1281"/>
      <c r="AH336" s="1281"/>
      <c r="AI336" s="1281"/>
      <c r="AJ336" s="1281"/>
      <c r="AK336" s="1281"/>
    </row>
    <row r="337" spans="2:37">
      <c r="B337" s="2"/>
      <c r="E337" s="4"/>
      <c r="F337" s="1281"/>
      <c r="G337" s="1281"/>
      <c r="H337" s="1281"/>
      <c r="I337" s="1281"/>
      <c r="J337" s="1281"/>
      <c r="K337" s="1281"/>
      <c r="L337" s="1281"/>
      <c r="M337" s="1281"/>
      <c r="N337" s="1281"/>
      <c r="O337" s="1281"/>
      <c r="P337" s="1281"/>
      <c r="Q337" s="1281"/>
      <c r="R337" s="1281"/>
      <c r="S337" s="1281"/>
      <c r="T337" s="1281"/>
      <c r="U337" s="1281"/>
      <c r="V337" s="1281"/>
      <c r="W337" s="1281"/>
      <c r="X337" s="1281"/>
      <c r="Y337" s="1281"/>
      <c r="Z337" s="1281"/>
      <c r="AA337" s="1281"/>
      <c r="AB337" s="1281"/>
      <c r="AC337" s="1281"/>
      <c r="AD337" s="1281"/>
      <c r="AE337" s="1281"/>
      <c r="AF337" s="1281"/>
      <c r="AG337" s="1281"/>
      <c r="AH337" s="1281"/>
      <c r="AI337" s="1281"/>
      <c r="AJ337" s="1281"/>
      <c r="AK337" s="1281"/>
    </row>
    <row r="338" spans="2:37">
      <c r="B338" s="2"/>
      <c r="E338" s="4"/>
      <c r="F338" s="1281"/>
      <c r="G338" s="1281"/>
      <c r="H338" s="1281"/>
      <c r="I338" s="1281"/>
      <c r="J338" s="1281"/>
      <c r="K338" s="1281"/>
      <c r="L338" s="1281"/>
      <c r="M338" s="1281"/>
      <c r="N338" s="1281"/>
      <c r="O338" s="1281"/>
      <c r="P338" s="1281"/>
      <c r="Q338" s="1281"/>
      <c r="R338" s="1281"/>
      <c r="S338" s="1281"/>
      <c r="T338" s="1281"/>
      <c r="U338" s="1281"/>
      <c r="V338" s="1281"/>
      <c r="W338" s="1281"/>
      <c r="X338" s="1281"/>
      <c r="Y338" s="1281"/>
      <c r="Z338" s="1281"/>
      <c r="AA338" s="1281"/>
      <c r="AB338" s="1281"/>
      <c r="AC338" s="1281"/>
      <c r="AD338" s="1281"/>
      <c r="AE338" s="1281"/>
      <c r="AF338" s="1281"/>
      <c r="AG338" s="1281"/>
      <c r="AH338" s="1281"/>
      <c r="AI338" s="1281"/>
      <c r="AJ338" s="1281"/>
      <c r="AK338" s="1281"/>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84" t="s">
        <v>1233</v>
      </c>
      <c r="F341" s="1284"/>
      <c r="G341" s="1284"/>
      <c r="H341" s="1284"/>
      <c r="I341" s="1284"/>
      <c r="J341" s="1284"/>
      <c r="K341" s="1284"/>
      <c r="L341" s="1284"/>
      <c r="M341" s="1284"/>
      <c r="N341" s="1284"/>
      <c r="O341" s="1284"/>
      <c r="P341" s="1284"/>
      <c r="Q341" s="1284"/>
      <c r="R341" s="1284"/>
      <c r="S341" s="1284"/>
      <c r="T341" s="1284"/>
      <c r="U341" s="1284"/>
      <c r="V341" s="1284"/>
      <c r="W341" s="1284"/>
      <c r="X341" s="1284"/>
      <c r="Y341" s="1284"/>
      <c r="Z341" s="1284"/>
      <c r="AA341" s="1284"/>
      <c r="AB341" s="1284"/>
      <c r="AC341" s="1284"/>
      <c r="AD341" s="1284"/>
      <c r="AE341" s="1284"/>
      <c r="AF341" s="1284"/>
      <c r="AG341" s="1284"/>
      <c r="AH341" s="1284"/>
      <c r="AI341" s="1284"/>
      <c r="AJ341" s="1284"/>
      <c r="AK341" s="1284"/>
    </row>
    <row r="342" spans="2:37">
      <c r="B342" s="2"/>
      <c r="E342" s="1284"/>
      <c r="F342" s="1284"/>
      <c r="G342" s="1284"/>
      <c r="H342" s="1284"/>
      <c r="I342" s="1284"/>
      <c r="J342" s="1284"/>
      <c r="K342" s="1284"/>
      <c r="L342" s="1284"/>
      <c r="M342" s="1284"/>
      <c r="N342" s="1284"/>
      <c r="O342" s="1284"/>
      <c r="P342" s="1284"/>
      <c r="Q342" s="1284"/>
      <c r="R342" s="1284"/>
      <c r="S342" s="1284"/>
      <c r="T342" s="1284"/>
      <c r="U342" s="1284"/>
      <c r="V342" s="1284"/>
      <c r="W342" s="1284"/>
      <c r="X342" s="1284"/>
      <c r="Y342" s="1284"/>
      <c r="Z342" s="1284"/>
      <c r="AA342" s="1284"/>
      <c r="AB342" s="1284"/>
      <c r="AC342" s="1284"/>
      <c r="AD342" s="1284"/>
      <c r="AE342" s="1284"/>
      <c r="AF342" s="1284"/>
      <c r="AG342" s="1284"/>
      <c r="AH342" s="1284"/>
      <c r="AI342" s="1284"/>
      <c r="AJ342" s="1284"/>
      <c r="AK342" s="1284"/>
    </row>
    <row r="343" spans="2:37">
      <c r="B343" s="2"/>
      <c r="E343" s="1284"/>
      <c r="F343" s="1284"/>
      <c r="G343" s="1284"/>
      <c r="H343" s="1284"/>
      <c r="I343" s="1284"/>
      <c r="J343" s="1284"/>
      <c r="K343" s="1284"/>
      <c r="L343" s="1284"/>
      <c r="M343" s="1284"/>
      <c r="N343" s="1284"/>
      <c r="O343" s="1284"/>
      <c r="P343" s="1284"/>
      <c r="Q343" s="1284"/>
      <c r="R343" s="1284"/>
      <c r="S343" s="1284"/>
      <c r="T343" s="1284"/>
      <c r="U343" s="1284"/>
      <c r="V343" s="1284"/>
      <c r="W343" s="1284"/>
      <c r="X343" s="1284"/>
      <c r="Y343" s="1284"/>
      <c r="Z343" s="1284"/>
      <c r="AA343" s="1284"/>
      <c r="AB343" s="1284"/>
      <c r="AC343" s="1284"/>
      <c r="AD343" s="1284"/>
      <c r="AE343" s="1284"/>
      <c r="AF343" s="1284"/>
      <c r="AG343" s="1284"/>
      <c r="AH343" s="1284"/>
      <c r="AI343" s="1284"/>
      <c r="AJ343" s="1284"/>
      <c r="AK343" s="1284"/>
    </row>
    <row r="344" spans="2:37">
      <c r="B344" s="2"/>
      <c r="E344" s="1284"/>
      <c r="F344" s="1284"/>
      <c r="G344" s="1284"/>
      <c r="H344" s="1284"/>
      <c r="I344" s="1284"/>
      <c r="J344" s="1284"/>
      <c r="K344" s="1284"/>
      <c r="L344" s="1284"/>
      <c r="M344" s="1284"/>
      <c r="N344" s="1284"/>
      <c r="O344" s="1284"/>
      <c r="P344" s="1284"/>
      <c r="Q344" s="1284"/>
      <c r="R344" s="1284"/>
      <c r="S344" s="1284"/>
      <c r="T344" s="1284"/>
      <c r="U344" s="1284"/>
      <c r="V344" s="1284"/>
      <c r="W344" s="1284"/>
      <c r="X344" s="1284"/>
      <c r="Y344" s="1284"/>
      <c r="Z344" s="1284"/>
      <c r="AA344" s="1284"/>
      <c r="AB344" s="1284"/>
      <c r="AC344" s="1284"/>
      <c r="AD344" s="1284"/>
      <c r="AE344" s="1284"/>
      <c r="AF344" s="1284"/>
      <c r="AG344" s="1284"/>
      <c r="AH344" s="1284"/>
      <c r="AI344" s="1284"/>
      <c r="AJ344" s="1284"/>
      <c r="AK344" s="1284"/>
    </row>
    <row r="345" spans="2:37">
      <c r="B345" s="2"/>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row>
    <row r="346" spans="2:37">
      <c r="B346" s="2"/>
      <c r="E346" s="3" t="s">
        <v>112</v>
      </c>
      <c r="F346" s="1281" t="s">
        <v>1235</v>
      </c>
      <c r="G346" s="1281"/>
      <c r="H346" s="1281"/>
      <c r="I346" s="1281"/>
      <c r="J346" s="1281"/>
      <c r="K346" s="1281"/>
      <c r="L346" s="1281"/>
      <c r="M346" s="1281"/>
      <c r="N346" s="1281"/>
      <c r="O346" s="1281"/>
      <c r="P346" s="1281"/>
      <c r="Q346" s="1281"/>
      <c r="R346" s="1281"/>
      <c r="S346" s="1281"/>
      <c r="T346" s="1281"/>
      <c r="U346" s="1281"/>
      <c r="V346" s="1281"/>
      <c r="W346" s="1281"/>
      <c r="X346" s="1281"/>
      <c r="Y346" s="1281"/>
      <c r="Z346" s="1281"/>
      <c r="AA346" s="1281"/>
      <c r="AB346" s="1281"/>
      <c r="AC346" s="1281"/>
      <c r="AD346" s="1281"/>
      <c r="AE346" s="1281"/>
      <c r="AF346" s="1281"/>
      <c r="AG346" s="1281"/>
      <c r="AH346" s="1281"/>
      <c r="AI346" s="1281"/>
      <c r="AJ346" s="1281"/>
      <c r="AK346" s="1281"/>
    </row>
    <row r="347" spans="2:37">
      <c r="B347" s="2"/>
      <c r="E347" s="3"/>
      <c r="F347" s="1281"/>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row>
    <row r="348" spans="2:37">
      <c r="B348" s="2"/>
      <c r="E348" s="3"/>
      <c r="F348" s="1281"/>
      <c r="G348" s="1281"/>
      <c r="H348" s="1281"/>
      <c r="I348" s="1281"/>
      <c r="J348" s="1281"/>
      <c r="K348" s="1281"/>
      <c r="L348" s="1281"/>
      <c r="M348" s="1281"/>
      <c r="N348" s="1281"/>
      <c r="O348" s="1281"/>
      <c r="P348" s="1281"/>
      <c r="Q348" s="1281"/>
      <c r="R348" s="1281"/>
      <c r="S348" s="1281"/>
      <c r="T348" s="1281"/>
      <c r="U348" s="1281"/>
      <c r="V348" s="1281"/>
      <c r="W348" s="1281"/>
      <c r="X348" s="1281"/>
      <c r="Y348" s="1281"/>
      <c r="Z348" s="1281"/>
      <c r="AA348" s="1281"/>
      <c r="AB348" s="1281"/>
      <c r="AC348" s="1281"/>
      <c r="AD348" s="1281"/>
      <c r="AE348" s="1281"/>
      <c r="AF348" s="1281"/>
      <c r="AG348" s="1281"/>
      <c r="AH348" s="1281"/>
      <c r="AI348" s="1281"/>
      <c r="AJ348" s="1281"/>
      <c r="AK348" s="1281"/>
    </row>
    <row r="349" spans="2:37">
      <c r="B349" s="2"/>
      <c r="E349" s="3"/>
      <c r="F349" s="1281"/>
      <c r="G349" s="1281"/>
      <c r="H349" s="1281"/>
      <c r="I349" s="1281"/>
      <c r="J349" s="1281"/>
      <c r="K349" s="1281"/>
      <c r="L349" s="1281"/>
      <c r="M349" s="1281"/>
      <c r="N349" s="1281"/>
      <c r="O349" s="1281"/>
      <c r="P349" s="1281"/>
      <c r="Q349" s="1281"/>
      <c r="R349" s="1281"/>
      <c r="S349" s="1281"/>
      <c r="T349" s="1281"/>
      <c r="U349" s="1281"/>
      <c r="V349" s="1281"/>
      <c r="W349" s="1281"/>
      <c r="X349" s="1281"/>
      <c r="Y349" s="1281"/>
      <c r="Z349" s="1281"/>
      <c r="AA349" s="1281"/>
      <c r="AB349" s="1281"/>
      <c r="AC349" s="1281"/>
      <c r="AD349" s="1281"/>
      <c r="AE349" s="1281"/>
      <c r="AF349" s="1281"/>
      <c r="AG349" s="1281"/>
      <c r="AH349" s="1281"/>
      <c r="AI349" s="1281"/>
      <c r="AJ349" s="1281"/>
      <c r="AK349" s="1281"/>
    </row>
    <row r="350" spans="2:37">
      <c r="B350" s="2"/>
      <c r="E350" s="3" t="s">
        <v>113</v>
      </c>
      <c r="F350" s="1281" t="s">
        <v>1234</v>
      </c>
      <c r="G350" s="1281"/>
      <c r="H350" s="1281"/>
      <c r="I350" s="1281"/>
      <c r="J350" s="1281"/>
      <c r="K350" s="1281"/>
      <c r="L350" s="1281"/>
      <c r="M350" s="1281"/>
      <c r="N350" s="1281"/>
      <c r="O350" s="1281"/>
      <c r="P350" s="1281"/>
      <c r="Q350" s="1281"/>
      <c r="R350" s="1281"/>
      <c r="S350" s="1281"/>
      <c r="T350" s="1281"/>
      <c r="U350" s="1281"/>
      <c r="V350" s="1281"/>
      <c r="W350" s="1281"/>
      <c r="X350" s="1281"/>
      <c r="Y350" s="1281"/>
      <c r="Z350" s="1281"/>
      <c r="AA350" s="1281"/>
      <c r="AB350" s="1281"/>
      <c r="AC350" s="1281"/>
      <c r="AD350" s="1281"/>
      <c r="AE350" s="1281"/>
      <c r="AF350" s="1281"/>
      <c r="AG350" s="1281"/>
      <c r="AH350" s="1281"/>
      <c r="AI350" s="1281"/>
      <c r="AJ350" s="1281"/>
      <c r="AK350" s="1281"/>
    </row>
    <row r="351" spans="2:37">
      <c r="B351" s="2"/>
      <c r="F351" s="1281"/>
      <c r="G351" s="1281"/>
      <c r="H351" s="1281"/>
      <c r="I351" s="1281"/>
      <c r="J351" s="1281"/>
      <c r="K351" s="1281"/>
      <c r="L351" s="1281"/>
      <c r="M351" s="1281"/>
      <c r="N351" s="1281"/>
      <c r="O351" s="1281"/>
      <c r="P351" s="1281"/>
      <c r="Q351" s="1281"/>
      <c r="R351" s="1281"/>
      <c r="S351" s="1281"/>
      <c r="T351" s="1281"/>
      <c r="U351" s="1281"/>
      <c r="V351" s="1281"/>
      <c r="W351" s="1281"/>
      <c r="X351" s="1281"/>
      <c r="Y351" s="1281"/>
      <c r="Z351" s="1281"/>
      <c r="AA351" s="1281"/>
      <c r="AB351" s="1281"/>
      <c r="AC351" s="1281"/>
      <c r="AD351" s="1281"/>
      <c r="AE351" s="1281"/>
      <c r="AF351" s="1281"/>
      <c r="AG351" s="1281"/>
      <c r="AH351" s="1281"/>
      <c r="AI351" s="1281"/>
      <c r="AJ351" s="1281"/>
      <c r="AK351" s="1281"/>
    </row>
    <row r="352" spans="2:37">
      <c r="B352" s="2"/>
      <c r="F352" s="1281"/>
      <c r="G352" s="1281"/>
      <c r="H352" s="1281"/>
      <c r="I352" s="1281"/>
      <c r="J352" s="1281"/>
      <c r="K352" s="1281"/>
      <c r="L352" s="1281"/>
      <c r="M352" s="1281"/>
      <c r="N352" s="1281"/>
      <c r="O352" s="1281"/>
      <c r="P352" s="1281"/>
      <c r="Q352" s="1281"/>
      <c r="R352" s="1281"/>
      <c r="S352" s="1281"/>
      <c r="T352" s="1281"/>
      <c r="U352" s="1281"/>
      <c r="V352" s="1281"/>
      <c r="W352" s="1281"/>
      <c r="X352" s="1281"/>
      <c r="Y352" s="1281"/>
      <c r="Z352" s="1281"/>
      <c r="AA352" s="1281"/>
      <c r="AB352" s="1281"/>
      <c r="AC352" s="1281"/>
      <c r="AD352" s="1281"/>
      <c r="AE352" s="1281"/>
      <c r="AF352" s="1281"/>
      <c r="AG352" s="1281"/>
      <c r="AH352" s="1281"/>
      <c r="AI352" s="1281"/>
      <c r="AJ352" s="1281"/>
      <c r="AK352" s="1281"/>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1"/>
      <c r="E355" s="2"/>
      <c r="M355" s="4"/>
      <c r="N355" s="4"/>
      <c r="O355" s="4"/>
      <c r="P355" s="4"/>
      <c r="Q355" s="4"/>
      <c r="R355" s="4"/>
      <c r="S355" s="4"/>
      <c r="T355" s="4"/>
    </row>
    <row r="356" spans="1:38" ht="13.15" customHeight="1">
      <c r="B356" s="2"/>
      <c r="C356" s="11" t="s">
        <v>1216</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15"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85" t="s">
        <v>1224</v>
      </c>
      <c r="F365" s="1285"/>
      <c r="G365" s="1285"/>
      <c r="H365" s="1285"/>
      <c r="I365" s="1285"/>
      <c r="J365" s="1285"/>
      <c r="K365" s="1285"/>
      <c r="L365" s="1285"/>
      <c r="M365" s="1285"/>
      <c r="N365" s="1285"/>
      <c r="O365" s="1285"/>
      <c r="P365" s="1285"/>
      <c r="Q365" s="1285"/>
      <c r="R365" s="1285"/>
      <c r="S365" s="1285"/>
      <c r="T365" s="1285"/>
      <c r="U365" s="1285"/>
      <c r="V365" s="1285"/>
      <c r="W365" s="1285"/>
      <c r="X365" s="1285"/>
      <c r="Y365" s="1285"/>
      <c r="Z365" s="1285"/>
      <c r="AA365" s="1285"/>
      <c r="AB365" s="1285"/>
      <c r="AC365" s="1285"/>
      <c r="AD365" s="1285"/>
      <c r="AE365" s="1285"/>
      <c r="AF365" s="1285"/>
      <c r="AG365" s="1285"/>
      <c r="AH365" s="1285"/>
      <c r="AI365" s="1285"/>
      <c r="AJ365" s="1285"/>
      <c r="AK365" s="1285"/>
      <c r="AL365" s="1285"/>
    </row>
    <row r="366" spans="1:38">
      <c r="B366" s="2"/>
      <c r="E366" s="1285"/>
      <c r="F366" s="1285"/>
      <c r="G366" s="1285"/>
      <c r="H366" s="1285"/>
      <c r="I366" s="1285"/>
      <c r="J366" s="1285"/>
      <c r="K366" s="1285"/>
      <c r="L366" s="1285"/>
      <c r="M366" s="1285"/>
      <c r="N366" s="1285"/>
      <c r="O366" s="1285"/>
      <c r="P366" s="1285"/>
      <c r="Q366" s="1285"/>
      <c r="R366" s="1285"/>
      <c r="S366" s="1285"/>
      <c r="T366" s="1285"/>
      <c r="U366" s="1285"/>
      <c r="V366" s="1285"/>
      <c r="W366" s="1285"/>
      <c r="X366" s="1285"/>
      <c r="Y366" s="1285"/>
      <c r="Z366" s="1285"/>
      <c r="AA366" s="1285"/>
      <c r="AB366" s="1285"/>
      <c r="AC366" s="1285"/>
      <c r="AD366" s="1285"/>
      <c r="AE366" s="1285"/>
      <c r="AF366" s="1285"/>
      <c r="AG366" s="1285"/>
      <c r="AH366" s="1285"/>
      <c r="AI366" s="1285"/>
      <c r="AJ366" s="1285"/>
      <c r="AK366" s="1285"/>
      <c r="AL366" s="1285"/>
    </row>
    <row r="367" spans="1:38" s="1287" customFormat="1">
      <c r="A367"/>
      <c r="B367" s="2"/>
      <c r="C367"/>
      <c r="D367"/>
      <c r="E367" s="1286" t="s">
        <v>1256</v>
      </c>
    </row>
    <row r="368" spans="1:38" s="1287" customFormat="1">
      <c r="A368"/>
      <c r="B368" s="2"/>
      <c r="C368" s="2"/>
      <c r="D368"/>
    </row>
    <row r="369" spans="1:38">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c r="B370" s="2"/>
      <c r="D370" s="2" t="s">
        <v>340</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81" t="s">
        <v>1267</v>
      </c>
      <c r="G386" s="1281"/>
      <c r="H386" s="1281"/>
      <c r="I386" s="1281"/>
      <c r="J386" s="1281"/>
      <c r="K386" s="1281"/>
      <c r="L386" s="1281"/>
      <c r="M386" s="1281"/>
      <c r="N386" s="1281"/>
      <c r="O386" s="1281"/>
      <c r="P386" s="1281"/>
      <c r="Q386" s="1281"/>
      <c r="R386" s="1281"/>
      <c r="S386" s="1281"/>
      <c r="T386" s="1281"/>
      <c r="U386" s="1281"/>
      <c r="V386" s="1281"/>
      <c r="W386" s="1281"/>
      <c r="X386" s="1281"/>
      <c r="Y386" s="1281"/>
      <c r="Z386" s="1281"/>
      <c r="AA386" s="1281"/>
      <c r="AB386" s="1281"/>
      <c r="AC386" s="1281"/>
      <c r="AD386" s="1281"/>
      <c r="AE386" s="1281"/>
      <c r="AF386" s="1281"/>
      <c r="AG386" s="1281"/>
      <c r="AH386" s="1281"/>
      <c r="AI386" s="1281"/>
      <c r="AJ386" s="1281"/>
      <c r="AK386" s="1281"/>
    </row>
    <row r="387" spans="1:38">
      <c r="B387" s="2"/>
      <c r="E387" s="3"/>
      <c r="F387" s="1281"/>
      <c r="G387" s="1281"/>
      <c r="H387" s="1281"/>
      <c r="I387" s="1281"/>
      <c r="J387" s="1281"/>
      <c r="K387" s="1281"/>
      <c r="L387" s="1281"/>
      <c r="M387" s="1281"/>
      <c r="N387" s="1281"/>
      <c r="O387" s="1281"/>
      <c r="P387" s="1281"/>
      <c r="Q387" s="1281"/>
      <c r="R387" s="1281"/>
      <c r="S387" s="1281"/>
      <c r="T387" s="1281"/>
      <c r="U387" s="1281"/>
      <c r="V387" s="1281"/>
      <c r="W387" s="1281"/>
      <c r="X387" s="1281"/>
      <c r="Y387" s="1281"/>
      <c r="Z387" s="1281"/>
      <c r="AA387" s="1281"/>
      <c r="AB387" s="1281"/>
      <c r="AC387" s="1281"/>
      <c r="AD387" s="1281"/>
      <c r="AE387" s="1281"/>
      <c r="AF387" s="1281"/>
      <c r="AG387" s="1281"/>
      <c r="AH387" s="1281"/>
      <c r="AI387" s="1281"/>
      <c r="AJ387" s="1281"/>
      <c r="AK387" s="1281"/>
    </row>
    <row r="388" spans="1:38">
      <c r="B388" s="2"/>
      <c r="E388" s="3"/>
      <c r="F388" s="1281"/>
      <c r="G388" s="1281"/>
      <c r="H388" s="1281"/>
      <c r="I388" s="1281"/>
      <c r="J388" s="1281"/>
      <c r="K388" s="1281"/>
      <c r="L388" s="1281"/>
      <c r="M388" s="1281"/>
      <c r="N388" s="1281"/>
      <c r="O388" s="1281"/>
      <c r="P388" s="1281"/>
      <c r="Q388" s="1281"/>
      <c r="R388" s="1281"/>
      <c r="S388" s="1281"/>
      <c r="T388" s="1281"/>
      <c r="U388" s="1281"/>
      <c r="V388" s="1281"/>
      <c r="W388" s="1281"/>
      <c r="X388" s="1281"/>
      <c r="Y388" s="1281"/>
      <c r="Z388" s="1281"/>
      <c r="AA388" s="1281"/>
      <c r="AB388" s="1281"/>
      <c r="AC388" s="1281"/>
      <c r="AD388" s="1281"/>
      <c r="AE388" s="1281"/>
      <c r="AF388" s="1281"/>
      <c r="AG388" s="1281"/>
      <c r="AH388" s="1281"/>
      <c r="AI388" s="1281"/>
      <c r="AJ388" s="1281"/>
      <c r="AK388" s="1281"/>
    </row>
    <row r="389" spans="1:38">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c r="B392" s="2"/>
      <c r="E392" t="s">
        <v>1154</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19" sqref="I119"/>
    </sheetView>
  </sheetViews>
  <sheetFormatPr defaultColWidth="9.140625" defaultRowHeight="14.25"/>
  <cols>
    <col min="1" max="1" width="2.42578125" style="1038" customWidth="1"/>
    <col min="2" max="9" width="14.7109375" style="1038" customWidth="1"/>
    <col min="10" max="10" width="2.28515625" style="1038" customWidth="1"/>
    <col min="11" max="11" width="11.85546875" style="1039" customWidth="1"/>
    <col min="12" max="12" width="10.7109375" style="1038" customWidth="1"/>
    <col min="13" max="13" width="10.42578125" style="1038" customWidth="1"/>
    <col min="14" max="14" width="10.85546875" style="1038" customWidth="1"/>
    <col min="15" max="18" width="9.140625" style="1038"/>
    <col min="19" max="19" width="9.42578125" style="1038" bestFit="1" customWidth="1"/>
    <col min="20" max="16384" width="9.140625" style="1038"/>
  </cols>
  <sheetData>
    <row r="1" spans="1:13" ht="30" customHeight="1">
      <c r="A1" s="2673" t="s">
        <v>1572</v>
      </c>
      <c r="B1" s="2673"/>
      <c r="C1" s="2673"/>
      <c r="D1" s="2673"/>
      <c r="E1" s="2673"/>
      <c r="F1" s="2673"/>
      <c r="G1" s="2673"/>
      <c r="H1" s="2673"/>
      <c r="I1" s="2673"/>
      <c r="J1" s="2673"/>
    </row>
    <row r="2" spans="1:13" ht="15" customHeight="1" thickBot="1">
      <c r="A2" s="1040"/>
      <c r="B2" s="1040"/>
      <c r="I2" s="1041"/>
      <c r="K2" s="1042"/>
    </row>
    <row r="3" spans="1:13" s="1045" customFormat="1" ht="20.100000000000001" customHeight="1">
      <c r="A3" s="1093"/>
      <c r="B3" s="1094"/>
      <c r="C3" s="1095"/>
      <c r="D3" s="1100"/>
      <c r="E3" s="1095"/>
      <c r="F3" s="1096" t="s">
        <v>1961</v>
      </c>
      <c r="G3" s="1095"/>
      <c r="H3" s="1097">
        <f>E18</f>
        <v>41650938</v>
      </c>
      <c r="I3" s="1098"/>
    </row>
    <row r="4" spans="1:13" s="1045" customFormat="1" ht="20.100000000000001" customHeight="1">
      <c r="B4" s="1087"/>
      <c r="D4" s="1101"/>
      <c r="F4" s="1086" t="s">
        <v>1963</v>
      </c>
      <c r="G4" s="1085" t="s">
        <v>1962</v>
      </c>
      <c r="H4" s="1200">
        <f>I18</f>
        <v>23123362.726785716</v>
      </c>
      <c r="I4" s="1088"/>
      <c r="K4" s="1049"/>
    </row>
    <row r="5" spans="1:13" s="1045" customFormat="1" ht="20.100000000000001" customHeight="1" thickBot="1">
      <c r="B5" s="1089"/>
      <c r="C5" s="1090"/>
      <c r="D5" s="1102"/>
      <c r="E5" s="1091"/>
      <c r="F5" s="1102" t="s">
        <v>1913</v>
      </c>
      <c r="G5" s="1103"/>
      <c r="H5" s="1099">
        <f>IFERROR(H3/H4,0)</f>
        <v>1.8012491734929303</v>
      </c>
      <c r="I5" s="1092"/>
      <c r="K5" s="1049"/>
    </row>
    <row r="6" spans="1:13" s="1045" customFormat="1" ht="15" customHeight="1">
      <c r="B6" s="1046"/>
      <c r="C6" s="1047"/>
      <c r="F6" s="1048"/>
      <c r="K6" s="1049"/>
    </row>
    <row r="7" spans="1:13" s="1045" customFormat="1" ht="15" customHeight="1">
      <c r="E7" s="1050"/>
      <c r="F7" s="1048"/>
      <c r="K7" s="1051"/>
    </row>
    <row r="8" spans="1:13" s="1045" customFormat="1" ht="15" customHeight="1">
      <c r="A8" s="1052"/>
      <c r="B8" s="2676" t="s">
        <v>1911</v>
      </c>
      <c r="C8" s="2677"/>
      <c r="D8" s="2677"/>
      <c r="E8" s="2678"/>
      <c r="G8" s="2679" t="s">
        <v>1912</v>
      </c>
      <c r="H8" s="2680"/>
      <c r="I8" s="2681"/>
      <c r="K8" s="1051"/>
    </row>
    <row r="9" spans="1:13" ht="15" customHeight="1">
      <c r="A9" s="1040"/>
      <c r="B9" s="2674" t="s">
        <v>1945</v>
      </c>
      <c r="C9" s="2674"/>
      <c r="D9" s="2674"/>
      <c r="E9" s="1053">
        <f>G33</f>
        <v>7312500</v>
      </c>
      <c r="G9" s="2670" t="s">
        <v>1943</v>
      </c>
      <c r="H9" s="2670"/>
      <c r="I9" s="1054">
        <f>MAX(SUMIF(Application!M562:M573,"Loan, Tax-Exempt",Application!AM562:AM573),27.5%*SUM('Sources and Uses Budget'!C8,'Sources and Uses Budget'!S105,'Sources and Uses Budget'!T105))</f>
        <v>30904733</v>
      </c>
      <c r="K9" s="1055"/>
      <c r="M9" s="1056"/>
    </row>
    <row r="10" spans="1:13" ht="15" customHeight="1" thickBot="1">
      <c r="A10" s="1040"/>
      <c r="B10" s="2674" t="s">
        <v>1946</v>
      </c>
      <c r="C10" s="2674"/>
      <c r="D10" s="2674"/>
      <c r="E10" s="1054">
        <f>G47</f>
        <v>20017188.000000004</v>
      </c>
      <c r="G10" s="2672" t="s">
        <v>1914</v>
      </c>
      <c r="H10" s="2672"/>
      <c r="I10" s="1133">
        <f>IF(OR(Application!Z205="State Farmworker Credit",Application!Z205="$500M (Farmworker Housing)"),0,'Basis &amp; Credits'!AB78)</f>
        <v>0</v>
      </c>
      <c r="M10" s="1056"/>
    </row>
    <row r="11" spans="1:13" ht="15" customHeight="1">
      <c r="A11" s="1040"/>
      <c r="B11" s="2683" t="s">
        <v>2208</v>
      </c>
      <c r="C11" s="2684"/>
      <c r="D11" s="2685"/>
      <c r="E11" s="1054">
        <f>SUM(E13,E12)</f>
        <v>720000</v>
      </c>
      <c r="G11" s="2682" t="s">
        <v>1954</v>
      </c>
      <c r="H11" s="2682"/>
      <c r="I11" s="1132">
        <f>I9+I10</f>
        <v>30904733</v>
      </c>
      <c r="M11" s="1056"/>
    </row>
    <row r="12" spans="1:13" ht="15" customHeight="1">
      <c r="A12" s="1057"/>
      <c r="B12" s="2675" t="s">
        <v>2571</v>
      </c>
      <c r="C12" s="2675"/>
      <c r="D12" s="2675"/>
      <c r="E12" s="1157">
        <f>G56</f>
        <v>620000</v>
      </c>
      <c r="M12" s="1056"/>
    </row>
    <row r="13" spans="1:13" ht="15" customHeight="1">
      <c r="A13" s="1043"/>
      <c r="B13" s="2675" t="s">
        <v>2572</v>
      </c>
      <c r="C13" s="2675"/>
      <c r="D13" s="2675"/>
      <c r="E13" s="1157">
        <f>IF(G67,MAX(G65,G79),G65)</f>
        <v>100000</v>
      </c>
      <c r="G13" s="2679" t="s">
        <v>1977</v>
      </c>
      <c r="H13" s="2680"/>
      <c r="I13" s="2681"/>
    </row>
    <row r="14" spans="1:13" ht="15" customHeight="1">
      <c r="A14" s="1043"/>
      <c r="B14" s="2683" t="s">
        <v>2209</v>
      </c>
      <c r="C14" s="2684"/>
      <c r="D14" s="2685"/>
      <c r="E14" s="1159">
        <f>MAX(E15,E16)+E17</f>
        <v>13601250</v>
      </c>
      <c r="G14" s="2670" t="s">
        <v>2588</v>
      </c>
      <c r="H14" s="2670"/>
      <c r="I14" s="1058">
        <f>IF(AND(G134="Yes",G136&lt;&gt;""),IF(OR(G141="Yes",G145="Yes"),18%,15%),0)</f>
        <v>0.18</v>
      </c>
      <c r="M14" s="1056"/>
    </row>
    <row r="15" spans="1:13" ht="15" customHeight="1">
      <c r="A15" s="1043"/>
      <c r="B15" s="2686" t="s">
        <v>2585</v>
      </c>
      <c r="C15" s="2687"/>
      <c r="D15" s="2688"/>
      <c r="E15" s="1157">
        <f>G94</f>
        <v>0</v>
      </c>
      <c r="G15" s="1130" t="s">
        <v>1955</v>
      </c>
      <c r="H15" s="1130"/>
      <c r="I15" s="1058">
        <f>IF(Application!AJ1041&gt;0,10%,IF(Application!AJ1045&gt;0,5%,0))</f>
        <v>0.05</v>
      </c>
      <c r="M15" s="1056"/>
    </row>
    <row r="16" spans="1:13" ht="15" customHeight="1">
      <c r="A16" s="1043"/>
      <c r="B16" s="2686" t="s">
        <v>2586</v>
      </c>
      <c r="C16" s="2687"/>
      <c r="D16" s="2688"/>
      <c r="E16" s="1157">
        <f>G104</f>
        <v>2925000</v>
      </c>
      <c r="G16" s="2670" t="s">
        <v>1956</v>
      </c>
      <c r="H16" s="2670"/>
      <c r="I16" s="1058">
        <f>G155</f>
        <v>2.1785714285714287E-2</v>
      </c>
    </row>
    <row r="17" spans="1:21" ht="15" customHeight="1" thickBot="1">
      <c r="A17" s="1043"/>
      <c r="B17" s="2686" t="s">
        <v>2587</v>
      </c>
      <c r="C17" s="2687"/>
      <c r="D17" s="2688"/>
      <c r="E17" s="1157">
        <f>G129</f>
        <v>10676250</v>
      </c>
      <c r="G17" s="2670" t="s">
        <v>2217</v>
      </c>
      <c r="H17" s="2670"/>
      <c r="I17" s="1058">
        <f>IF(AND(G161="Yes",G159),IF(G165&gt;15%,15%,G165),0)</f>
        <v>0</v>
      </c>
    </row>
    <row r="18" spans="1:21" ht="15" customHeight="1">
      <c r="A18" s="1040"/>
      <c r="B18" s="2671" t="s">
        <v>1910</v>
      </c>
      <c r="C18" s="2671"/>
      <c r="D18" s="2671"/>
      <c r="E18" s="1104">
        <f>SUM(E9:E11,E14)</f>
        <v>41650938</v>
      </c>
      <c r="G18" s="1131" t="s">
        <v>1944</v>
      </c>
      <c r="H18" s="1131"/>
      <c r="I18" s="1105">
        <f>I11-((I11*I14)+(I11*I15)+(I11*I16)+(I11*I17))</f>
        <v>23123362.726785716</v>
      </c>
      <c r="M18" s="1059">
        <f>SUM(Cdlac[Quantity])</f>
        <v>122</v>
      </c>
      <c r="O18" s="1078" t="s">
        <v>580</v>
      </c>
      <c r="P18" s="1038">
        <f>MATCH(Application!T189,Application!CB160:CB217,0)</f>
        <v>19</v>
      </c>
      <c r="T18" s="1059">
        <f>SUM(Cdlac[Population])</f>
        <v>10</v>
      </c>
    </row>
    <row r="19" spans="1:21" ht="15" customHeight="1">
      <c r="A19" s="1040"/>
      <c r="B19" s="1040"/>
      <c r="C19" s="1040"/>
      <c r="D19" s="1040"/>
      <c r="E19" s="1040"/>
      <c r="L19" s="1038" t="s">
        <v>1906</v>
      </c>
      <c r="M19" s="1038" t="s">
        <v>1905</v>
      </c>
      <c r="N19" s="1038" t="s">
        <v>1917</v>
      </c>
      <c r="O19" s="1038" t="s">
        <v>1918</v>
      </c>
      <c r="P19" s="1038" t="s">
        <v>1907</v>
      </c>
      <c r="Q19" s="1038" t="s">
        <v>2206</v>
      </c>
      <c r="R19" s="1038" t="s">
        <v>1908</v>
      </c>
      <c r="S19" s="1038" t="s">
        <v>1919</v>
      </c>
      <c r="T19" s="1038" t="s">
        <v>1925</v>
      </c>
      <c r="U19" s="1038" t="s">
        <v>384</v>
      </c>
    </row>
    <row r="20" spans="1:21" ht="15" customHeight="1">
      <c r="B20" s="1060" t="str">
        <f>B9</f>
        <v>A. Unit Production Benefit</v>
      </c>
      <c r="C20" s="1061"/>
      <c r="D20" s="1061"/>
      <c r="E20" s="1061"/>
      <c r="F20" s="1061"/>
      <c r="G20" s="1061"/>
      <c r="H20" s="1061"/>
      <c r="I20" s="1062"/>
      <c r="L20" s="1038">
        <f>IFERROR(MIN(4,MATCH(Application!B726,UnitSizes,0)-1),"")</f>
        <v>1</v>
      </c>
      <c r="M20" s="1059">
        <f>Application!G726</f>
        <v>10</v>
      </c>
      <c r="N20" s="1065">
        <f>Application!AC726</f>
        <v>0.3</v>
      </c>
      <c r="O20" s="1065">
        <f>IF(Cdlac[[#This Row],[Quantity]]&gt;0,IF(Cdlac[[#This Row],[Federal]],30%,IF(AND(OR(NOT($G$38),$G$38=""),$G$43),40%,Cdlac[[#This Row],[iAMI]])),"")</f>
        <v>0.3</v>
      </c>
      <c r="P20" s="1059" cm="1">
        <f t="array" ref="P20">IF(Cdlac[[#This Row],[Quantity]]&gt;0,INDEX(TcacRents,$P$18,Cdlac[[#This Row],[Bedrooms]]+1)*Cdlac[[#This Row],[AMI]],"")</f>
        <v>852</v>
      </c>
      <c r="Q20" s="1156"/>
      <c r="R20" s="1059" cm="1">
        <f t="array" ref="R20">IF(Cdlac[[#This Row],[Quantity]]&gt;0,INDEX(HudFmrs,$P$18,Cdlac[[#This Row],[Bedrooms]]+1),"")</f>
        <v>2081</v>
      </c>
      <c r="S20" s="1059">
        <f>IF(Cdlac[[#This Row],[Quantity]]&gt;0,MAX(0,Cdlac[[#This Row],[Fair Market Rent]]-IF(AND($G$37,$G$38,$G$38&lt;&gt;"",NOT(Cdlac[[#This Row],[Federal]]),Cdlac[[#This Row],[Preservation Rent]]&lt;&gt;""),Cdlac[[#This Row],[Preservation Rent]],Cdlac[[#This Row],[Restricted Rent]])),"")</f>
        <v>1229</v>
      </c>
      <c r="T20" s="1038">
        <f>IF(Cdlac[[#This Row],[Quantity]]&gt;0,AND(Application!AK726&lt;&gt;"N/A",Application!AK726&lt;&gt;"")*Cdlac[[#This Row],[Quantity]],"")</f>
        <v>10</v>
      </c>
      <c r="U20" s="1038" t="b">
        <f>AND('Subsidy Contract Calculation'!F4&gt;0,OR('Subsidy Contract Calculation'!C4="Federal",'Subsidy Contract Calculation'!C4="Local - Approved by ED"),Cdlac[[#This Row],[Quantity]]&gt;0)</f>
        <v>1</v>
      </c>
    </row>
    <row r="21" spans="1:21" ht="15" customHeight="1">
      <c r="A21" s="1040"/>
      <c r="B21" s="1040"/>
      <c r="I21" s="1063"/>
      <c r="L21" s="1038">
        <f>IFERROR(MIN(4,MATCH(Application!B727,UnitSizes,0)-1),"")</f>
        <v>1</v>
      </c>
      <c r="M21" s="1059">
        <f>Application!G727</f>
        <v>13</v>
      </c>
      <c r="N21" s="1065">
        <f>Application!AC727</f>
        <v>0.3</v>
      </c>
      <c r="O21" s="1065">
        <f>IF(Cdlac[[#This Row],[Quantity]]&gt;0,IF(Cdlac[[#This Row],[Federal]],30%,IF(AND(OR(NOT($G$38),$G$38=""),$G$43),40%,Cdlac[[#This Row],[iAMI]])),"")</f>
        <v>0.3</v>
      </c>
      <c r="P21" s="1059" cm="1">
        <f t="array" ref="P21">IF(Cdlac[[#This Row],[Quantity]]&gt;0,INDEX(TcacRents,$P$18,Cdlac[[#This Row],[Bedrooms]]+1)*Cdlac[[#This Row],[AMI]],"")</f>
        <v>852</v>
      </c>
      <c r="Q21" s="1156"/>
      <c r="R21" s="1059" cm="1">
        <f t="array" ref="R21">IF(Cdlac[[#This Row],[Quantity]]&gt;0,INDEX(HudFmrs,$P$18,Cdlac[[#This Row],[Bedrooms]]+1),"")</f>
        <v>2081</v>
      </c>
      <c r="S21" s="1059">
        <f>IF(Cdlac[[#This Row],[Quantity]]&gt;0,MAX(0,Cdlac[[#This Row],[Fair Market Rent]]-IF(AND($G$37,$G$38,$G$38&lt;&gt;"",NOT(Cdlac[[#This Row],[Federal]]),Cdlac[[#This Row],[Preservation Rent]]&lt;&gt;""),Cdlac[[#This Row],[Preservation Rent]],Cdlac[[#This Row],[Restricted Rent]])),"")</f>
        <v>1229</v>
      </c>
      <c r="T21" s="1038">
        <f>IF(Cdlac[[#This Row],[Quantity]]&gt;0,AND(Application!AK727&lt;&gt;"N/A",Application!AK727&lt;&gt;"")*Cdlac[[#This Row],[Quantity]],"")</f>
        <v>0</v>
      </c>
      <c r="U21" s="1038" t="b">
        <f>AND('Subsidy Contract Calculation'!F5&gt;0,OR('Subsidy Contract Calculation'!C5="Federal",'Subsidy Contract Calculation'!C5="Local - Approved by ED"),Cdlac[[#This Row],[Quantity]]&gt;0)</f>
        <v>0</v>
      </c>
    </row>
    <row r="22" spans="1:21" ht="15" customHeight="1">
      <c r="A22" s="1043"/>
      <c r="C22" s="2660" t="s">
        <v>1958</v>
      </c>
      <c r="D22" s="2660" t="s">
        <v>1959</v>
      </c>
      <c r="E22" s="2660" t="s">
        <v>1960</v>
      </c>
      <c r="F22" s="2660" t="s">
        <v>2532</v>
      </c>
      <c r="G22" s="2660" t="s">
        <v>1957</v>
      </c>
      <c r="H22" s="1064"/>
      <c r="I22" s="1063"/>
      <c r="L22" s="1038">
        <f>IFERROR(MIN(4,MATCH(Application!B728,UnitSizes,0)-1),"")</f>
        <v>2</v>
      </c>
      <c r="M22" s="1059">
        <f>Application!G728</f>
        <v>4</v>
      </c>
      <c r="N22" s="1065">
        <f>Application!AC728</f>
        <v>0.3</v>
      </c>
      <c r="O22" s="1065">
        <f>IF(Cdlac[[#This Row],[Quantity]]&gt;0,IF(Cdlac[[#This Row],[Federal]],30%,IF(AND(OR(NOT($G$38),$G$38=""),$G$43),40%,Cdlac[[#This Row],[iAMI]])),"")</f>
        <v>0.3</v>
      </c>
      <c r="P22" s="1059" cm="1">
        <f t="array" ref="P22">IF(Cdlac[[#This Row],[Quantity]]&gt;0,INDEX(TcacRents,$P$18,Cdlac[[#This Row],[Bedrooms]]+1)*Cdlac[[#This Row],[AMI]],"")</f>
        <v>1021.8</v>
      </c>
      <c r="Q22" s="1156"/>
      <c r="R22" s="1059" cm="1">
        <f t="array" ref="R22">IF(Cdlac[[#This Row],[Quantity]]&gt;0,INDEX(HudFmrs,$P$18,Cdlac[[#This Row],[Bedrooms]]+1),"")</f>
        <v>2625</v>
      </c>
      <c r="S22" s="1059">
        <f>IF(Cdlac[[#This Row],[Quantity]]&gt;0,MAX(0,Cdlac[[#This Row],[Fair Market Rent]]-IF(AND($G$37,$G$38,$G$38&lt;&gt;"",NOT(Cdlac[[#This Row],[Federal]]),Cdlac[[#This Row],[Preservation Rent]]&lt;&gt;""),Cdlac[[#This Row],[Preservation Rent]],Cdlac[[#This Row],[Restricted Rent]])),"")</f>
        <v>1603.2</v>
      </c>
      <c r="T22" s="1038">
        <f>IF(Cdlac[[#This Row],[Quantity]]&gt;0,AND(Application!AK728&lt;&gt;"N/A",Application!AK728&lt;&gt;"")*Cdlac[[#This Row],[Quantity]],"")</f>
        <v>0</v>
      </c>
      <c r="U22" s="1038" t="b">
        <f>AND('Subsidy Contract Calculation'!F6&gt;0,OR('Subsidy Contract Calculation'!C6="Federal",'Subsidy Contract Calculation'!C6="Local - Approved by ED"),Cdlac[[#This Row],[Quantity]]&gt;0)</f>
        <v>0</v>
      </c>
    </row>
    <row r="23" spans="1:21" ht="15" customHeight="1">
      <c r="A23" s="1043"/>
      <c r="C23" s="2661"/>
      <c r="D23" s="2661"/>
      <c r="E23" s="2661"/>
      <c r="F23" s="2661"/>
      <c r="G23" s="2661"/>
      <c r="H23" s="1064"/>
      <c r="I23" s="1063"/>
      <c r="L23" s="1038">
        <f>IFERROR(MIN(4,MATCH(Application!B729,UnitSizes,0)-1),"")</f>
        <v>3</v>
      </c>
      <c r="M23" s="1059">
        <f>Application!G729</f>
        <v>4</v>
      </c>
      <c r="N23" s="1065">
        <f>Application!AC729</f>
        <v>0.3</v>
      </c>
      <c r="O23" s="1065">
        <f>IF(Cdlac[[#This Row],[Quantity]]&gt;0,IF(Cdlac[[#This Row],[Federal]],30%,IF(AND(OR(NOT($G$38),$G$38=""),$G$43),40%,Cdlac[[#This Row],[iAMI]])),"")</f>
        <v>0.3</v>
      </c>
      <c r="P23" s="1059" cm="1">
        <f t="array" ref="P23">IF(Cdlac[[#This Row],[Quantity]]&gt;0,INDEX(TcacRents,$P$18,Cdlac[[#This Row],[Bedrooms]]+1)*Cdlac[[#This Row],[AMI]],"")</f>
        <v>1181.3999999999999</v>
      </c>
      <c r="Q23" s="1156"/>
      <c r="R23" s="1059" cm="1">
        <f t="array" ref="R23">IF(Cdlac[[#This Row],[Quantity]]&gt;0,INDEX(HudFmrs,$P$18,Cdlac[[#This Row],[Bedrooms]]+1),"")</f>
        <v>3335</v>
      </c>
      <c r="S23" s="1059">
        <f>IF(Cdlac[[#This Row],[Quantity]]&gt;0,MAX(0,Cdlac[[#This Row],[Fair Market Rent]]-IF(AND($G$37,$G$38,$G$38&lt;&gt;"",NOT(Cdlac[[#This Row],[Federal]]),Cdlac[[#This Row],[Preservation Rent]]&lt;&gt;""),Cdlac[[#This Row],[Preservation Rent]],Cdlac[[#This Row],[Restricted Rent]])),"")</f>
        <v>2153.6000000000004</v>
      </c>
      <c r="T23" s="1038">
        <f>IF(Cdlac[[#This Row],[Quantity]]&gt;0,AND(Application!AK729&lt;&gt;"N/A",Application!AK729&lt;&gt;"")*Cdlac[[#This Row],[Quantity]],"")</f>
        <v>0</v>
      </c>
      <c r="U23" s="1038" t="b">
        <f>AND('Subsidy Contract Calculation'!F7&gt;0,OR('Subsidy Contract Calculation'!C7="Federal",'Subsidy Contract Calculation'!C7="Local - Approved by ED"),Cdlac[[#This Row],[Quantity]]&gt;0)</f>
        <v>0</v>
      </c>
    </row>
    <row r="24" spans="1:21" ht="15" customHeight="1">
      <c r="C24" s="1066">
        <v>0</v>
      </c>
      <c r="D24" s="1067">
        <v>0.9</v>
      </c>
      <c r="E24" s="1066">
        <f>SUMIFS(Cdlac[Quantity],Cdlac[Bedrooms],C24)</f>
        <v>0</v>
      </c>
      <c r="F24" s="1066">
        <f>E24</f>
        <v>0</v>
      </c>
      <c r="G24" s="1066">
        <f>D24*F24</f>
        <v>0</v>
      </c>
      <c r="L24" s="1038">
        <f>IFERROR(MIN(4,MATCH(Application!B730,UnitSizes,0)-1),"")</f>
        <v>1</v>
      </c>
      <c r="M24" s="1059">
        <f>Application!G730</f>
        <v>9</v>
      </c>
      <c r="N24" s="1065">
        <f>Application!AC730</f>
        <v>0.5</v>
      </c>
      <c r="O24" s="1065">
        <f>IF(Cdlac[[#This Row],[Quantity]]&gt;0,IF(Cdlac[[#This Row],[Federal]],30%,IF(AND(OR(NOT($G$38),$G$38=""),$G$43),40%,Cdlac[[#This Row],[iAMI]])),"")</f>
        <v>0.5</v>
      </c>
      <c r="P24" s="1059" cm="1">
        <f t="array" ref="P24">IF(Cdlac[[#This Row],[Quantity]]&gt;0,INDEX(TcacRents,$P$18,Cdlac[[#This Row],[Bedrooms]]+1)*Cdlac[[#This Row],[AMI]],"")</f>
        <v>1420</v>
      </c>
      <c r="Q24" s="1156"/>
      <c r="R24" s="1059" cm="1">
        <f t="array" ref="R24">IF(Cdlac[[#This Row],[Quantity]]&gt;0,INDEX(HudFmrs,$P$18,Cdlac[[#This Row],[Bedrooms]]+1),"")</f>
        <v>2081</v>
      </c>
      <c r="S24" s="1059">
        <f>IF(Cdlac[[#This Row],[Quantity]]&gt;0,MAX(0,Cdlac[[#This Row],[Fair Market Rent]]-IF(AND($G$37,$G$38,$G$38&lt;&gt;"",NOT(Cdlac[[#This Row],[Federal]]),Cdlac[[#This Row],[Preservation Rent]]&lt;&gt;""),Cdlac[[#This Row],[Preservation Rent]],Cdlac[[#This Row],[Restricted Rent]])),"")</f>
        <v>661</v>
      </c>
      <c r="T24" s="1038">
        <f>IF(Cdlac[[#This Row],[Quantity]]&gt;0,AND(Application!AK730&lt;&gt;"N/A",Application!AK730&lt;&gt;"")*Cdlac[[#This Row],[Quantity]],"")</f>
        <v>0</v>
      </c>
      <c r="U24" s="1038" t="b">
        <f>AND('Subsidy Contract Calculation'!F8&gt;0,OR('Subsidy Contract Calculation'!C8="Federal",'Subsidy Contract Calculation'!C8="Local - Approved by ED"),Cdlac[[#This Row],[Quantity]]&gt;0)</f>
        <v>0</v>
      </c>
    </row>
    <row r="25" spans="1:21" ht="15" customHeight="1">
      <c r="C25" s="1066">
        <v>1</v>
      </c>
      <c r="D25" s="1067">
        <v>1</v>
      </c>
      <c r="E25" s="1066">
        <f>SUMIFS(Cdlac[Quantity],Cdlac[Bedrooms],C25)</f>
        <v>58</v>
      </c>
      <c r="F25" s="1066">
        <f>E25</f>
        <v>58</v>
      </c>
      <c r="G25" s="1066">
        <f>D25*F25</f>
        <v>58</v>
      </c>
      <c r="L25" s="1038">
        <f>IFERROR(MIN(4,MATCH(Application!B731,UnitSizes,0)-1),"")</f>
        <v>3</v>
      </c>
      <c r="M25" s="1059">
        <f>Application!G731</f>
        <v>21</v>
      </c>
      <c r="N25" s="1065">
        <f>Application!AC731</f>
        <v>0.5</v>
      </c>
      <c r="O25" s="1065">
        <f>IF(Cdlac[[#This Row],[Quantity]]&gt;0,IF(Cdlac[[#This Row],[Federal]],30%,IF(AND(OR(NOT($G$38),$G$38=""),$G$43),40%,Cdlac[[#This Row],[iAMI]])),"")</f>
        <v>0.5</v>
      </c>
      <c r="P25" s="1059" cm="1">
        <f t="array" ref="P25">IF(Cdlac[[#This Row],[Quantity]]&gt;0,INDEX(TcacRents,$P$18,Cdlac[[#This Row],[Bedrooms]]+1)*Cdlac[[#This Row],[AMI]],"")</f>
        <v>1969</v>
      </c>
      <c r="Q25" s="1156"/>
      <c r="R25" s="1059" cm="1">
        <f t="array" ref="R25">IF(Cdlac[[#This Row],[Quantity]]&gt;0,INDEX(HudFmrs,$P$18,Cdlac[[#This Row],[Bedrooms]]+1),"")</f>
        <v>3335</v>
      </c>
      <c r="S25" s="1059">
        <f>IF(Cdlac[[#This Row],[Quantity]]&gt;0,MAX(0,Cdlac[[#This Row],[Fair Market Rent]]-IF(AND($G$37,$G$38,$G$38&lt;&gt;"",NOT(Cdlac[[#This Row],[Federal]]),Cdlac[[#This Row],[Preservation Rent]]&lt;&gt;""),Cdlac[[#This Row],[Preservation Rent]],Cdlac[[#This Row],[Restricted Rent]])),"")</f>
        <v>1366</v>
      </c>
      <c r="T25" s="1038">
        <f>IF(Cdlac[[#This Row],[Quantity]]&gt;0,AND(Application!AK731&lt;&gt;"N/A",Application!AK731&lt;&gt;"")*Cdlac[[#This Row],[Quantity]],"")</f>
        <v>0</v>
      </c>
      <c r="U25" s="1038" t="b">
        <f>AND('Subsidy Contract Calculation'!F9&gt;0,OR('Subsidy Contract Calculation'!C9="Federal",'Subsidy Contract Calculation'!C9="Local - Approved by ED"),Cdlac[[#This Row],[Quantity]]&gt;0)</f>
        <v>0</v>
      </c>
    </row>
    <row r="26" spans="1:21" ht="15" customHeight="1">
      <c r="A26" s="1068"/>
      <c r="C26" s="1069">
        <v>2</v>
      </c>
      <c r="D26" s="1067">
        <v>1.25</v>
      </c>
      <c r="E26" s="1066">
        <f>SUMIFS(Cdlac[Quantity],Cdlac[Bedrooms],C26)</f>
        <v>31</v>
      </c>
      <c r="F26" s="1069">
        <f>SUM(E26:E28)-SUM(F27:F28)</f>
        <v>31</v>
      </c>
      <c r="G26" s="1066">
        <f>D26*F26</f>
        <v>38.75</v>
      </c>
      <c r="H26" s="1068"/>
      <c r="I26" s="1068"/>
      <c r="L26" s="1038">
        <f>IFERROR(MIN(4,MATCH(Application!B732,UnitSizes,0)-1),"")</f>
        <v>1</v>
      </c>
      <c r="M26" s="1059">
        <f>Application!G732</f>
        <v>26</v>
      </c>
      <c r="N26" s="1065">
        <f>Application!AC732</f>
        <v>0.6</v>
      </c>
      <c r="O26" s="1065">
        <f>IF(Cdlac[[#This Row],[Quantity]]&gt;0,IF(Cdlac[[#This Row],[Federal]],30%,IF(AND(OR(NOT($G$38),$G$38=""),$G$43),40%,Cdlac[[#This Row],[iAMI]])),"")</f>
        <v>0.6</v>
      </c>
      <c r="P26" s="1059" cm="1">
        <f t="array" ref="P26">IF(Cdlac[[#This Row],[Quantity]]&gt;0,INDEX(TcacRents,$P$18,Cdlac[[#This Row],[Bedrooms]]+1)*Cdlac[[#This Row],[AMI]],"")</f>
        <v>1704</v>
      </c>
      <c r="Q26" s="1156"/>
      <c r="R26" s="1059" cm="1">
        <f t="array" ref="R26">IF(Cdlac[[#This Row],[Quantity]]&gt;0,INDEX(HudFmrs,$P$18,Cdlac[[#This Row],[Bedrooms]]+1),"")</f>
        <v>2081</v>
      </c>
      <c r="S26" s="1059">
        <f>IF(Cdlac[[#This Row],[Quantity]]&gt;0,MAX(0,Cdlac[[#This Row],[Fair Market Rent]]-IF(AND($G$37,$G$38,$G$38&lt;&gt;"",NOT(Cdlac[[#This Row],[Federal]]),Cdlac[[#This Row],[Preservation Rent]]&lt;&gt;""),Cdlac[[#This Row],[Preservation Rent]],Cdlac[[#This Row],[Restricted Rent]])),"")</f>
        <v>377</v>
      </c>
      <c r="T26" s="1038">
        <f>IF(Cdlac[[#This Row],[Quantity]]&gt;0,AND(Application!AK732&lt;&gt;"N/A",Application!AK732&lt;&gt;"")*Cdlac[[#This Row],[Quantity]],"")</f>
        <v>0</v>
      </c>
      <c r="U26" s="1038" t="b">
        <f>AND('Subsidy Contract Calculation'!F10&gt;0,OR('Subsidy Contract Calculation'!C10="Federal",'Subsidy Contract Calculation'!C10="Local - Approved by ED"),Cdlac[[#This Row],[Quantity]]&gt;0)</f>
        <v>0</v>
      </c>
    </row>
    <row r="27" spans="1:21" ht="15" customHeight="1">
      <c r="A27" s="1068"/>
      <c r="C27" s="1069">
        <v>3</v>
      </c>
      <c r="D27" s="1067">
        <f>1.5+0.25*0</f>
        <v>1.5</v>
      </c>
      <c r="E27" s="1066">
        <f>SUMIFS(Cdlac[Quantity],Cdlac[Bedrooms],C27)</f>
        <v>33</v>
      </c>
      <c r="F27" s="1069">
        <f>MIN(E27,ROUNDDOWN(E29*30%,0))</f>
        <v>33</v>
      </c>
      <c r="G27" s="1066">
        <f>D27*F27</f>
        <v>49.5</v>
      </c>
      <c r="H27" s="1068"/>
      <c r="I27" s="1068"/>
      <c r="L27" s="1038">
        <f>IFERROR(MIN(4,MATCH(Application!B733,UnitSizes,0)-1),"")</f>
        <v>2</v>
      </c>
      <c r="M27" s="1059">
        <f>Application!G733</f>
        <v>27</v>
      </c>
      <c r="N27" s="1065">
        <f>Application!AC733</f>
        <v>0.6</v>
      </c>
      <c r="O27" s="1065">
        <f>IF(Cdlac[[#This Row],[Quantity]]&gt;0,IF(Cdlac[[#This Row],[Federal]],30%,IF(AND(OR(NOT($G$38),$G$38=""),$G$43),40%,Cdlac[[#This Row],[iAMI]])),"")</f>
        <v>0.6</v>
      </c>
      <c r="P27" s="1059" cm="1">
        <f t="array" ref="P27">IF(Cdlac[[#This Row],[Quantity]]&gt;0,INDEX(TcacRents,$P$18,Cdlac[[#This Row],[Bedrooms]]+1)*Cdlac[[#This Row],[AMI]],"")</f>
        <v>2043.6</v>
      </c>
      <c r="Q27" s="1156"/>
      <c r="R27" s="1059" cm="1">
        <f t="array" ref="R27">IF(Cdlac[[#This Row],[Quantity]]&gt;0,INDEX(HudFmrs,$P$18,Cdlac[[#This Row],[Bedrooms]]+1),"")</f>
        <v>2625</v>
      </c>
      <c r="S27" s="1059">
        <f>IF(Cdlac[[#This Row],[Quantity]]&gt;0,MAX(0,Cdlac[[#This Row],[Fair Market Rent]]-IF(AND($G$37,$G$38,$G$38&lt;&gt;"",NOT(Cdlac[[#This Row],[Federal]]),Cdlac[[#This Row],[Preservation Rent]]&lt;&gt;""),Cdlac[[#This Row],[Preservation Rent]],Cdlac[[#This Row],[Restricted Rent]])),"")</f>
        <v>581.40000000000009</v>
      </c>
      <c r="T27" s="1038">
        <f>IF(Cdlac[[#This Row],[Quantity]]&gt;0,AND(Application!AK733&lt;&gt;"N/A",Application!AK733&lt;&gt;"")*Cdlac[[#This Row],[Quantity]],"")</f>
        <v>0</v>
      </c>
      <c r="U27" s="1038" t="b">
        <f>AND('Subsidy Contract Calculation'!F11&gt;0,OR('Subsidy Contract Calculation'!C11="Federal",'Subsidy Contract Calculation'!C11="Local - Approved by ED"),Cdlac[[#This Row],[Quantity]]&gt;0)</f>
        <v>0</v>
      </c>
    </row>
    <row r="28" spans="1:21" ht="15" customHeight="1" thickBot="1">
      <c r="A28" s="1068"/>
      <c r="C28" s="1080">
        <v>4</v>
      </c>
      <c r="D28" s="1081">
        <f>1.75+0.25*0</f>
        <v>1.75</v>
      </c>
      <c r="E28" s="1082">
        <f>SUMIFS(Cdlac[Quantity],Cdlac[Bedrooms],C28)</f>
        <v>0</v>
      </c>
      <c r="F28" s="1080">
        <f>MIN(E28,ROUNDDOWN(E29*10%,0))</f>
        <v>0</v>
      </c>
      <c r="G28" s="1082">
        <f>D28*F28</f>
        <v>0</v>
      </c>
      <c r="H28" s="1068"/>
      <c r="I28" s="1068"/>
      <c r="L28" s="1038">
        <f>IFERROR(MIN(4,MATCH(Application!B734,UnitSizes,0)-1),"")</f>
        <v>3</v>
      </c>
      <c r="M28" s="1059">
        <f>Application!G734</f>
        <v>8</v>
      </c>
      <c r="N28" s="1065">
        <f>Application!AC734</f>
        <v>0.6</v>
      </c>
      <c r="O28" s="1065">
        <f>IF(Cdlac[[#This Row],[Quantity]]&gt;0,IF(Cdlac[[#This Row],[Federal]],30%,IF(AND(OR(NOT($G$38),$G$38=""),$G$43),40%,Cdlac[[#This Row],[iAMI]])),"")</f>
        <v>0.6</v>
      </c>
      <c r="P28" s="1059" cm="1">
        <f t="array" ref="P28">IF(Cdlac[[#This Row],[Quantity]]&gt;0,INDEX(TcacRents,$P$18,Cdlac[[#This Row],[Bedrooms]]+1)*Cdlac[[#This Row],[AMI]],"")</f>
        <v>2362.7999999999997</v>
      </c>
      <c r="Q28" s="1156"/>
      <c r="R28" s="1059" cm="1">
        <f t="array" ref="R28">IF(Cdlac[[#This Row],[Quantity]]&gt;0,INDEX(HudFmrs,$P$18,Cdlac[[#This Row],[Bedrooms]]+1),"")</f>
        <v>3335</v>
      </c>
      <c r="S28" s="1059">
        <f>IF(Cdlac[[#This Row],[Quantity]]&gt;0,MAX(0,Cdlac[[#This Row],[Fair Market Rent]]-IF(AND($G$37,$G$38,$G$38&lt;&gt;"",NOT(Cdlac[[#This Row],[Federal]]),Cdlac[[#This Row],[Preservation Rent]]&lt;&gt;""),Cdlac[[#This Row],[Preservation Rent]],Cdlac[[#This Row],[Restricted Rent]])),"")</f>
        <v>972.20000000000027</v>
      </c>
      <c r="T28" s="1038">
        <f>IF(Cdlac[[#This Row],[Quantity]]&gt;0,AND(Application!AK734&lt;&gt;"N/A",Application!AK734&lt;&gt;"")*Cdlac[[#This Row],[Quantity]],"")</f>
        <v>0</v>
      </c>
      <c r="U28" s="1038" t="b">
        <f>AND('Subsidy Contract Calculation'!F12&gt;0,OR('Subsidy Contract Calculation'!C12="Federal",'Subsidy Contract Calculation'!C12="Local - Approved by ED"),Cdlac[[#This Row],[Quantity]]&gt;0)</f>
        <v>0</v>
      </c>
    </row>
    <row r="29" spans="1:21" ht="15" customHeight="1">
      <c r="A29" s="1068"/>
      <c r="C29" s="2690" t="s">
        <v>1573</v>
      </c>
      <c r="D29" s="2691"/>
      <c r="E29" s="1083">
        <f>SUM(E24:E28)</f>
        <v>122</v>
      </c>
      <c r="F29" s="1083">
        <f>SUM(F24:F28)</f>
        <v>122</v>
      </c>
      <c r="G29" s="1084">
        <f>SUMPRODUCT(D24:D28,F24:F28)</f>
        <v>146.25</v>
      </c>
      <c r="H29" s="1068"/>
      <c r="I29" s="1068"/>
      <c r="L29" s="1038" t="str">
        <f>IFERROR(MIN(4,MATCH(Application!B735,UnitSizes,0)-1),"")</f>
        <v/>
      </c>
      <c r="M29" s="1059">
        <f>Application!G735</f>
        <v>0</v>
      </c>
      <c r="N29" s="1065">
        <f>Application!AC735</f>
        <v>0</v>
      </c>
      <c r="O29" s="1065" t="str">
        <f>IF(Cdlac[[#This Row],[Quantity]]&gt;0,IF(Cdlac[[#This Row],[Federal]],30%,IF(AND(OR(NOT($G$38),$G$38=""),$G$43),40%,Cdlac[[#This Row],[iAMI]])),"")</f>
        <v/>
      </c>
      <c r="P29" s="1059" t="str" cm="1">
        <f t="array" ref="P29">IF(Cdlac[[#This Row],[Quantity]]&gt;0,INDEX(TcacRents,$P$18,Cdlac[[#This Row],[Bedrooms]]+1)*Cdlac[[#This Row],[AMI]],"")</f>
        <v/>
      </c>
      <c r="Q29" s="1156"/>
      <c r="R29" s="1059" t="str" cm="1">
        <f t="array" ref="R29">IF(Cdlac[[#This Row],[Quantity]]&gt;0,INDEX(HudFmrs,$P$18,Cdlac[[#This Row],[Bedrooms]]+1),"")</f>
        <v/>
      </c>
      <c r="S29" s="1059" t="str">
        <f>IF(Cdlac[[#This Row],[Quantity]]&gt;0,MAX(0,Cdlac[[#This Row],[Fair Market Rent]]-IF(AND($G$37,$G$38,$G$38&lt;&gt;"",NOT(Cdlac[[#This Row],[Federal]]),Cdlac[[#This Row],[Preservation Rent]]&lt;&gt;""),Cdlac[[#This Row],[Preservation Rent]],Cdlac[[#This Row],[Restricted Rent]])),"")</f>
        <v/>
      </c>
      <c r="T29" s="1038" t="str">
        <f>IF(Cdlac[[#This Row],[Quantity]]&gt;0,AND(Application!AK735&lt;&gt;"N/A",Application!AK735&lt;&gt;"")*Cdlac[[#This Row],[Quantity]],"")</f>
        <v/>
      </c>
      <c r="U29" s="1038" t="b">
        <f>AND('Subsidy Contract Calculation'!F13&gt;0,OR('Subsidy Contract Calculation'!C13="Federal",'Subsidy Contract Calculation'!C13="Local - Approved by ED"),Cdlac[[#This Row],[Quantity]]&gt;0)</f>
        <v>0</v>
      </c>
    </row>
    <row r="30" spans="1:21" ht="15" customHeight="1">
      <c r="A30" s="1068"/>
      <c r="C30" s="1068"/>
      <c r="D30" s="1068"/>
      <c r="E30" s="1068"/>
      <c r="F30" s="1068"/>
      <c r="G30" s="1068"/>
      <c r="H30" s="1068"/>
      <c r="I30" s="1068"/>
      <c r="L30" s="1038" t="str">
        <f>IFERROR(MIN(4,MATCH(Application!B736,UnitSizes,0)-1),"")</f>
        <v/>
      </c>
      <c r="M30" s="1059">
        <f>Application!G736</f>
        <v>0</v>
      </c>
      <c r="N30" s="1065">
        <f>Application!AC736</f>
        <v>0</v>
      </c>
      <c r="O30" s="1065" t="str">
        <f>IF(Cdlac[[#This Row],[Quantity]]&gt;0,IF(Cdlac[[#This Row],[Federal]],30%,IF(AND(OR(NOT($G$38),$G$38=""),$G$43),40%,Cdlac[[#This Row],[iAMI]])),"")</f>
        <v/>
      </c>
      <c r="P30" s="1059" t="str" cm="1">
        <f t="array" ref="P30">IF(Cdlac[[#This Row],[Quantity]]&gt;0,INDEX(TcacRents,$P$18,Cdlac[[#This Row],[Bedrooms]]+1)*Cdlac[[#This Row],[AMI]],"")</f>
        <v/>
      </c>
      <c r="Q30" s="1156"/>
      <c r="R30" s="1059" t="str" cm="1">
        <f t="array" ref="R30">IF(Cdlac[[#This Row],[Quantity]]&gt;0,INDEX(HudFmrs,$P$18,Cdlac[[#This Row],[Bedrooms]]+1),"")</f>
        <v/>
      </c>
      <c r="S30" s="1059" t="str">
        <f>IF(Cdlac[[#This Row],[Quantity]]&gt;0,MAX(0,Cdlac[[#This Row],[Fair Market Rent]]-IF(AND($G$37,$G$38,$G$38&lt;&gt;"",NOT(Cdlac[[#This Row],[Federal]]),Cdlac[[#This Row],[Preservation Rent]]&lt;&gt;""),Cdlac[[#This Row],[Preservation Rent]],Cdlac[[#This Row],[Restricted Rent]])),"")</f>
        <v/>
      </c>
      <c r="T30" s="1038" t="str">
        <f>IF(Cdlac[[#This Row],[Quantity]]&gt;0,AND(Application!AK736&lt;&gt;"N/A",Application!AK736&lt;&gt;"")*Cdlac[[#This Row],[Quantity]],"")</f>
        <v/>
      </c>
      <c r="U30" s="1038" t="b">
        <f>AND('Subsidy Contract Calculation'!F14&gt;0,OR('Subsidy Contract Calculation'!C14="Federal",'Subsidy Contract Calculation'!C14="Local - Approved by ED"),Cdlac[[#This Row],[Quantity]]&gt;0)</f>
        <v>0</v>
      </c>
    </row>
    <row r="31" spans="1:21" ht="15" customHeight="1">
      <c r="A31" s="1068"/>
      <c r="E31" s="1110" t="s">
        <v>1957</v>
      </c>
      <c r="G31" s="1107">
        <f>G29</f>
        <v>146.25</v>
      </c>
      <c r="H31" s="1068"/>
      <c r="I31" s="1068"/>
      <c r="L31" s="1038" t="str">
        <f>IFERROR(MIN(4,MATCH(Application!B737,UnitSizes,0)-1),"")</f>
        <v/>
      </c>
      <c r="M31" s="1059">
        <f>Application!G737</f>
        <v>0</v>
      </c>
      <c r="N31" s="1065">
        <f>Application!AC737</f>
        <v>0</v>
      </c>
      <c r="O31" s="1065" t="str">
        <f>IF(Cdlac[[#This Row],[Quantity]]&gt;0,IF(Cdlac[[#This Row],[Federal]],30%,IF(AND(OR(NOT($G$38),$G$38=""),$G$43),40%,Cdlac[[#This Row],[iAMI]])),"")</f>
        <v/>
      </c>
      <c r="P31" s="1059" t="str" cm="1">
        <f t="array" ref="P31">IF(Cdlac[[#This Row],[Quantity]]&gt;0,INDEX(TcacRents,$P$18,Cdlac[[#This Row],[Bedrooms]]+1)*Cdlac[[#This Row],[AMI]],"")</f>
        <v/>
      </c>
      <c r="Q31" s="1156"/>
      <c r="R31" s="1059" t="str" cm="1">
        <f t="array" ref="R31">IF(Cdlac[[#This Row],[Quantity]]&gt;0,INDEX(HudFmrs,$P$18,Cdlac[[#This Row],[Bedrooms]]+1),"")</f>
        <v/>
      </c>
      <c r="S31" s="1059" t="str">
        <f>IF(Cdlac[[#This Row],[Quantity]]&gt;0,MAX(0,Cdlac[[#This Row],[Fair Market Rent]]-IF(AND($G$37,$G$38,$G$38&lt;&gt;"",NOT(Cdlac[[#This Row],[Federal]]),Cdlac[[#This Row],[Preservation Rent]]&lt;&gt;""),Cdlac[[#This Row],[Preservation Rent]],Cdlac[[#This Row],[Restricted Rent]])),"")</f>
        <v/>
      </c>
      <c r="T31" s="1038" t="str">
        <f>IF(Cdlac[[#This Row],[Quantity]]&gt;0,AND(Application!AK737&lt;&gt;"N/A",Application!AK737&lt;&gt;"")*Cdlac[[#This Row],[Quantity]],"")</f>
        <v/>
      </c>
      <c r="U31" s="1038" t="b">
        <f>AND('Subsidy Contract Calculation'!F15&gt;0,OR('Subsidy Contract Calculation'!C15="Federal",'Subsidy Contract Calculation'!C15="Local - Approved by ED"),Cdlac[[#This Row],[Quantity]]&gt;0)</f>
        <v>0</v>
      </c>
    </row>
    <row r="32" spans="1:21" ht="15" customHeight="1">
      <c r="A32" s="1068"/>
      <c r="E32" s="1110" t="s">
        <v>1916</v>
      </c>
      <c r="F32" s="1106" t="s">
        <v>1964</v>
      </c>
      <c r="G32" s="1108">
        <v>50000</v>
      </c>
      <c r="H32" s="1068"/>
      <c r="I32" s="1068"/>
      <c r="L32" s="1038" t="str">
        <f>IFERROR(MIN(4,MATCH(Application!B738,UnitSizes,0)-1),"")</f>
        <v/>
      </c>
      <c r="M32" s="1059">
        <f>Application!G738</f>
        <v>0</v>
      </c>
      <c r="N32" s="1065">
        <f>Application!AC738</f>
        <v>0</v>
      </c>
      <c r="O32" s="1065" t="str">
        <f>IF(Cdlac[[#This Row],[Quantity]]&gt;0,IF(Cdlac[[#This Row],[Federal]],30%,IF(AND(OR(NOT($G$38),$G$38=""),$G$43),40%,Cdlac[[#This Row],[iAMI]])),"")</f>
        <v/>
      </c>
      <c r="P32" s="1059" t="str" cm="1">
        <f t="array" ref="P32">IF(Cdlac[[#This Row],[Quantity]]&gt;0,INDEX(TcacRents,$P$18,Cdlac[[#This Row],[Bedrooms]]+1)*Cdlac[[#This Row],[AMI]],"")</f>
        <v/>
      </c>
      <c r="Q32" s="1156"/>
      <c r="R32" s="1059" t="str" cm="1">
        <f t="array" ref="R32">IF(Cdlac[[#This Row],[Quantity]]&gt;0,INDEX(HudFmrs,$P$18,Cdlac[[#This Row],[Bedrooms]]+1),"")</f>
        <v/>
      </c>
      <c r="S32" s="1059" t="str">
        <f>IF(Cdlac[[#This Row],[Quantity]]&gt;0,MAX(0,Cdlac[[#This Row],[Fair Market Rent]]-IF(AND($G$37,$G$38,$G$38&lt;&gt;"",NOT(Cdlac[[#This Row],[Federal]]),Cdlac[[#This Row],[Preservation Rent]]&lt;&gt;""),Cdlac[[#This Row],[Preservation Rent]],Cdlac[[#This Row],[Restricted Rent]])),"")</f>
        <v/>
      </c>
      <c r="T32" s="1038" t="str">
        <f>IF(Cdlac[[#This Row],[Quantity]]&gt;0,AND(Application!AK738&lt;&gt;"N/A",Application!AK738&lt;&gt;"")*Cdlac[[#This Row],[Quantity]],"")</f>
        <v/>
      </c>
      <c r="U32" s="1038" t="b">
        <f>AND('Subsidy Contract Calculation'!F16&gt;0,OR('Subsidy Contract Calculation'!C16="Federal",'Subsidy Contract Calculation'!C16="Local - Approved by ED"),Cdlac[[#This Row],[Quantity]]&gt;0)</f>
        <v>0</v>
      </c>
    </row>
    <row r="33" spans="1:21" ht="15" customHeight="1">
      <c r="A33" s="1068"/>
      <c r="E33" s="1111" t="s">
        <v>1950</v>
      </c>
      <c r="F33" s="1040"/>
      <c r="G33" s="1112">
        <f>G32*G31</f>
        <v>7312500</v>
      </c>
      <c r="H33" s="1068"/>
      <c r="I33" s="1068"/>
      <c r="L33" s="1038" t="str">
        <f>IFERROR(MIN(4,MATCH(Application!B739,UnitSizes,0)-1),"")</f>
        <v/>
      </c>
      <c r="M33" s="1059">
        <f>Application!G739</f>
        <v>0</v>
      </c>
      <c r="N33" s="1065">
        <f>Application!AC739</f>
        <v>0</v>
      </c>
      <c r="O33" s="1065" t="str">
        <f>IF(Cdlac[[#This Row],[Quantity]]&gt;0,IF(Cdlac[[#This Row],[Federal]],30%,IF(AND(OR(NOT($G$38),$G$38=""),$G$43),40%,Cdlac[[#This Row],[iAMI]])),"")</f>
        <v/>
      </c>
      <c r="P33" s="1059" t="str" cm="1">
        <f t="array" ref="P33">IF(Cdlac[[#This Row],[Quantity]]&gt;0,INDEX(TcacRents,$P$18,Cdlac[[#This Row],[Bedrooms]]+1)*Cdlac[[#This Row],[AMI]],"")</f>
        <v/>
      </c>
      <c r="Q33" s="1156"/>
      <c r="R33" s="1059" t="str" cm="1">
        <f t="array" ref="R33">IF(Cdlac[[#This Row],[Quantity]]&gt;0,INDEX(HudFmrs,$P$18,Cdlac[[#This Row],[Bedrooms]]+1),"")</f>
        <v/>
      </c>
      <c r="S33" s="1059" t="str">
        <f>IF(Cdlac[[#This Row],[Quantity]]&gt;0,MAX(0,Cdlac[[#This Row],[Fair Market Rent]]-IF(AND($G$37,$G$38,$G$38&lt;&gt;"",NOT(Cdlac[[#This Row],[Federal]]),Cdlac[[#This Row],[Preservation Rent]]&lt;&gt;""),Cdlac[[#This Row],[Preservation Rent]],Cdlac[[#This Row],[Restricted Rent]])),"")</f>
        <v/>
      </c>
      <c r="T33" s="1038" t="str">
        <f>IF(Cdlac[[#This Row],[Quantity]]&gt;0,AND(Application!AK739&lt;&gt;"N/A",Application!AK739&lt;&gt;"")*Cdlac[[#This Row],[Quantity]],"")</f>
        <v/>
      </c>
      <c r="U33" s="1038" t="b">
        <f>AND('Subsidy Contract Calculation'!F17&gt;0,OR('Subsidy Contract Calculation'!C17="Federal",'Subsidy Contract Calculation'!C17="Local - Approved by ED"),Cdlac[[#This Row],[Quantity]]&gt;0)</f>
        <v>0</v>
      </c>
    </row>
    <row r="34" spans="1:21" ht="15" customHeight="1">
      <c r="A34" s="1068"/>
      <c r="B34" s="1068"/>
      <c r="C34" s="1068"/>
      <c r="D34" s="1068"/>
      <c r="E34" s="1068"/>
      <c r="F34" s="1068"/>
      <c r="G34" s="1068"/>
      <c r="H34" s="1068"/>
      <c r="I34" s="1068"/>
      <c r="L34" s="1038" t="str">
        <f>IFERROR(MIN(4,MATCH(Application!B740,UnitSizes,0)-1),"")</f>
        <v/>
      </c>
      <c r="M34" s="1059">
        <f>Application!G740</f>
        <v>0</v>
      </c>
      <c r="N34" s="1065">
        <f>Application!AC740</f>
        <v>0</v>
      </c>
      <c r="O34" s="1065" t="str">
        <f>IF(Cdlac[[#This Row],[Quantity]]&gt;0,IF(Cdlac[[#This Row],[Federal]],30%,IF(AND(OR(NOT($G$38),$G$38=""),$G$43),40%,Cdlac[[#This Row],[iAMI]])),"")</f>
        <v/>
      </c>
      <c r="P34" s="1059" t="str" cm="1">
        <f t="array" ref="P34">IF(Cdlac[[#This Row],[Quantity]]&gt;0,INDEX(TcacRents,$P$18,Cdlac[[#This Row],[Bedrooms]]+1)*Cdlac[[#This Row],[AMI]],"")</f>
        <v/>
      </c>
      <c r="Q34" s="1156"/>
      <c r="R34" s="1059" t="str" cm="1">
        <f t="array" ref="R34">IF(Cdlac[[#This Row],[Quantity]]&gt;0,INDEX(HudFmrs,$P$18,Cdlac[[#This Row],[Bedrooms]]+1),"")</f>
        <v/>
      </c>
      <c r="S34" s="1059" t="str">
        <f>IF(Cdlac[[#This Row],[Quantity]]&gt;0,MAX(0,Cdlac[[#This Row],[Fair Market Rent]]-IF(AND($G$37,$G$38,$G$38&lt;&gt;"",NOT(Cdlac[[#This Row],[Federal]]),Cdlac[[#This Row],[Preservation Rent]]&lt;&gt;""),Cdlac[[#This Row],[Preservation Rent]],Cdlac[[#This Row],[Restricted Rent]])),"")</f>
        <v/>
      </c>
      <c r="T34" s="1038" t="str">
        <f>IF(Cdlac[[#This Row],[Quantity]]&gt;0,AND(Application!AK740&lt;&gt;"N/A",Application!AK740&lt;&gt;"")*Cdlac[[#This Row],[Quantity]],"")</f>
        <v/>
      </c>
      <c r="U34" s="1038" t="b">
        <f>AND('Subsidy Contract Calculation'!F18&gt;0,OR('Subsidy Contract Calculation'!C18="Federal",'Subsidy Contract Calculation'!C18="Local - Approved by ED"),Cdlac[[#This Row],[Quantity]]&gt;0)</f>
        <v>0</v>
      </c>
    </row>
    <row r="35" spans="1:21" ht="15" customHeight="1">
      <c r="B35" s="1060" t="str">
        <f>B10</f>
        <v>B. Rent Savings Benefit</v>
      </c>
      <c r="C35" s="1061"/>
      <c r="D35" s="1061"/>
      <c r="E35" s="1061"/>
      <c r="F35" s="1061"/>
      <c r="G35" s="1061"/>
      <c r="H35" s="1061"/>
      <c r="I35" s="1062"/>
      <c r="L35" s="1038" t="str">
        <f>IFERROR(MIN(4,MATCH(Application!B741,UnitSizes,0)-1),"")</f>
        <v/>
      </c>
      <c r="M35" s="1059">
        <f>Application!G741</f>
        <v>0</v>
      </c>
      <c r="N35" s="1065">
        <f>Application!AC741</f>
        <v>0</v>
      </c>
      <c r="O35" s="1065" t="str">
        <f>IF(Cdlac[[#This Row],[Quantity]]&gt;0,IF(Cdlac[[#This Row],[Federal]],30%,IF(AND(OR(NOT($G$38),$G$38=""),$G$43),40%,Cdlac[[#This Row],[iAMI]])),"")</f>
        <v/>
      </c>
      <c r="P35" s="1059" t="str" cm="1">
        <f t="array" ref="P35">IF(Cdlac[[#This Row],[Quantity]]&gt;0,INDEX(TcacRents,$P$18,Cdlac[[#This Row],[Bedrooms]]+1)*Cdlac[[#This Row],[AMI]],"")</f>
        <v/>
      </c>
      <c r="Q35" s="1156"/>
      <c r="R35" s="1059" t="str" cm="1">
        <f t="array" ref="R35">IF(Cdlac[[#This Row],[Quantity]]&gt;0,INDEX(HudFmrs,$P$18,Cdlac[[#This Row],[Bedrooms]]+1),"")</f>
        <v/>
      </c>
      <c r="S35" s="1059" t="str">
        <f>IF(Cdlac[[#This Row],[Quantity]]&gt;0,MAX(0,Cdlac[[#This Row],[Fair Market Rent]]-IF(AND($G$37,$G$38,$G$38&lt;&gt;"",NOT(Cdlac[[#This Row],[Federal]]),Cdlac[[#This Row],[Preservation Rent]]&lt;&gt;""),Cdlac[[#This Row],[Preservation Rent]],Cdlac[[#This Row],[Restricted Rent]])),"")</f>
        <v/>
      </c>
      <c r="T35" s="1038" t="str">
        <f>IF(Cdlac[[#This Row],[Quantity]]&gt;0,AND(Application!AK741&lt;&gt;"N/A",Application!AK741&lt;&gt;"")*Cdlac[[#This Row],[Quantity]],"")</f>
        <v/>
      </c>
      <c r="U35" s="1038" t="b">
        <f>AND('Subsidy Contract Calculation'!F19&gt;0,OR('Subsidy Contract Calculation'!C19="Federal",'Subsidy Contract Calculation'!C19="Local - Approved by ED"),Cdlac[[#This Row],[Quantity]]&gt;0)</f>
        <v>0</v>
      </c>
    </row>
    <row r="36" spans="1:21" ht="15" customHeight="1">
      <c r="L36" s="1038" t="str">
        <f>IFERROR(MIN(4,MATCH(Application!B742,UnitSizes,0)-1),"")</f>
        <v/>
      </c>
      <c r="M36" s="1059">
        <f>Application!G742</f>
        <v>0</v>
      </c>
      <c r="N36" s="1065">
        <f>Application!AC742</f>
        <v>0</v>
      </c>
      <c r="O36" s="1065" t="str">
        <f>IF(Cdlac[[#This Row],[Quantity]]&gt;0,IF(Cdlac[[#This Row],[Federal]],30%,IF(AND(OR(NOT($G$38),$G$38=""),$G$43),40%,Cdlac[[#This Row],[iAMI]])),"")</f>
        <v/>
      </c>
      <c r="P36" s="1059" t="str" cm="1">
        <f t="array" ref="P36">IF(Cdlac[[#This Row],[Quantity]]&gt;0,INDEX(TcacRents,$P$18,Cdlac[[#This Row],[Bedrooms]]+1)*Cdlac[[#This Row],[AMI]],"")</f>
        <v/>
      </c>
      <c r="Q36" s="1156"/>
      <c r="R36" s="1059" t="str" cm="1">
        <f t="array" ref="R36">IF(Cdlac[[#This Row],[Quantity]]&gt;0,INDEX(HudFmrs,$P$18,Cdlac[[#This Row],[Bedrooms]]+1),"")</f>
        <v/>
      </c>
      <c r="S36" s="1059" t="str">
        <f>IF(Cdlac[[#This Row],[Quantity]]&gt;0,MAX(0,Cdlac[[#This Row],[Fair Market Rent]]-IF(AND($G$37,$G$38,$G$38&lt;&gt;"",NOT(Cdlac[[#This Row],[Federal]]),Cdlac[[#This Row],[Preservation Rent]]&lt;&gt;""),Cdlac[[#This Row],[Preservation Rent]],Cdlac[[#This Row],[Restricted Rent]])),"")</f>
        <v/>
      </c>
      <c r="T36" s="1038" t="str">
        <f>IF(Cdlac[[#This Row],[Quantity]]&gt;0,AND(Application!AK742&lt;&gt;"N/A",Application!AK742&lt;&gt;"")*Cdlac[[#This Row],[Quantity]],"")</f>
        <v/>
      </c>
      <c r="U36" s="1038" t="b">
        <f>AND('Subsidy Contract Calculation'!F20&gt;0,OR('Subsidy Contract Calculation'!C20="Federal",'Subsidy Contract Calculation'!C20="Local - Approved by ED"),Cdlac[[#This Row],[Quantity]]&gt;0)</f>
        <v>0</v>
      </c>
    </row>
    <row r="37" spans="1:21" ht="15" customHeight="1">
      <c r="E37" s="1078" t="s">
        <v>2570</v>
      </c>
      <c r="G37" s="1038" t="b">
        <f>'Points System'!AK61&gt;0</f>
        <v>0</v>
      </c>
      <c r="L37" s="1038" t="str">
        <f>IFERROR(MIN(4,MATCH(Application!B743,UnitSizes,0)-1),"")</f>
        <v/>
      </c>
      <c r="M37" s="1059">
        <f>Application!G743</f>
        <v>0</v>
      </c>
      <c r="N37" s="1065">
        <f>Application!AC743</f>
        <v>0</v>
      </c>
      <c r="O37" s="1065" t="str">
        <f>IF(Cdlac[[#This Row],[Quantity]]&gt;0,IF(Cdlac[[#This Row],[Federal]],30%,IF(AND(OR(NOT($G$38),$G$38=""),$G$43),40%,Cdlac[[#This Row],[iAMI]])),"")</f>
        <v/>
      </c>
      <c r="P37" s="1059" t="str" cm="1">
        <f t="array" ref="P37">IF(Cdlac[[#This Row],[Quantity]]&gt;0,INDEX(TcacRents,$P$18,Cdlac[[#This Row],[Bedrooms]]+1)*Cdlac[[#This Row],[AMI]],"")</f>
        <v/>
      </c>
      <c r="Q37" s="1156"/>
      <c r="R37" s="1059" t="str" cm="1">
        <f t="array" ref="R37">IF(Cdlac[[#This Row],[Quantity]]&gt;0,INDEX(HudFmrs,$P$18,Cdlac[[#This Row],[Bedrooms]]+1),"")</f>
        <v/>
      </c>
      <c r="S37" s="1059" t="str">
        <f>IF(Cdlac[[#This Row],[Quantity]]&gt;0,MAX(0,Cdlac[[#This Row],[Fair Market Rent]]-IF(AND($G$37,$G$38,$G$38&lt;&gt;"",NOT(Cdlac[[#This Row],[Federal]]),Cdlac[[#This Row],[Preservation Rent]]&lt;&gt;""),Cdlac[[#This Row],[Preservation Rent]],Cdlac[[#This Row],[Restricted Rent]])),"")</f>
        <v/>
      </c>
      <c r="T37" s="1038" t="str">
        <f>IF(Cdlac[[#This Row],[Quantity]]&gt;0,AND(Application!AK743&lt;&gt;"N/A",Application!AK743&lt;&gt;"")*Cdlac[[#This Row],[Quantity]],"")</f>
        <v/>
      </c>
      <c r="U37" s="1038" t="b">
        <f>AND('Subsidy Contract Calculation'!F21&gt;0,OR('Subsidy Contract Calculation'!C21="Federal",'Subsidy Contract Calculation'!C21="Local - Approved by ED"),Cdlac[[#This Row],[Quantity]]&gt;0)</f>
        <v>0</v>
      </c>
    </row>
    <row r="38" spans="1:21" ht="15" customHeight="1">
      <c r="E38" s="1078" t="s">
        <v>2205</v>
      </c>
      <c r="G38" s="1155"/>
      <c r="L38" s="1038" t="str">
        <f>IFERROR(MIN(4,MATCH(Application!B744,UnitSizes,0)-1),"")</f>
        <v/>
      </c>
      <c r="M38" s="1059">
        <f>Application!G744</f>
        <v>0</v>
      </c>
      <c r="N38" s="1065">
        <f>Application!AC744</f>
        <v>0</v>
      </c>
      <c r="O38" s="1065" t="str">
        <f>IF(Cdlac[[#This Row],[Quantity]]&gt;0,IF(Cdlac[[#This Row],[Federal]],30%,IF(AND(OR(NOT($G$38),$G$38=""),$G$43),40%,Cdlac[[#This Row],[iAMI]])),"")</f>
        <v/>
      </c>
      <c r="P38" s="1059" t="str" cm="1">
        <f t="array" ref="P38">IF(Cdlac[[#This Row],[Quantity]]&gt;0,INDEX(TcacRents,$P$18,Cdlac[[#This Row],[Bedrooms]]+1)*Cdlac[[#This Row],[AMI]],"")</f>
        <v/>
      </c>
      <c r="Q38" s="1156"/>
      <c r="R38" s="1059" t="str" cm="1">
        <f t="array" ref="R38">IF(Cdlac[[#This Row],[Quantity]]&gt;0,INDEX(HudFmrs,$P$18,Cdlac[[#This Row],[Bedrooms]]+1),"")</f>
        <v/>
      </c>
      <c r="S38" s="1059" t="str">
        <f>IF(Cdlac[[#This Row],[Quantity]]&gt;0,MAX(0,Cdlac[[#This Row],[Fair Market Rent]]-IF(AND($G$37,$G$38,$G$38&lt;&gt;"",NOT(Cdlac[[#This Row],[Federal]]),Cdlac[[#This Row],[Preservation Rent]]&lt;&gt;""),Cdlac[[#This Row],[Preservation Rent]],Cdlac[[#This Row],[Restricted Rent]])),"")</f>
        <v/>
      </c>
      <c r="T38" s="1038" t="str">
        <f>IF(Cdlac[[#This Row],[Quantity]]&gt;0,AND(Application!AK744&lt;&gt;"N/A",Application!AK744&lt;&gt;"")*Cdlac[[#This Row],[Quantity]],"")</f>
        <v/>
      </c>
      <c r="U38" s="1038" t="b">
        <f>AND('Subsidy Contract Calculation'!F22&gt;0,OR('Subsidy Contract Calculation'!C22="Federal",'Subsidy Contract Calculation'!C22="Local - Approved by ED"),Cdlac[[#This Row],[Quantity]]&gt;0)</f>
        <v>0</v>
      </c>
    </row>
    <row r="39" spans="1:21" ht="15" customHeight="1">
      <c r="C39" s="2693" t="str">
        <f>IF(AND(G37,G38,G38&lt;&gt;""),"Enter the average rent charged for each unit type over the last three years, as documented with rent rolls or property audits, in cells Q20:Q44","")</f>
        <v/>
      </c>
      <c r="D39" s="2693"/>
      <c r="E39" s="2693"/>
      <c r="F39" s="2693"/>
      <c r="G39" s="2693"/>
      <c r="H39" s="2693"/>
      <c r="L39" s="1038" t="str">
        <f>IFERROR(MIN(4,MATCH(Application!B745,UnitSizes,0)-1),"")</f>
        <v/>
      </c>
      <c r="M39" s="1059">
        <f>Application!G745</f>
        <v>0</v>
      </c>
      <c r="N39" s="1065">
        <f>Application!AC745</f>
        <v>0</v>
      </c>
      <c r="O39" s="1065" t="str">
        <f>IF(Cdlac[[#This Row],[Quantity]]&gt;0,IF(Cdlac[[#This Row],[Federal]],30%,IF(AND(OR(NOT($G$38),$G$38=""),$G$43),40%,Cdlac[[#This Row],[iAMI]])),"")</f>
        <v/>
      </c>
      <c r="P39" s="1059" t="str" cm="1">
        <f t="array" ref="P39">IF(Cdlac[[#This Row],[Quantity]]&gt;0,INDEX(TcacRents,$P$18,Cdlac[[#This Row],[Bedrooms]]+1)*Cdlac[[#This Row],[AMI]],"")</f>
        <v/>
      </c>
      <c r="Q39" s="1156"/>
      <c r="R39" s="1059" t="str" cm="1">
        <f t="array" ref="R39">IF(Cdlac[[#This Row],[Quantity]]&gt;0,INDEX(HudFmrs,$P$18,Cdlac[[#This Row],[Bedrooms]]+1),"")</f>
        <v/>
      </c>
      <c r="S39" s="1059" t="str">
        <f>IF(Cdlac[[#This Row],[Quantity]]&gt;0,MAX(0,Cdlac[[#This Row],[Fair Market Rent]]-IF(AND($G$37,$G$38,$G$38&lt;&gt;"",NOT(Cdlac[[#This Row],[Federal]]),Cdlac[[#This Row],[Preservation Rent]]&lt;&gt;""),Cdlac[[#This Row],[Preservation Rent]],Cdlac[[#This Row],[Restricted Rent]])),"")</f>
        <v/>
      </c>
      <c r="T39" s="1038" t="str">
        <f>IF(Cdlac[[#This Row],[Quantity]]&gt;0,AND(Application!AK745&lt;&gt;"N/A",Application!AK745&lt;&gt;"")*Cdlac[[#This Row],[Quantity]],"")</f>
        <v/>
      </c>
      <c r="U39" s="1038" t="b">
        <f>AND('Subsidy Contract Calculation'!F23&gt;0,OR('Subsidy Contract Calculation'!C23="Federal",'Subsidy Contract Calculation'!C23="Local - Approved by ED"),Cdlac[[#This Row],[Quantity]]&gt;0)</f>
        <v>0</v>
      </c>
    </row>
    <row r="40" spans="1:21" ht="15" customHeight="1">
      <c r="C40" s="2693"/>
      <c r="D40" s="2693"/>
      <c r="E40" s="2693"/>
      <c r="F40" s="2693"/>
      <c r="G40" s="2693"/>
      <c r="H40" s="2693"/>
      <c r="L40" s="1038" t="str">
        <f>IFERROR(MIN(4,MATCH(Application!B746,UnitSizes,0)-1),"")</f>
        <v/>
      </c>
      <c r="M40" s="1059">
        <f>Application!G746</f>
        <v>0</v>
      </c>
      <c r="N40" s="1065">
        <f>Application!AC746</f>
        <v>0</v>
      </c>
      <c r="O40" s="1065" t="str">
        <f>IF(Cdlac[[#This Row],[Quantity]]&gt;0,IF(Cdlac[[#This Row],[Federal]],30%,IF(AND(OR(NOT($G$38),$G$38=""),$G$43),40%,Cdlac[[#This Row],[iAMI]])),"")</f>
        <v/>
      </c>
      <c r="P40" s="1059" t="str" cm="1">
        <f t="array" ref="P40">IF(Cdlac[[#This Row],[Quantity]]&gt;0,INDEX(TcacRents,$P$18,Cdlac[[#This Row],[Bedrooms]]+1)*Cdlac[[#This Row],[AMI]],"")</f>
        <v/>
      </c>
      <c r="Q40" s="1156"/>
      <c r="R40" s="1059" t="str" cm="1">
        <f t="array" ref="R40">IF(Cdlac[[#This Row],[Quantity]]&gt;0,INDEX(HudFmrs,$P$18,Cdlac[[#This Row],[Bedrooms]]+1),"")</f>
        <v/>
      </c>
      <c r="S40" s="1059" t="str">
        <f>IF(Cdlac[[#This Row],[Quantity]]&gt;0,MAX(0,Cdlac[[#This Row],[Fair Market Rent]]-IF(AND($G$37,$G$38,$G$38&lt;&gt;"",NOT(Cdlac[[#This Row],[Federal]]),Cdlac[[#This Row],[Preservation Rent]]&lt;&gt;""),Cdlac[[#This Row],[Preservation Rent]],Cdlac[[#This Row],[Restricted Rent]])),"")</f>
        <v/>
      </c>
      <c r="T40" s="1038" t="str">
        <f>IF(Cdlac[[#This Row],[Quantity]]&gt;0,AND(Application!AK746&lt;&gt;"N/A",Application!AK746&lt;&gt;"")*Cdlac[[#This Row],[Quantity]],"")</f>
        <v/>
      </c>
      <c r="U40" s="1038" t="b">
        <f>AND('Subsidy Contract Calculation'!F24&gt;0,OR('Subsidy Contract Calculation'!C24="Federal",'Subsidy Contract Calculation'!C24="Local - Approved by ED"),Cdlac[[#This Row],[Quantity]]&gt;0)</f>
        <v>0</v>
      </c>
    </row>
    <row r="41" spans="1:21" ht="15" customHeight="1">
      <c r="C41" s="2693"/>
      <c r="D41" s="2693"/>
      <c r="E41" s="2693"/>
      <c r="F41" s="2693"/>
      <c r="G41" s="2693"/>
      <c r="H41" s="2693"/>
      <c r="L41" s="1038" t="str">
        <f>IFERROR(MIN(4,MATCH(Application!B747,UnitSizes,0)-1),"")</f>
        <v/>
      </c>
      <c r="M41" s="1059">
        <f>Application!G747</f>
        <v>0</v>
      </c>
      <c r="N41" s="1065">
        <f>Application!AC747</f>
        <v>0</v>
      </c>
      <c r="O41" s="1065" t="str">
        <f>IF(Cdlac[[#This Row],[Quantity]]&gt;0,IF(Cdlac[[#This Row],[Federal]],30%,IF(AND(OR(NOT($G$38),$G$38=""),$G$43),40%,Cdlac[[#This Row],[iAMI]])),"")</f>
        <v/>
      </c>
      <c r="P41" s="1059" t="str" cm="1">
        <f t="array" ref="P41">IF(Cdlac[[#This Row],[Quantity]]&gt;0,INDEX(TcacRents,$P$18,Cdlac[[#This Row],[Bedrooms]]+1)*Cdlac[[#This Row],[AMI]],"")</f>
        <v/>
      </c>
      <c r="Q41" s="1156"/>
      <c r="R41" s="1059" t="str" cm="1">
        <f t="array" ref="R41">IF(Cdlac[[#This Row],[Quantity]]&gt;0,INDEX(HudFmrs,$P$18,Cdlac[[#This Row],[Bedrooms]]+1),"")</f>
        <v/>
      </c>
      <c r="S41" s="1059" t="str">
        <f>IF(Cdlac[[#This Row],[Quantity]]&gt;0,MAX(0,Cdlac[[#This Row],[Fair Market Rent]]-IF(AND($G$37,$G$38,$G$38&lt;&gt;"",NOT(Cdlac[[#This Row],[Federal]]),Cdlac[[#This Row],[Preservation Rent]]&lt;&gt;""),Cdlac[[#This Row],[Preservation Rent]],Cdlac[[#This Row],[Restricted Rent]])),"")</f>
        <v/>
      </c>
      <c r="T41" s="1038" t="str">
        <f>IF(Cdlac[[#This Row],[Quantity]]&gt;0,AND(Application!AK747&lt;&gt;"N/A",Application!AK747&lt;&gt;"")*Cdlac[[#This Row],[Quantity]],"")</f>
        <v/>
      </c>
      <c r="U41" s="1038" t="b">
        <f>AND('Subsidy Contract Calculation'!F25&gt;0,OR('Subsidy Contract Calculation'!C25="Federal",'Subsidy Contract Calculation'!C25="Local - Approved by ED"),Cdlac[[#This Row],[Quantity]]&gt;0)</f>
        <v>0</v>
      </c>
    </row>
    <row r="42" spans="1:21" ht="15" customHeight="1">
      <c r="E42" s="1078" t="s">
        <v>1975</v>
      </c>
      <c r="G42" s="1113" cm="1">
        <f t="array" ref="G42">SUMPRODUCT(Cdlac[Quantity],Cdlac[iAMI],IF(Cdlac[Federal],0,1))/SUMIFS(Cdlac[Quantity],Cdlac[Federal],FALSE)</f>
        <v>0.51696428571428565</v>
      </c>
      <c r="L42" s="1038" t="str">
        <f>IFERROR(MIN(4,MATCH(Application!B748,UnitSizes,0)-1),"")</f>
        <v/>
      </c>
      <c r="M42" s="1059">
        <f>Application!G748</f>
        <v>0</v>
      </c>
      <c r="N42" s="1065">
        <f>Application!AC748</f>
        <v>0</v>
      </c>
      <c r="O42" s="1065" t="str">
        <f>IF(Cdlac[[#This Row],[Quantity]]&gt;0,IF(Cdlac[[#This Row],[Federal]],30%,IF(AND(OR(NOT($G$38),$G$38=""),$G$43),40%,Cdlac[[#This Row],[iAMI]])),"")</f>
        <v/>
      </c>
      <c r="P42" s="1059" t="str" cm="1">
        <f t="array" ref="P42">IF(Cdlac[[#This Row],[Quantity]]&gt;0,INDEX(TcacRents,$P$18,Cdlac[[#This Row],[Bedrooms]]+1)*Cdlac[[#This Row],[AMI]],"")</f>
        <v/>
      </c>
      <c r="Q42" s="1156"/>
      <c r="R42" s="1059" t="str" cm="1">
        <f t="array" ref="R42">IF(Cdlac[[#This Row],[Quantity]]&gt;0,INDEX(HudFmrs,$P$18,Cdlac[[#This Row],[Bedrooms]]+1),"")</f>
        <v/>
      </c>
      <c r="S42" s="1059" t="str">
        <f>IF(Cdlac[[#This Row],[Quantity]]&gt;0,MAX(0,Cdlac[[#This Row],[Fair Market Rent]]-IF(AND($G$37,$G$38,$G$38&lt;&gt;"",NOT(Cdlac[[#This Row],[Federal]]),Cdlac[[#This Row],[Preservation Rent]]&lt;&gt;""),Cdlac[[#This Row],[Preservation Rent]],Cdlac[[#This Row],[Restricted Rent]])),"")</f>
        <v/>
      </c>
      <c r="T42" s="1038" t="str">
        <f>IF(Cdlac[[#This Row],[Quantity]]&gt;0,AND(Application!AK748&lt;&gt;"N/A",Application!AK748&lt;&gt;"")*Cdlac[[#This Row],[Quantity]],"")</f>
        <v/>
      </c>
      <c r="U42" s="1038" t="b">
        <f>AND('Subsidy Contract Calculation'!F26&gt;0,OR('Subsidy Contract Calculation'!C26="Federal",'Subsidy Contract Calculation'!C26="Local - Approved by ED"),Cdlac[[#This Row],[Quantity]]&gt;0)</f>
        <v>0</v>
      </c>
    </row>
    <row r="43" spans="1:21" ht="15" customHeight="1">
      <c r="E43" s="1078" t="s">
        <v>1970</v>
      </c>
      <c r="G43" s="1075" t="b">
        <f>G42&lt;40%</f>
        <v>0</v>
      </c>
      <c r="L43" s="1038" t="str">
        <f>IFERROR(MIN(4,MATCH(Application!B749,UnitSizes,0)-1),"")</f>
        <v/>
      </c>
      <c r="M43" s="1059">
        <f>Application!G749</f>
        <v>0</v>
      </c>
      <c r="N43" s="1065">
        <f>Application!AC749</f>
        <v>0</v>
      </c>
      <c r="O43" s="1065" t="str">
        <f>IF(Cdlac[[#This Row],[Quantity]]&gt;0,IF(Cdlac[[#This Row],[Federal]],30%,IF(AND(OR(NOT($G$38),$G$38=""),$G$43),40%,Cdlac[[#This Row],[iAMI]])),"")</f>
        <v/>
      </c>
      <c r="P43" s="1059" t="str" cm="1">
        <f t="array" ref="P43">IF(Cdlac[[#This Row],[Quantity]]&gt;0,INDEX(TcacRents,$P$18,Cdlac[[#This Row],[Bedrooms]]+1)*Cdlac[[#This Row],[AMI]],"")</f>
        <v/>
      </c>
      <c r="Q43" s="1156"/>
      <c r="R43" s="1059" t="str" cm="1">
        <f t="array" ref="R43">IF(Cdlac[[#This Row],[Quantity]]&gt;0,INDEX(HudFmrs,$P$18,Cdlac[[#This Row],[Bedrooms]]+1),"")</f>
        <v/>
      </c>
      <c r="S43" s="1059" t="str">
        <f>IF(Cdlac[[#This Row],[Quantity]]&gt;0,MAX(0,Cdlac[[#This Row],[Fair Market Rent]]-IF(AND($G$37,$G$38,$G$38&lt;&gt;"",NOT(Cdlac[[#This Row],[Federal]]),Cdlac[[#This Row],[Preservation Rent]]&lt;&gt;""),Cdlac[[#This Row],[Preservation Rent]],Cdlac[[#This Row],[Restricted Rent]])),"")</f>
        <v/>
      </c>
      <c r="T43" s="1038" t="str">
        <f>IF(Cdlac[[#This Row],[Quantity]]&gt;0,AND(Application!AK749&lt;&gt;"N/A",Application!AK749&lt;&gt;"")*Cdlac[[#This Row],[Quantity]],"")</f>
        <v/>
      </c>
      <c r="U43" s="1038" t="b">
        <f>AND('Subsidy Contract Calculation'!F27&gt;0,OR('Subsidy Contract Calculation'!C27="Federal",'Subsidy Contract Calculation'!C27="Local - Approved by ED"),Cdlac[[#This Row],[Quantity]]&gt;0)</f>
        <v>0</v>
      </c>
    </row>
    <row r="44" spans="1:21" ht="15" customHeight="1">
      <c r="L44" s="1038" t="str">
        <f>IFERROR(MIN(4,MATCH(Application!B750,UnitSizes,0)-1),"")</f>
        <v/>
      </c>
      <c r="M44" s="1059">
        <f>Application!G750</f>
        <v>0</v>
      </c>
      <c r="N44" s="1065">
        <f>Application!AC750</f>
        <v>0</v>
      </c>
      <c r="O44" s="1065" t="str">
        <f>IF(Cdlac[[#This Row],[Quantity]]&gt;0,IF(Cdlac[[#This Row],[Federal]],30%,IF(AND(OR(NOT($G$38),$G$38=""),$G$43),40%,Cdlac[[#This Row],[iAMI]])),"")</f>
        <v/>
      </c>
      <c r="P44" s="1059" t="str" cm="1">
        <f t="array" ref="P44">IF(Cdlac[[#This Row],[Quantity]]&gt;0,INDEX(TcacRents,$P$18,Cdlac[[#This Row],[Bedrooms]]+1)*Cdlac[[#This Row],[AMI]],"")</f>
        <v/>
      </c>
      <c r="Q44" s="1156"/>
      <c r="R44" s="1059" t="str" cm="1">
        <f t="array" ref="R44">IF(Cdlac[[#This Row],[Quantity]]&gt;0,INDEX(HudFmrs,$P$18,Cdlac[[#This Row],[Bedrooms]]+1),"")</f>
        <v/>
      </c>
      <c r="S44" s="1059" t="str">
        <f>IF(Cdlac[[#This Row],[Quantity]]&gt;0,MAX(0,Cdlac[[#This Row],[Fair Market Rent]]-IF(AND($G$37,$G$38,$G$38&lt;&gt;"",NOT(Cdlac[[#This Row],[Federal]]),Cdlac[[#This Row],[Preservation Rent]]&lt;&gt;""),Cdlac[[#This Row],[Preservation Rent]],Cdlac[[#This Row],[Restricted Rent]])),"")</f>
        <v/>
      </c>
      <c r="T44" s="1038" t="str">
        <f>IF(Cdlac[[#This Row],[Quantity]]&gt;0,AND(Application!AK750&lt;&gt;"N/A",Application!AK750&lt;&gt;"")*Cdlac[[#This Row],[Quantity]],"")</f>
        <v/>
      </c>
      <c r="U44" s="1038" t="b">
        <f>AND('Subsidy Contract Calculation'!F28&gt;0,OR('Subsidy Contract Calculation'!C28="Federal",'Subsidy Contract Calculation'!C28="Local - Approved by ED"),Cdlac[[#This Row],[Quantity]]&gt;0)</f>
        <v>0</v>
      </c>
    </row>
    <row r="45" spans="1:21" ht="15" customHeight="1">
      <c r="E45" s="1078" t="s">
        <v>1920</v>
      </c>
      <c r="G45" s="1072">
        <f>IFERROR(SUMPRODUCT(Cdlac[Quantity],Cdlac[Delta]),0)</f>
        <v>111206.60000000002</v>
      </c>
      <c r="L45" s="1038" t="str">
        <f>IFERROR(MIN(4,MATCH(Application!B751,UnitSizes,0)-1),"")</f>
        <v/>
      </c>
      <c r="M45" s="1059">
        <f>Application!G751</f>
        <v>0</v>
      </c>
      <c r="N45" s="1065">
        <f>Application!AC751</f>
        <v>0</v>
      </c>
      <c r="O45" s="1065" t="str">
        <f>IF(Cdlac[[#This Row],[Quantity]]&gt;0,IF(Cdlac[[#This Row],[Federal]],30%,IF(AND(OR(NOT($G$38),$G$38=""),$G$43),40%,Cdlac[[#This Row],[iAMI]])),"")</f>
        <v/>
      </c>
      <c r="P45" s="1059" t="str" cm="1">
        <f t="array" ref="P45">IF(Cdlac[[#This Row],[Quantity]]&gt;0,INDEX(TcacRents,$P$18,Cdlac[[#This Row],[Bedrooms]]+1)*Cdlac[[#This Row],[AMI]],"")</f>
        <v/>
      </c>
      <c r="Q45" s="1156"/>
      <c r="R45" s="1059" t="str" cm="1">
        <f t="array" ref="R45">IF(Cdlac[[#This Row],[Quantity]]&gt;0,INDEX(HudFmrs,$P$18,Cdlac[[#This Row],[Bedrooms]]+1),"")</f>
        <v/>
      </c>
      <c r="S45" s="1059" t="str">
        <f>IF(Cdlac[[#This Row],[Quantity]]&gt;0,MAX(0,Cdlac[[#This Row],[Fair Market Rent]]-IF(AND($G$37,$G$38,$G$38&lt;&gt;"",NOT(Cdlac[[#This Row],[Federal]]),Cdlac[[#This Row],[Preservation Rent]]&lt;&gt;""),Cdlac[[#This Row],[Preservation Rent]],Cdlac[[#This Row],[Restricted Rent]])),"")</f>
        <v/>
      </c>
      <c r="T45" s="1038" t="str">
        <f>IF(Cdlac[[#This Row],[Quantity]]&gt;0,AND(Application!AK751&lt;&gt;"N/A",Application!AK751&lt;&gt;"")*Cdlac[[#This Row],[Quantity]],"")</f>
        <v/>
      </c>
      <c r="U45" s="1038" t="b">
        <f>AND('Subsidy Contract Calculation'!F29&gt;0,OR('Subsidy Contract Calculation'!C29="Federal",'Subsidy Contract Calculation'!C29="Local - Approved by ED"),Cdlac[[#This Row],[Quantity]]&gt;0)</f>
        <v>0</v>
      </c>
    </row>
    <row r="46" spans="1:21" ht="15" customHeight="1">
      <c r="E46" s="1110" t="s">
        <v>1976</v>
      </c>
      <c r="F46" s="1106" t="s">
        <v>1964</v>
      </c>
      <c r="G46" s="1114">
        <f>12*15</f>
        <v>180</v>
      </c>
      <c r="L46" s="1038" t="str">
        <f>IFERROR(MIN(4,MATCH(Application!B752,UnitSizes,0)-1),"")</f>
        <v/>
      </c>
      <c r="M46" s="1059">
        <f>Application!G752</f>
        <v>0</v>
      </c>
      <c r="N46" s="1065">
        <f>Application!AC752</f>
        <v>0</v>
      </c>
      <c r="O46" s="1065" t="str">
        <f>IF(Cdlac[[#This Row],[Quantity]]&gt;0,IF(Cdlac[[#This Row],[Federal]],30%,IF(AND(OR(NOT($G$38),$G$38=""),$G$43),40%,Cdlac[[#This Row],[iAMI]])),"")</f>
        <v/>
      </c>
      <c r="P46" s="1059" t="str" cm="1">
        <f t="array" ref="P46">IF(Cdlac[[#This Row],[Quantity]]&gt;0,INDEX(TcacRents,$P$18,Cdlac[[#This Row],[Bedrooms]]+1)*Cdlac[[#This Row],[AMI]],"")</f>
        <v/>
      </c>
      <c r="Q46" s="1156"/>
      <c r="R46" s="1059" t="str" cm="1">
        <f t="array" ref="R46">IF(Cdlac[[#This Row],[Quantity]]&gt;0,INDEX(HudFmrs,$P$18,Cdlac[[#This Row],[Bedrooms]]+1),"")</f>
        <v/>
      </c>
      <c r="S46" s="1059" t="str">
        <f>IF(Cdlac[[#This Row],[Quantity]]&gt;0,MAX(0,Cdlac[[#This Row],[Fair Market Rent]]-IF(AND($G$37,$G$38,$G$38&lt;&gt;"",NOT(Cdlac[[#This Row],[Federal]]),Cdlac[[#This Row],[Preservation Rent]]&lt;&gt;""),Cdlac[[#This Row],[Preservation Rent]],Cdlac[[#This Row],[Restricted Rent]])),"")</f>
        <v/>
      </c>
      <c r="T46" s="1038" t="str">
        <f>IF(Cdlac[[#This Row],[Quantity]]&gt;0,AND(Application!AK752&lt;&gt;"N/A",Application!AK752&lt;&gt;"")*Cdlac[[#This Row],[Quantity]],"")</f>
        <v/>
      </c>
      <c r="U46" s="1038" t="b">
        <f>AND('Subsidy Contract Calculation'!F30&gt;0,OR('Subsidy Contract Calculation'!C30="Federal",'Subsidy Contract Calculation'!C30="Local - Approved by ED"),Cdlac[[#This Row],[Quantity]]&gt;0)</f>
        <v>0</v>
      </c>
    </row>
    <row r="47" spans="1:21" ht="15" customHeight="1">
      <c r="E47" s="1115" t="s">
        <v>1915</v>
      </c>
      <c r="F47" s="1040"/>
      <c r="G47" s="1116">
        <f>G45*G46</f>
        <v>20017188.000000004</v>
      </c>
      <c r="L47" s="1038" t="str">
        <f>IFERROR(MIN(4,MATCH(Application!B753,UnitSizes,0)-1),"")</f>
        <v/>
      </c>
      <c r="M47" s="1059">
        <f>Application!G753</f>
        <v>0</v>
      </c>
      <c r="N47" s="1065">
        <f>Application!AC753</f>
        <v>0</v>
      </c>
      <c r="O47" s="1065" t="str">
        <f>IF(Cdlac[[#This Row],[Quantity]]&gt;0,IF(Cdlac[[#This Row],[Federal]],30%,IF(AND(OR(NOT($G$38),$G$38=""),$G$43),40%,Cdlac[[#This Row],[iAMI]])),"")</f>
        <v/>
      </c>
      <c r="P47" s="1059" t="str" cm="1">
        <f t="array" ref="P47">IF(Cdlac[[#This Row],[Quantity]]&gt;0,INDEX(TcacRents,$P$18,Cdlac[[#This Row],[Bedrooms]]+1)*Cdlac[[#This Row],[AMI]],"")</f>
        <v/>
      </c>
      <c r="Q47" s="1156"/>
      <c r="R47" s="1059" t="str" cm="1">
        <f t="array" ref="R47">IF(Cdlac[[#This Row],[Quantity]]&gt;0,INDEX(HudFmrs,$P$18,Cdlac[[#This Row],[Bedrooms]]+1),"")</f>
        <v/>
      </c>
      <c r="S47" s="1059" t="str">
        <f>IF(Cdlac[[#This Row],[Quantity]]&gt;0,MAX(0,Cdlac[[#This Row],[Fair Market Rent]]-IF(AND($G$37,$G$38,$G$38&lt;&gt;"",NOT(Cdlac[[#This Row],[Federal]]),Cdlac[[#This Row],[Preservation Rent]]&lt;&gt;""),Cdlac[[#This Row],[Preservation Rent]],Cdlac[[#This Row],[Restricted Rent]])),"")</f>
        <v/>
      </c>
      <c r="T47" s="1038" t="str">
        <f>IF(Cdlac[[#This Row],[Quantity]]&gt;0,AND(Application!AK753&lt;&gt;"N/A",Application!AK753&lt;&gt;"")*Cdlac[[#This Row],[Quantity]],"")</f>
        <v/>
      </c>
      <c r="U47" s="1038" t="b">
        <f>AND('Subsidy Contract Calculation'!F31&gt;0,OR('Subsidy Contract Calculation'!C31="Federal",'Subsidy Contract Calculation'!C31="Local - Approved by ED"),Cdlac[[#This Row],[Quantity]]&gt;0)</f>
        <v>0</v>
      </c>
    </row>
    <row r="48" spans="1:21" ht="15" customHeight="1">
      <c r="L48" s="1038" t="str">
        <f>IFERROR(MIN(4,MATCH(Application!B754,UnitSizes,0)-1),"")</f>
        <v/>
      </c>
      <c r="M48" s="1059">
        <f>Application!G754</f>
        <v>0</v>
      </c>
      <c r="N48" s="1065">
        <f>Application!AC754</f>
        <v>0</v>
      </c>
      <c r="O48" s="1065" t="str">
        <f>IF(Cdlac[[#This Row],[Quantity]]&gt;0,IF(Cdlac[[#This Row],[Federal]],30%,IF(AND(OR(NOT($G$38),$G$38=""),$G$43),40%,Cdlac[[#This Row],[iAMI]])),"")</f>
        <v/>
      </c>
      <c r="P48" s="1059" t="str" cm="1">
        <f t="array" ref="P48">IF(Cdlac[[#This Row],[Quantity]]&gt;0,INDEX(TcacRents,$P$18,Cdlac[[#This Row],[Bedrooms]]+1)*Cdlac[[#This Row],[AMI]],"")</f>
        <v/>
      </c>
      <c r="Q48" s="1156"/>
      <c r="R48" s="1059" t="str" cm="1">
        <f t="array" ref="R48">IF(Cdlac[[#This Row],[Quantity]]&gt;0,INDEX(HudFmrs,$P$18,Cdlac[[#This Row],[Bedrooms]]+1),"")</f>
        <v/>
      </c>
      <c r="S48" s="1059" t="str">
        <f>IF(Cdlac[[#This Row],[Quantity]]&gt;0,MAX(0,Cdlac[[#This Row],[Fair Market Rent]]-IF(AND($G$37,$G$38,$G$38&lt;&gt;"",NOT(Cdlac[[#This Row],[Federal]]),Cdlac[[#This Row],[Preservation Rent]]&lt;&gt;""),Cdlac[[#This Row],[Preservation Rent]],Cdlac[[#This Row],[Restricted Rent]])),"")</f>
        <v/>
      </c>
      <c r="T48" s="1038" t="str">
        <f>IF(Cdlac[[#This Row],[Quantity]]&gt;0,AND(Application!AK754&lt;&gt;"N/A",Application!AK754&lt;&gt;"")*Cdlac[[#This Row],[Quantity]],"")</f>
        <v/>
      </c>
      <c r="U48" s="1038" t="b">
        <f>AND('Subsidy Contract Calculation'!F32&gt;0,OR('Subsidy Contract Calculation'!C32="Federal",'Subsidy Contract Calculation'!C32="Local - Approved by ED"),Cdlac[[#This Row],[Quantity]]&gt;0)</f>
        <v>0</v>
      </c>
    </row>
    <row r="49" spans="2:21" ht="15" customHeight="1">
      <c r="B49" s="1060" t="str">
        <f>B11&amp;": "&amp;B12</f>
        <v>C. Population Benefit: (i) Extremely Low Income Benefit</v>
      </c>
      <c r="C49" s="1061"/>
      <c r="D49" s="1061"/>
      <c r="E49" s="1061"/>
      <c r="F49" s="1061"/>
      <c r="G49" s="1061"/>
      <c r="H49" s="1061"/>
      <c r="I49" s="1062"/>
      <c r="L49" s="1038" t="str">
        <f>IFERROR(MIN(4,MATCH(Application!B755,UnitSizes,0)-1),"")</f>
        <v/>
      </c>
      <c r="M49" s="1059">
        <f>Application!G755</f>
        <v>0</v>
      </c>
      <c r="N49" s="1065">
        <f>Application!AC755</f>
        <v>0</v>
      </c>
      <c r="O49" s="1065" t="str">
        <f>IF(Cdlac[[#This Row],[Quantity]]&gt;0,IF(Cdlac[[#This Row],[Federal]],30%,IF(AND(OR(NOT($G$38),$G$38=""),$G$43),40%,Cdlac[[#This Row],[iAMI]])),"")</f>
        <v/>
      </c>
      <c r="P49" s="1059" t="str" cm="1">
        <f t="array" ref="P49">IF(Cdlac[[#This Row],[Quantity]]&gt;0,INDEX(TcacRents,$P$18,Cdlac[[#This Row],[Bedrooms]]+1)*Cdlac[[#This Row],[AMI]],"")</f>
        <v/>
      </c>
      <c r="Q49" s="1156"/>
      <c r="R49" s="1059" t="str" cm="1">
        <f t="array" ref="R49">IF(Cdlac[[#This Row],[Quantity]]&gt;0,INDEX(HudFmrs,$P$18,Cdlac[[#This Row],[Bedrooms]]+1),"")</f>
        <v/>
      </c>
      <c r="S49" s="1059" t="str">
        <f>IF(Cdlac[[#This Row],[Quantity]]&gt;0,MAX(0,Cdlac[[#This Row],[Fair Market Rent]]-IF(AND($G$37,$G$38,$G$38&lt;&gt;"",NOT(Cdlac[[#This Row],[Federal]]),Cdlac[[#This Row],[Preservation Rent]]&lt;&gt;""),Cdlac[[#This Row],[Preservation Rent]],Cdlac[[#This Row],[Restricted Rent]])),"")</f>
        <v/>
      </c>
      <c r="T49" s="1038" t="str">
        <f>IF(Cdlac[[#This Row],[Quantity]]&gt;0,AND(Application!AK755&lt;&gt;"N/A",Application!AK755&lt;&gt;"")*Cdlac[[#This Row],[Quantity]],"")</f>
        <v/>
      </c>
      <c r="U49" s="1038" t="b">
        <f>AND('Subsidy Contract Calculation'!F33&gt;0,OR('Subsidy Contract Calculation'!C33="Federal",'Subsidy Contract Calculation'!C33="Local - Approved by ED"),Cdlac[[#This Row],[Quantity]]&gt;0)</f>
        <v>0</v>
      </c>
    </row>
    <row r="50" spans="2:21" ht="15" customHeight="1">
      <c r="L50" s="1038" t="str">
        <f>IFERROR(MIN(4,MATCH(Application!B756,UnitSizes,0)-1),"")</f>
        <v/>
      </c>
      <c r="M50" s="1059">
        <f>Application!G756</f>
        <v>0</v>
      </c>
      <c r="N50" s="1065">
        <f>Application!AC756</f>
        <v>0</v>
      </c>
      <c r="O50" s="1065" t="str">
        <f>IF(Cdlac[[#This Row],[Quantity]]&gt;0,IF(Cdlac[[#This Row],[Federal]],30%,IF(AND(OR(NOT($G$38),$G$38=""),$G$43),40%,Cdlac[[#This Row],[iAMI]])),"")</f>
        <v/>
      </c>
      <c r="P50" s="1059" t="str" cm="1">
        <f t="array" ref="P50">IF(Cdlac[[#This Row],[Quantity]]&gt;0,INDEX(TcacRents,$P$18,Cdlac[[#This Row],[Bedrooms]]+1)*Cdlac[[#This Row],[AMI]],"")</f>
        <v/>
      </c>
      <c r="Q50" s="1156"/>
      <c r="R50" s="1059" t="str" cm="1">
        <f t="array" ref="R50">IF(Cdlac[[#This Row],[Quantity]]&gt;0,INDEX(HudFmrs,$P$18,Cdlac[[#This Row],[Bedrooms]]+1),"")</f>
        <v/>
      </c>
      <c r="S50" s="1059" t="str">
        <f>IF(Cdlac[[#This Row],[Quantity]]&gt;0,MAX(0,Cdlac[[#This Row],[Fair Market Rent]]-IF(AND($G$37,$G$38,$G$38&lt;&gt;"",NOT(Cdlac[[#This Row],[Federal]]),Cdlac[[#This Row],[Preservation Rent]]&lt;&gt;""),Cdlac[[#This Row],[Preservation Rent]],Cdlac[[#This Row],[Restricted Rent]])),"")</f>
        <v/>
      </c>
      <c r="T50" s="1038" t="str">
        <f>IF(Cdlac[[#This Row],[Quantity]]&gt;0,AND(Application!AK756&lt;&gt;"N/A",Application!AK756&lt;&gt;"")*Cdlac[[#This Row],[Quantity]],"")</f>
        <v/>
      </c>
      <c r="U50" s="1038" t="b">
        <f>AND('Subsidy Contract Calculation'!F34&gt;0,OR('Subsidy Contract Calculation'!C34="Federal",'Subsidy Contract Calculation'!C34="Local - Approved by ED"),Cdlac[[#This Row],[Quantity]]&gt;0)</f>
        <v>0</v>
      </c>
    </row>
    <row r="51" spans="2:21" ht="15" customHeight="1">
      <c r="E51" s="1110" t="s">
        <v>1967</v>
      </c>
      <c r="G51" s="1073">
        <f>SUMIFS(Cdlac[Quantity],Cdlac[iAMI],"&lt;=30%")</f>
        <v>31</v>
      </c>
      <c r="L51" s="1038" t="str">
        <f>IFERROR(MIN(4,MATCH(Application!B757,UnitSizes,0)-1),"")</f>
        <v/>
      </c>
      <c r="M51" s="1059">
        <f>Application!G757</f>
        <v>0</v>
      </c>
      <c r="N51" s="1065">
        <f>Application!AC757</f>
        <v>0</v>
      </c>
      <c r="O51" s="1065" t="str">
        <f>IF(Cdlac[[#This Row],[Quantity]]&gt;0,IF(Cdlac[[#This Row],[Federal]],30%,IF(AND(OR(NOT($G$38),$G$38=""),$G$43),40%,Cdlac[[#This Row],[iAMI]])),"")</f>
        <v/>
      </c>
      <c r="P51" s="1059" t="str" cm="1">
        <f t="array" ref="P51">IF(Cdlac[[#This Row],[Quantity]]&gt;0,INDEX(TcacRents,$P$18,Cdlac[[#This Row],[Bedrooms]]+1)*Cdlac[[#This Row],[AMI]],"")</f>
        <v/>
      </c>
      <c r="Q51" s="1156"/>
      <c r="R51" s="1059" t="str" cm="1">
        <f t="array" ref="R51">IF(Cdlac[[#This Row],[Quantity]]&gt;0,INDEX(HudFmrs,$P$18,Cdlac[[#This Row],[Bedrooms]]+1),"")</f>
        <v/>
      </c>
      <c r="S51" s="1059" t="str">
        <f>IF(Cdlac[[#This Row],[Quantity]]&gt;0,MAX(0,Cdlac[[#This Row],[Fair Market Rent]]-IF(AND($G$37,$G$38,$G$38&lt;&gt;"",NOT(Cdlac[[#This Row],[Federal]]),Cdlac[[#This Row],[Preservation Rent]]&lt;&gt;""),Cdlac[[#This Row],[Preservation Rent]],Cdlac[[#This Row],[Restricted Rent]])),"")</f>
        <v/>
      </c>
      <c r="T51" s="1038" t="str">
        <f>IF(Cdlac[[#This Row],[Quantity]]&gt;0,AND(Application!AK757&lt;&gt;"N/A",Application!AK757&lt;&gt;"")*Cdlac[[#This Row],[Quantity]],"")</f>
        <v/>
      </c>
      <c r="U51" s="1038" t="b">
        <f>AND('Subsidy Contract Calculation'!F35&gt;0,OR('Subsidy Contract Calculation'!C35="Federal",'Subsidy Contract Calculation'!C35="Local - Approved by ED"),Cdlac[[#This Row],[Quantity]]&gt;0)</f>
        <v>0</v>
      </c>
    </row>
    <row r="52" spans="2:21" ht="15" customHeight="1">
      <c r="E52" s="1110" t="s">
        <v>1966</v>
      </c>
      <c r="G52" s="1073">
        <f>ROUNDDOWN(E29*50%,0)</f>
        <v>61</v>
      </c>
      <c r="L52" s="1038" t="str">
        <f>IFERROR(MIN(4,MATCH(Application!B758,UnitSizes,0)-1),"")</f>
        <v/>
      </c>
      <c r="M52" s="1059">
        <f>Application!G758</f>
        <v>0</v>
      </c>
      <c r="N52" s="1065">
        <f>Application!AC758</f>
        <v>0</v>
      </c>
      <c r="O52" s="1065" t="str">
        <f>IF(Cdlac[[#This Row],[Quantity]]&gt;0,IF(Cdlac[[#This Row],[Federal]],30%,IF(AND(OR(NOT($G$38),$G$38=""),$G$43),40%,Cdlac[[#This Row],[iAMI]])),"")</f>
        <v/>
      </c>
      <c r="P52" s="1059" t="str" cm="1">
        <f t="array" ref="P52">IF(Cdlac[[#This Row],[Quantity]]&gt;0,INDEX(TcacRents,$P$18,Cdlac[[#This Row],[Bedrooms]]+1)*Cdlac[[#This Row],[AMI]],"")</f>
        <v/>
      </c>
      <c r="Q52" s="1156"/>
      <c r="R52" s="1059" t="str" cm="1">
        <f t="array" ref="R52">IF(Cdlac[[#This Row],[Quantity]]&gt;0,INDEX(HudFmrs,$P$18,Cdlac[[#This Row],[Bedrooms]]+1),"")</f>
        <v/>
      </c>
      <c r="S52" s="1059" t="str">
        <f>IF(Cdlac[[#This Row],[Quantity]]&gt;0,MAX(0,Cdlac[[#This Row],[Fair Market Rent]]-IF(AND($G$37,$G$38,$G$38&lt;&gt;"",NOT(Cdlac[[#This Row],[Federal]]),Cdlac[[#This Row],[Preservation Rent]]&lt;&gt;""),Cdlac[[#This Row],[Preservation Rent]],Cdlac[[#This Row],[Restricted Rent]])),"")</f>
        <v/>
      </c>
      <c r="T52" s="1038" t="str">
        <f>IF(Cdlac[[#This Row],[Quantity]]&gt;0,AND(Application!AK758&lt;&gt;"N/A",Application!AK758&lt;&gt;"")*Cdlac[[#This Row],[Quantity]],"")</f>
        <v/>
      </c>
      <c r="U52" s="1038" t="b">
        <f>AND('Subsidy Contract Calculation'!F36&gt;0,OR('Subsidy Contract Calculation'!C36="Federal",'Subsidy Contract Calculation'!C36="Local - Approved by ED"),Cdlac[[#This Row],[Quantity]]&gt;0)</f>
        <v>0</v>
      </c>
    </row>
    <row r="53" spans="2:21" ht="15" customHeight="1">
      <c r="E53" s="1110"/>
      <c r="G53" s="1073"/>
      <c r="L53" s="1038" t="str">
        <f>IFERROR(MIN(4,MATCH(Application!B759,UnitSizes,0)-1),"")</f>
        <v/>
      </c>
      <c r="M53" s="1059">
        <f>Application!G759</f>
        <v>0</v>
      </c>
      <c r="N53" s="1065">
        <f>Application!AC759</f>
        <v>0</v>
      </c>
      <c r="O53" s="1065" t="str">
        <f>IF(Cdlac[[#This Row],[Quantity]]&gt;0,IF(Cdlac[[#This Row],[Federal]],30%,IF(AND(OR(NOT($G$38),$G$38=""),$G$43),40%,Cdlac[[#This Row],[iAMI]])),"")</f>
        <v/>
      </c>
      <c r="P53" s="1059" t="str" cm="1">
        <f t="array" ref="P53">IF(Cdlac[[#This Row],[Quantity]]&gt;0,INDEX(TcacRents,$P$18,Cdlac[[#This Row],[Bedrooms]]+1)*Cdlac[[#This Row],[AMI]],"")</f>
        <v/>
      </c>
      <c r="Q53" s="1156"/>
      <c r="R53" s="1059" t="str" cm="1">
        <f t="array" ref="R53">IF(Cdlac[[#This Row],[Quantity]]&gt;0,INDEX(HudFmrs,$P$18,Cdlac[[#This Row],[Bedrooms]]+1),"")</f>
        <v/>
      </c>
      <c r="S53" s="1059" t="str">
        <f>IF(Cdlac[[#This Row],[Quantity]]&gt;0,MAX(0,Cdlac[[#This Row],[Fair Market Rent]]-IF(AND($G$37,$G$38,$G$38&lt;&gt;"",NOT(Cdlac[[#This Row],[Federal]]),Cdlac[[#This Row],[Preservation Rent]]&lt;&gt;""),Cdlac[[#This Row],[Preservation Rent]],Cdlac[[#This Row],[Restricted Rent]])),"")</f>
        <v/>
      </c>
      <c r="T53" s="1038" t="str">
        <f>IF(Cdlac[[#This Row],[Quantity]]&gt;0,AND(Application!AK759&lt;&gt;"N/A",Application!AK759&lt;&gt;"")*Cdlac[[#This Row],[Quantity]],"")</f>
        <v/>
      </c>
      <c r="U53" s="1038" t="b">
        <f>AND('Subsidy Contract Calculation'!F37&gt;0,OR('Subsidy Contract Calculation'!C37="Federal",'Subsidy Contract Calculation'!C37="Local - Approved by ED"),Cdlac[[#This Row],[Quantity]]&gt;0)</f>
        <v>0</v>
      </c>
    </row>
    <row r="54" spans="2:21" ht="15" customHeight="1">
      <c r="E54" s="1110" t="s">
        <v>1926</v>
      </c>
      <c r="G54" s="1107">
        <f>MIN(G51:G52)</f>
        <v>31</v>
      </c>
      <c r="L54" s="1038" t="str">
        <f>IFERROR(MIN(4,MATCH(Application!B760,UnitSizes,0)-1),"")</f>
        <v/>
      </c>
      <c r="M54" s="1059">
        <f>Application!G760</f>
        <v>0</v>
      </c>
      <c r="N54" s="1065">
        <f>Application!AC760</f>
        <v>0</v>
      </c>
      <c r="O54" s="1065" t="str">
        <f>IF(Cdlac[[#This Row],[Quantity]]&gt;0,IF(Cdlac[[#This Row],[Federal]],30%,IF(AND(OR(NOT($G$38),$G$38=""),$G$43),40%,Cdlac[[#This Row],[iAMI]])),"")</f>
        <v/>
      </c>
      <c r="P54" s="1059" t="str" cm="1">
        <f t="array" ref="P54">IF(Cdlac[[#This Row],[Quantity]]&gt;0,INDEX(TcacRents,$P$18,Cdlac[[#This Row],[Bedrooms]]+1)*Cdlac[[#This Row],[AMI]],"")</f>
        <v/>
      </c>
      <c r="Q54" s="1156"/>
      <c r="R54" s="1059" t="str" cm="1">
        <f t="array" ref="R54">IF(Cdlac[[#This Row],[Quantity]]&gt;0,INDEX(HudFmrs,$P$18,Cdlac[[#This Row],[Bedrooms]]+1),"")</f>
        <v/>
      </c>
      <c r="S54" s="1059" t="str">
        <f>IF(Cdlac[[#This Row],[Quantity]]&gt;0,MAX(0,Cdlac[[#This Row],[Fair Market Rent]]-IF(AND($G$37,$G$38,$G$38&lt;&gt;"",NOT(Cdlac[[#This Row],[Federal]]),Cdlac[[#This Row],[Preservation Rent]]&lt;&gt;""),Cdlac[[#This Row],[Preservation Rent]],Cdlac[[#This Row],[Restricted Rent]])),"")</f>
        <v/>
      </c>
      <c r="T54" s="1038" t="str">
        <f>IF(Cdlac[[#This Row],[Quantity]]&gt;0,AND(Application!AK760&lt;&gt;"N/A",Application!AK760&lt;&gt;"")*Cdlac[[#This Row],[Quantity]],"")</f>
        <v/>
      </c>
      <c r="U54" s="1038" t="b">
        <f>AND('Subsidy Contract Calculation'!F38&gt;0,OR('Subsidy Contract Calculation'!C38="Federal",'Subsidy Contract Calculation'!C38="Local - Approved by ED"),Cdlac[[#This Row],[Quantity]]&gt;0)</f>
        <v>0</v>
      </c>
    </row>
    <row r="55" spans="2:21" ht="15" customHeight="1">
      <c r="E55" s="1110" t="s">
        <v>1916</v>
      </c>
      <c r="F55" s="1106" t="s">
        <v>1964</v>
      </c>
      <c r="G55" s="1117">
        <v>20000</v>
      </c>
      <c r="M55" s="1059"/>
      <c r="N55" s="1065"/>
      <c r="O55" s="1065"/>
      <c r="P55" s="1059"/>
      <c r="Q55" s="1156"/>
      <c r="R55" s="1059"/>
      <c r="S55" s="1059"/>
    </row>
    <row r="56" spans="2:21" ht="15" customHeight="1">
      <c r="E56" s="1111" t="s">
        <v>1948</v>
      </c>
      <c r="F56" s="1040"/>
      <c r="G56" s="1116">
        <f>G54*G55</f>
        <v>620000</v>
      </c>
    </row>
    <row r="57" spans="2:21" ht="15" customHeight="1"/>
    <row r="58" spans="2:21" ht="15" customHeight="1">
      <c r="B58" s="1060" t="str">
        <f>B11&amp;": "&amp;B13</f>
        <v>C. Population Benefit: (ii) Special Populations Benefit</v>
      </c>
      <c r="C58" s="1061"/>
      <c r="D58" s="1061"/>
      <c r="E58" s="1061"/>
      <c r="F58" s="1061"/>
      <c r="G58" s="1061"/>
      <c r="H58" s="1061"/>
      <c r="I58" s="1062"/>
    </row>
    <row r="59" spans="2:21" ht="15" customHeight="1"/>
    <row r="60" spans="2:21" ht="15" customHeight="1">
      <c r="E60" s="1110" t="s">
        <v>1965</v>
      </c>
      <c r="G60" s="1201">
        <f>T18</f>
        <v>10</v>
      </c>
    </row>
    <row r="61" spans="2:21" ht="15" customHeight="1">
      <c r="E61" s="1110" t="s">
        <v>1966</v>
      </c>
      <c r="G61" s="1107">
        <f>ROUNDDOWN(E29*50%,0)</f>
        <v>61</v>
      </c>
    </row>
    <row r="62" spans="2:21" ht="15" customHeight="1">
      <c r="E62" s="1110"/>
      <c r="G62" s="1118"/>
    </row>
    <row r="63" spans="2:21" ht="15" customHeight="1">
      <c r="E63" s="1110" t="s">
        <v>1926</v>
      </c>
      <c r="G63" s="1107">
        <f>MIN(G60:G61)</f>
        <v>10</v>
      </c>
    </row>
    <row r="64" spans="2:21" ht="15" customHeight="1">
      <c r="E64" s="1110" t="s">
        <v>1916</v>
      </c>
      <c r="F64" s="1106" t="s">
        <v>1964</v>
      </c>
      <c r="G64" s="1117">
        <v>10000</v>
      </c>
    </row>
    <row r="65" spans="5:7" ht="15" customHeight="1">
      <c r="E65" s="1111" t="s">
        <v>1949</v>
      </c>
      <c r="F65" s="1040"/>
      <c r="G65" s="1116">
        <f>G63*G64</f>
        <v>100000</v>
      </c>
    </row>
    <row r="66" spans="5:7" ht="15" customHeight="1">
      <c r="E66" s="1111"/>
      <c r="F66" s="1040"/>
      <c r="G66" s="1116"/>
    </row>
    <row r="67" spans="5:7" ht="15" customHeight="1">
      <c r="E67" s="1078" t="s">
        <v>2575</v>
      </c>
      <c r="G67" s="1038" t="b">
        <f>Application!V227="Yes"</f>
        <v>0</v>
      </c>
    </row>
    <row r="68" spans="5:7" ht="15" customHeight="1">
      <c r="E68" s="1078" t="s">
        <v>2576</v>
      </c>
      <c r="G68" s="1201">
        <f>SUMIF(Application!AK726:AK760,"Homeless",Application!G726:G760)</f>
        <v>0</v>
      </c>
    </row>
    <row r="69" spans="5:7" ht="15" customHeight="1">
      <c r="E69" s="1078"/>
    </row>
    <row r="70" spans="5:7" ht="15" customHeight="1">
      <c r="E70" s="1078" t="s">
        <v>2577</v>
      </c>
      <c r="G70" s="1202"/>
    </row>
    <row r="71" spans="5:7" ht="15" customHeight="1">
      <c r="E71" s="1078" t="s">
        <v>2578</v>
      </c>
      <c r="G71" s="1202"/>
    </row>
    <row r="72" spans="5:7" ht="15" customHeight="1">
      <c r="E72" s="1078" t="s">
        <v>2579</v>
      </c>
      <c r="G72" s="1201">
        <f>IF(G71=0,0,(G70/G71)*100000)</f>
        <v>0</v>
      </c>
    </row>
    <row r="73" spans="5:7" ht="15" customHeight="1">
      <c r="E73" s="1078" t="s">
        <v>2580</v>
      </c>
      <c r="G73" s="1202"/>
    </row>
    <row r="74" spans="5:7" ht="15" customHeight="1">
      <c r="E74" s="1078" t="s">
        <v>2581</v>
      </c>
      <c r="G74" s="1202"/>
    </row>
    <row r="75" spans="5:7" ht="15" customHeight="1">
      <c r="E75" s="1078" t="s">
        <v>2582</v>
      </c>
      <c r="G75" s="1201">
        <f>IF(G74=0,0,(G73/G74)*100000)</f>
        <v>0</v>
      </c>
    </row>
    <row r="76" spans="5:7" ht="15" customHeight="1">
      <c r="E76" s="1111"/>
      <c r="F76" s="1040"/>
      <c r="G76" s="1116"/>
    </row>
    <row r="77" spans="5:7" ht="15" customHeight="1">
      <c r="E77" s="1110" t="s">
        <v>1926</v>
      </c>
      <c r="G77" s="1107">
        <f>IF(OR(G75&gt;G72,G71&lt;100000),G75*G68,G72*G68)</f>
        <v>0</v>
      </c>
    </row>
    <row r="78" spans="5:7" ht="15" customHeight="1">
      <c r="E78" s="1110" t="s">
        <v>1916</v>
      </c>
      <c r="F78" s="1106" t="s">
        <v>1964</v>
      </c>
      <c r="G78" s="1117">
        <v>100</v>
      </c>
    </row>
    <row r="79" spans="5:7" ht="15" customHeight="1">
      <c r="E79" s="1111" t="s">
        <v>1949</v>
      </c>
      <c r="F79" s="1040"/>
      <c r="G79" s="1116">
        <f>G77*G78</f>
        <v>0</v>
      </c>
    </row>
    <row r="80" spans="5:7" ht="15" customHeight="1">
      <c r="E80" s="1111"/>
      <c r="F80" s="1040"/>
      <c r="G80" s="1116"/>
    </row>
    <row r="81" spans="2:14" ht="15" customHeight="1">
      <c r="B81" s="1060" t="str">
        <f>B14&amp;": "&amp;B15</f>
        <v>D. Location Benefit: (i) Resource Area Benefit</v>
      </c>
      <c r="C81" s="1061"/>
      <c r="D81" s="1061"/>
      <c r="E81" s="1061"/>
      <c r="F81" s="1061"/>
      <c r="G81" s="1061"/>
      <c r="H81" s="1061"/>
      <c r="I81" s="1062"/>
    </row>
    <row r="82" spans="2:14" ht="15" customHeight="1" thickBot="1"/>
    <row r="83" spans="2:14" ht="15" customHeight="1">
      <c r="C83" s="1071" t="s">
        <v>1952</v>
      </c>
      <c r="G83" s="1037" t="s">
        <v>543</v>
      </c>
      <c r="L83" s="2662" t="s">
        <v>1941</v>
      </c>
      <c r="M83" s="2663"/>
      <c r="N83" s="1124">
        <v>30000</v>
      </c>
    </row>
    <row r="84" spans="2:14" ht="15" customHeight="1">
      <c r="C84" s="1071" t="s">
        <v>1953</v>
      </c>
      <c r="G84" s="1075" t="str">
        <f>IF(Application!D211="Large Family","Yes","No")</f>
        <v>Yes</v>
      </c>
      <c r="L84" s="2666" t="s">
        <v>1909</v>
      </c>
      <c r="M84" s="2667"/>
      <c r="N84" s="1125">
        <v>20000</v>
      </c>
    </row>
    <row r="85" spans="2:14" ht="15" customHeight="1" thickBot="1">
      <c r="C85" s="1071" t="s">
        <v>1939</v>
      </c>
      <c r="G85" s="1037" t="s">
        <v>667</v>
      </c>
      <c r="L85" s="2668" t="s">
        <v>1942</v>
      </c>
      <c r="M85" s="2669"/>
      <c r="N85" s="1126">
        <v>10000</v>
      </c>
    </row>
    <row r="86" spans="2:14" ht="15" customHeight="1" thickBot="1">
      <c r="C86" s="1071" t="s">
        <v>1940</v>
      </c>
      <c r="G86" s="1038" t="str">
        <f>Application!T193</f>
        <v>Missing/Insufficient Data</v>
      </c>
    </row>
    <row r="87" spans="2:14" ht="15" customHeight="1">
      <c r="C87" s="2696" t="s">
        <v>2207</v>
      </c>
      <c r="D87" s="2696"/>
      <c r="E87" s="2696"/>
      <c r="F87" s="2696"/>
      <c r="G87" s="1037" t="s">
        <v>667</v>
      </c>
      <c r="L87" s="1120" t="str">
        <f>'Points System'!H651</f>
        <v>(i)</v>
      </c>
      <c r="M87" s="2664" t="s">
        <v>1395</v>
      </c>
      <c r="N87" s="2665"/>
    </row>
    <row r="88" spans="2:14" ht="15" customHeight="1">
      <c r="C88" s="2696"/>
      <c r="D88" s="2696"/>
      <c r="E88" s="2696"/>
      <c r="F88" s="2696"/>
      <c r="L88" s="1121" t="str">
        <f>'Points System'!H663</f>
        <v>(i)</v>
      </c>
      <c r="M88" s="2656" t="s">
        <v>1928</v>
      </c>
      <c r="N88" s="2657"/>
    </row>
    <row r="89" spans="2:14" ht="15" customHeight="1">
      <c r="C89" s="1071"/>
      <c r="L89" s="1121" t="str">
        <f>'Points System'!H698</f>
        <v>(vi)</v>
      </c>
      <c r="M89" s="2656" t="s">
        <v>1929</v>
      </c>
      <c r="N89" s="2657"/>
    </row>
    <row r="90" spans="2:14" ht="15" customHeight="1">
      <c r="E90" s="1078" t="s">
        <v>1971</v>
      </c>
      <c r="G90" s="1073" t="b">
        <f>OR(AND(COUNTIFS(G84:G85,"Yes")&gt;=1,G83="Yes"),G87="Yes")</f>
        <v>1</v>
      </c>
      <c r="L90" s="1121" t="str">
        <f>IF(OR('Points System'!H722="(ii)",'Points System'!H722="(i)"),"(i)","N/A")</f>
        <v>(i)</v>
      </c>
      <c r="M90" s="2656" t="s">
        <v>1930</v>
      </c>
      <c r="N90" s="2657"/>
    </row>
    <row r="91" spans="2:14" ht="15" customHeight="1">
      <c r="E91" s="1078"/>
      <c r="G91" s="1073"/>
      <c r="L91" s="1122" t="str">
        <f>'Points System'!H736</f>
        <v>N/A</v>
      </c>
      <c r="M91" s="2656" t="s">
        <v>1421</v>
      </c>
      <c r="N91" s="2657"/>
    </row>
    <row r="92" spans="2:14" ht="15" customHeight="1">
      <c r="E92" s="1078" t="s">
        <v>1916</v>
      </c>
      <c r="G92" s="1072">
        <f>IFERROR(IF($G$87="Yes",30000,INDEX(N83:N85,MATCH(LEFT(G86,17),L83:L85,0))),0)</f>
        <v>0</v>
      </c>
      <c r="L92" s="1121" t="str">
        <f>'Points System'!H748</f>
        <v>N/A</v>
      </c>
      <c r="M92" s="2656" t="s">
        <v>1931</v>
      </c>
      <c r="N92" s="2657"/>
    </row>
    <row r="93" spans="2:14" ht="15" customHeight="1">
      <c r="E93" s="1078" t="str">
        <f>E110</f>
        <v>Bedroom-Adjusted Low-Income Units</v>
      </c>
      <c r="F93" s="1106" t="s">
        <v>1964</v>
      </c>
      <c r="G93" s="1107">
        <f>G29</f>
        <v>146.25</v>
      </c>
      <c r="L93" s="1121" t="str">
        <f>'Points System'!H764</f>
        <v>(i)</v>
      </c>
      <c r="M93" s="2656" t="s">
        <v>1932</v>
      </c>
      <c r="N93" s="2657"/>
    </row>
    <row r="94" spans="2:14" ht="15" customHeight="1" thickBot="1">
      <c r="D94" s="1040"/>
      <c r="E94" s="1111" t="s">
        <v>2210</v>
      </c>
      <c r="F94" s="1040"/>
      <c r="G94" s="1116">
        <f>G93*G92*G90</f>
        <v>0</v>
      </c>
      <c r="L94" s="1123" t="str">
        <f>'Points System'!H776</f>
        <v>(i)</v>
      </c>
      <c r="M94" s="2658" t="s">
        <v>1424</v>
      </c>
      <c r="N94" s="2659"/>
    </row>
    <row r="95" spans="2:14" ht="15" customHeight="1"/>
    <row r="96" spans="2:14" ht="15" customHeight="1">
      <c r="B96" s="1060" t="str">
        <f>B14&amp;": "&amp;B16</f>
        <v>D. Location Benefit: (ii) Community Revitalization Benefit</v>
      </c>
      <c r="C96" s="1061"/>
      <c r="D96" s="1061"/>
      <c r="E96" s="1061"/>
      <c r="F96" s="1061"/>
      <c r="G96" s="1061"/>
      <c r="H96" s="1061"/>
      <c r="I96" s="1062"/>
    </row>
    <row r="97" spans="2:9" ht="15" customHeight="1"/>
    <row r="98" spans="2:9" ht="15" customHeight="1">
      <c r="F98" s="1109" t="s">
        <v>1947</v>
      </c>
      <c r="G98" s="1037" t="s">
        <v>543</v>
      </c>
    </row>
    <row r="99" spans="2:9" ht="15" customHeight="1">
      <c r="F99" s="1109"/>
    </row>
    <row r="100" spans="2:9" ht="15" customHeight="1">
      <c r="E100" s="1078" t="s">
        <v>1971</v>
      </c>
      <c r="G100" s="1073" t="b">
        <f>G98="Yes"</f>
        <v>1</v>
      </c>
    </row>
    <row r="101" spans="2:9" ht="15" customHeight="1"/>
    <row r="102" spans="2:9" ht="15" customHeight="1">
      <c r="E102" s="1078" t="str">
        <f>E110</f>
        <v>Bedroom-Adjusted Low-Income Units</v>
      </c>
      <c r="G102" s="1107">
        <f>G29</f>
        <v>146.25</v>
      </c>
    </row>
    <row r="103" spans="2:9" ht="15" customHeight="1">
      <c r="E103" s="1078" t="s">
        <v>1916</v>
      </c>
      <c r="F103" s="1106" t="s">
        <v>1964</v>
      </c>
      <c r="G103" s="1044">
        <v>20000</v>
      </c>
    </row>
    <row r="104" spans="2:9" ht="15" customHeight="1">
      <c r="E104" s="1111" t="s">
        <v>2211</v>
      </c>
      <c r="F104" s="1040"/>
      <c r="G104" s="1116">
        <f>G100*G103*G102</f>
        <v>2925000</v>
      </c>
    </row>
    <row r="105" spans="2:9" ht="15" customHeight="1"/>
    <row r="106" spans="2:9" ht="15" customHeight="1">
      <c r="B106" s="1060" t="str">
        <f>B14&amp;": "&amp;B17</f>
        <v>D. Location Benefit: (iii) Transit/Walkability Benefit</v>
      </c>
      <c r="C106" s="1061"/>
      <c r="D106" s="1061"/>
      <c r="E106" s="1061"/>
      <c r="F106" s="1061"/>
      <c r="G106" s="1061"/>
      <c r="H106" s="1061"/>
      <c r="I106" s="1062"/>
    </row>
    <row r="107" spans="2:9" ht="15" customHeight="1"/>
    <row r="108" spans="2:9" ht="15" customHeight="1">
      <c r="E108" s="1078" t="s">
        <v>1927</v>
      </c>
      <c r="G108" s="1107">
        <f>VLOOKUP('Points System'!$H$619,'Points System'!$AO$599:$AP$604,2,FALSE)</f>
        <v>7</v>
      </c>
    </row>
    <row r="109" spans="2:9" ht="15" customHeight="1">
      <c r="E109" s="1078" t="s">
        <v>1916</v>
      </c>
      <c r="F109" s="1106" t="s">
        <v>1964</v>
      </c>
      <c r="G109" s="1070">
        <v>4000</v>
      </c>
    </row>
    <row r="110" spans="2:9" ht="15" customHeight="1">
      <c r="E110" s="1078" t="s">
        <v>1968</v>
      </c>
      <c r="F110" s="1106" t="s">
        <v>1964</v>
      </c>
      <c r="G110" s="1119">
        <f>G29</f>
        <v>146.25</v>
      </c>
    </row>
    <row r="111" spans="2:9" ht="15" customHeight="1">
      <c r="E111" s="1111" t="s">
        <v>1933</v>
      </c>
      <c r="F111" s="1040"/>
      <c r="G111" s="1116">
        <f>G108*G109*G110</f>
        <v>4095000</v>
      </c>
    </row>
    <row r="112" spans="2:9" ht="15" customHeight="1">
      <c r="C112" s="1071"/>
      <c r="G112" s="1107"/>
    </row>
    <row r="113" spans="2:7" ht="15" customHeight="1">
      <c r="E113" s="1078" t="s">
        <v>1969</v>
      </c>
      <c r="G113" s="1107">
        <f>COUNTIFS(L87:L94,"(i)")</f>
        <v>5</v>
      </c>
    </row>
    <row r="114" spans="2:7" ht="15" customHeight="1">
      <c r="E114" s="1078" t="s">
        <v>1916</v>
      </c>
      <c r="F114" s="1106" t="s">
        <v>1964</v>
      </c>
      <c r="G114" s="1117">
        <v>4000</v>
      </c>
    </row>
    <row r="115" spans="2:7" ht="15" customHeight="1">
      <c r="E115" s="1111" t="s">
        <v>1934</v>
      </c>
      <c r="F115" s="1040"/>
      <c r="G115" s="1116">
        <f>G110*G113*G114</f>
        <v>2925000</v>
      </c>
    </row>
    <row r="116" spans="2:7" ht="15" customHeight="1"/>
    <row r="117" spans="2:7" ht="15" customHeight="1">
      <c r="C117" s="1074" t="s">
        <v>1936</v>
      </c>
    </row>
    <row r="118" spans="2:7" ht="15" customHeight="1">
      <c r="C118" s="1071" t="s">
        <v>1937</v>
      </c>
      <c r="G118" s="1037"/>
    </row>
    <row r="119" spans="2:7" ht="15" customHeight="1">
      <c r="C119" s="1071" t="s">
        <v>1938</v>
      </c>
      <c r="G119" s="1037" t="s">
        <v>543</v>
      </c>
    </row>
    <row r="120" spans="2:7" ht="15" customHeight="1">
      <c r="C120" s="1071" t="s">
        <v>2093</v>
      </c>
      <c r="G120" s="1037" t="s">
        <v>543</v>
      </c>
    </row>
    <row r="121" spans="2:7">
      <c r="C121" s="1071" t="s">
        <v>2094</v>
      </c>
      <c r="G121" s="1037" t="s">
        <v>543</v>
      </c>
    </row>
    <row r="123" spans="2:7">
      <c r="B123" s="1072"/>
      <c r="C123" s="1071"/>
      <c r="E123" s="1078" t="s">
        <v>1971</v>
      </c>
      <c r="G123" s="1073" t="b">
        <f>COUNTIFS(G118:G121,"Yes")&gt;=1</f>
        <v>1</v>
      </c>
    </row>
    <row r="124" spans="2:7">
      <c r="E124" s="1071"/>
    </row>
    <row r="125" spans="2:7" ht="15">
      <c r="E125" s="1078" t="s">
        <v>1968</v>
      </c>
      <c r="F125" s="1106" t="s">
        <v>1964</v>
      </c>
      <c r="G125" s="1107">
        <f>G29</f>
        <v>146.25</v>
      </c>
    </row>
    <row r="126" spans="2:7" ht="15">
      <c r="E126" s="1078" t="s">
        <v>1916</v>
      </c>
      <c r="F126" s="1106" t="s">
        <v>1964</v>
      </c>
      <c r="G126" s="1117">
        <v>25000</v>
      </c>
    </row>
    <row r="127" spans="2:7" ht="15">
      <c r="E127" s="1111" t="s">
        <v>1935</v>
      </c>
      <c r="F127" s="1040"/>
      <c r="G127" s="1116">
        <f>G123*G126*G110</f>
        <v>3656250</v>
      </c>
    </row>
    <row r="128" spans="2:7">
      <c r="C128" s="1071"/>
      <c r="E128" s="1071"/>
    </row>
    <row r="129" spans="2:9" ht="15">
      <c r="E129" s="1111" t="s">
        <v>2212</v>
      </c>
      <c r="G129" s="1116">
        <f>G127+G115+G111</f>
        <v>10676250</v>
      </c>
    </row>
    <row r="131" spans="2:9" ht="15">
      <c r="B131" s="1060" t="s">
        <v>139</v>
      </c>
      <c r="C131" s="1061"/>
      <c r="D131" s="1061"/>
      <c r="E131" s="1061"/>
      <c r="F131" s="1061"/>
      <c r="G131" s="1061"/>
      <c r="H131" s="1061"/>
      <c r="I131" s="1062"/>
    </row>
    <row r="133" spans="2:9">
      <c r="C133" s="2692" t="s">
        <v>2179</v>
      </c>
      <c r="D133" s="2692"/>
      <c r="E133" s="2692"/>
      <c r="F133" s="2692"/>
    </row>
    <row r="134" spans="2:9">
      <c r="C134" s="2692"/>
      <c r="D134" s="2692"/>
      <c r="E134" s="2692"/>
      <c r="F134" s="2692"/>
      <c r="G134" s="1037" t="s">
        <v>543</v>
      </c>
    </row>
    <row r="135" spans="2:9" ht="14.25" customHeight="1"/>
    <row r="136" spans="2:9">
      <c r="C136" s="1038" t="s">
        <v>2181</v>
      </c>
      <c r="G136" s="2694" t="s">
        <v>2813</v>
      </c>
      <c r="H136" s="2694"/>
    </row>
    <row r="137" spans="2:9">
      <c r="G137" s="2694"/>
      <c r="H137" s="2694"/>
    </row>
    <row r="138" spans="2:9">
      <c r="G138" s="2695"/>
      <c r="H138" s="2695"/>
    </row>
    <row r="140" spans="2:9">
      <c r="C140" s="2692" t="s">
        <v>2590</v>
      </c>
      <c r="D140" s="2692"/>
      <c r="E140" s="2692"/>
      <c r="F140" s="2692"/>
    </row>
    <row r="141" spans="2:9">
      <c r="C141" s="2692"/>
      <c r="D141" s="2692"/>
      <c r="E141" s="2692"/>
      <c r="F141" s="2692"/>
      <c r="G141" s="1037" t="s">
        <v>543</v>
      </c>
    </row>
    <row r="142" spans="2:9">
      <c r="C142" s="2692"/>
      <c r="D142" s="2692"/>
      <c r="E142" s="2692"/>
      <c r="F142" s="2692"/>
    </row>
    <row r="144" spans="2:9">
      <c r="C144" s="2692" t="s">
        <v>2589</v>
      </c>
      <c r="D144" s="2692"/>
      <c r="E144" s="2692"/>
      <c r="F144" s="2692"/>
    </row>
    <row r="145" spans="2:9">
      <c r="C145" s="2692"/>
      <c r="D145" s="2692"/>
      <c r="E145" s="2692"/>
      <c r="F145" s="2692"/>
      <c r="G145" s="1037" t="s">
        <v>543</v>
      </c>
    </row>
    <row r="146" spans="2:9">
      <c r="C146" s="2692"/>
      <c r="D146" s="2692"/>
      <c r="E146" s="2692"/>
      <c r="F146" s="2692"/>
    </row>
    <row r="147" spans="2:9">
      <c r="C147" s="2692"/>
      <c r="D147" s="2692"/>
      <c r="E147" s="2692"/>
      <c r="F147" s="2692"/>
    </row>
    <row r="149" spans="2:9" ht="15">
      <c r="B149" s="1060" t="s">
        <v>1973</v>
      </c>
      <c r="C149" s="1061"/>
      <c r="D149" s="1061"/>
      <c r="E149" s="1061"/>
      <c r="F149" s="1061"/>
      <c r="G149" s="1061"/>
      <c r="H149" s="1061"/>
      <c r="I149" s="1062"/>
    </row>
    <row r="151" spans="2:9">
      <c r="E151" s="1078" t="s">
        <v>580</v>
      </c>
      <c r="G151" s="1038" t="str">
        <f>IF(Application!T189="","",Application!T189)</f>
        <v>Los Angeles</v>
      </c>
    </row>
    <row r="152" spans="2:9">
      <c r="E152" s="1078"/>
      <c r="G152" s="1072"/>
    </row>
    <row r="153" spans="2:9">
      <c r="E153" s="1078" t="str">
        <f>"2-Bedroom "&amp;G151&amp;" County Basis Limit"</f>
        <v>2-Bedroom Los Angeles County Basis Limit</v>
      </c>
      <c r="G153" s="1072">
        <f>Application!R997</f>
        <v>608800</v>
      </c>
    </row>
    <row r="154" spans="2:9">
      <c r="E154" s="1078" t="s">
        <v>1972</v>
      </c>
      <c r="G154" s="1072">
        <f>MEDIAN((Application!CU160:CU217))</f>
        <v>560000</v>
      </c>
    </row>
    <row r="155" spans="2:9" ht="15">
      <c r="D155" s="1040"/>
      <c r="E155" s="1111" t="s">
        <v>1974</v>
      </c>
      <c r="F155" s="1127"/>
      <c r="G155" s="1128">
        <f>((G153-G154)/G154)*0.25</f>
        <v>2.1785714285714287E-2</v>
      </c>
      <c r="H155" s="1036"/>
      <c r="I155" s="1036"/>
    </row>
    <row r="156" spans="2:9">
      <c r="D156" s="1039"/>
      <c r="E156" s="1039"/>
    </row>
    <row r="157" spans="2:9" ht="15">
      <c r="B157" s="1060" t="s">
        <v>2213</v>
      </c>
      <c r="C157" s="1061"/>
      <c r="D157" s="1061"/>
      <c r="E157" s="1061"/>
      <c r="F157" s="1061"/>
      <c r="G157" s="1061"/>
      <c r="H157" s="1061"/>
      <c r="I157" s="1062"/>
    </row>
    <row r="159" spans="2:9">
      <c r="E159" s="1078" t="s">
        <v>2570</v>
      </c>
      <c r="G159" s="1038" t="b">
        <f>G37</f>
        <v>0</v>
      </c>
    </row>
    <row r="160" spans="2:9">
      <c r="C160" s="2689" t="s">
        <v>2214</v>
      </c>
      <c r="D160" s="2689"/>
      <c r="E160" s="2689"/>
      <c r="F160" s="2689"/>
    </row>
    <row r="161" spans="2:7">
      <c r="B161" s="1039"/>
      <c r="C161" s="2689"/>
      <c r="D161" s="2689"/>
      <c r="E161" s="2689"/>
      <c r="F161" s="2689"/>
      <c r="G161" s="1037"/>
    </row>
    <row r="162" spans="2:7">
      <c r="B162" s="1039"/>
      <c r="C162" s="1039"/>
      <c r="D162" s="1039"/>
      <c r="E162" s="1039"/>
      <c r="F162" s="1039"/>
    </row>
    <row r="163" spans="2:7">
      <c r="E163" s="1078" t="s">
        <v>2216</v>
      </c>
      <c r="G163" s="1161"/>
    </row>
    <row r="165" spans="2:7">
      <c r="E165" s="1078" t="s">
        <v>2218</v>
      </c>
      <c r="G165" s="1160">
        <f>IF(I9=0,0,G163/I9)</f>
        <v>0</v>
      </c>
    </row>
    <row r="166" spans="2:7">
      <c r="E166" s="1078" t="s">
        <v>2215</v>
      </c>
      <c r="G166" s="1158">
        <f>I9*0.15</f>
        <v>4635709.95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30"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171" sqref="D171:F175"/>
    </sheetView>
  </sheetViews>
  <sheetFormatPr defaultColWidth="9.140625" defaultRowHeight="14.25" zeroHeight="1"/>
  <cols>
    <col min="1" max="2" width="15.7109375" style="303" customWidth="1"/>
    <col min="3" max="3" width="11" style="303" customWidth="1"/>
    <col min="4" max="4" width="15.7109375" style="303" customWidth="1"/>
    <col min="5" max="5" width="3.7109375" style="303" customWidth="1"/>
    <col min="6" max="7" width="15.7109375" style="303" customWidth="1"/>
    <col min="8" max="8" width="3.7109375" style="303" customWidth="1"/>
    <col min="9" max="10" width="15.7109375" style="303" customWidth="1"/>
    <col min="11" max="11" width="3.28515625" style="303" customWidth="1"/>
    <col min="12" max="17" width="15.7109375" style="303" customWidth="1"/>
    <col min="18" max="16384" width="9.140625" style="303"/>
  </cols>
  <sheetData>
    <row r="1" spans="1:12">
      <c r="A1" s="2697" t="s">
        <v>907</v>
      </c>
      <c r="B1" s="2697"/>
      <c r="C1" s="2697"/>
      <c r="D1" s="2697"/>
      <c r="E1" s="2697"/>
      <c r="F1" s="2697"/>
      <c r="G1" s="2697"/>
      <c r="H1" s="2697"/>
      <c r="I1" s="2697"/>
      <c r="J1" s="2697"/>
      <c r="K1" s="204"/>
      <c r="L1" s="204"/>
    </row>
    <row r="2" spans="1:12">
      <c r="A2" s="210"/>
      <c r="B2" s="210"/>
      <c r="C2" s="210"/>
      <c r="D2" s="210"/>
      <c r="E2" s="210"/>
      <c r="F2" s="210"/>
      <c r="G2" s="210"/>
      <c r="H2" s="210"/>
      <c r="I2" s="210"/>
      <c r="J2" s="210"/>
    </row>
    <row r="3" spans="1:12" ht="100.5">
      <c r="A3" s="425" t="s">
        <v>908</v>
      </c>
      <c r="B3" s="425" t="s">
        <v>2200</v>
      </c>
      <c r="C3" s="425" t="s">
        <v>2201</v>
      </c>
      <c r="D3" s="1139" t="s">
        <v>2202</v>
      </c>
      <c r="E3" s="204"/>
      <c r="F3" s="1139" t="s">
        <v>909</v>
      </c>
      <c r="G3" s="425" t="s">
        <v>910</v>
      </c>
      <c r="H3" s="426"/>
      <c r="I3" s="425" t="s">
        <v>911</v>
      </c>
      <c r="J3" s="425" t="s">
        <v>912</v>
      </c>
      <c r="K3" s="204"/>
      <c r="L3" s="304"/>
    </row>
    <row r="4" spans="1:12">
      <c r="A4" s="427" t="str">
        <f>Application!B726</f>
        <v>1 Bedroom</v>
      </c>
      <c r="B4" s="1076">
        <f>Application!G726</f>
        <v>10</v>
      </c>
      <c r="C4" s="1154" t="s">
        <v>384</v>
      </c>
      <c r="D4" s="427">
        <f>Application!O726</f>
        <v>267</v>
      </c>
      <c r="E4" s="428"/>
      <c r="F4" s="1077">
        <v>2100</v>
      </c>
      <c r="G4" s="427">
        <f>F4*B4</f>
        <v>21000</v>
      </c>
      <c r="H4" s="428"/>
      <c r="I4" s="427">
        <f t="shared" ref="I4:I27" si="0">IF(F4=0,"",(F4-D4))</f>
        <v>1833</v>
      </c>
      <c r="J4" s="427">
        <f t="shared" ref="J4:J27" si="1">IF(F4=0,"",(I4*B4))</f>
        <v>18330</v>
      </c>
      <c r="K4" s="204"/>
      <c r="L4" s="304"/>
    </row>
    <row r="5" spans="1:12">
      <c r="A5" s="427" t="str">
        <f>Application!B727</f>
        <v>1 Bedroom</v>
      </c>
      <c r="B5" s="1076">
        <f>Application!G727</f>
        <v>13</v>
      </c>
      <c r="C5" s="1154"/>
      <c r="D5" s="427">
        <f>Application!O727</f>
        <v>793</v>
      </c>
      <c r="E5" s="428"/>
      <c r="F5" s="1077"/>
      <c r="G5" s="427">
        <f t="shared" ref="G5:G38" si="2">F5*B5</f>
        <v>0</v>
      </c>
      <c r="H5" s="428"/>
      <c r="I5" s="427" t="str">
        <f t="shared" si="0"/>
        <v/>
      </c>
      <c r="J5" s="427" t="str">
        <f t="shared" si="1"/>
        <v/>
      </c>
      <c r="K5" s="204"/>
      <c r="L5" s="304"/>
    </row>
    <row r="6" spans="1:12">
      <c r="A6" s="427" t="str">
        <f>Application!B728</f>
        <v>2 Bedrooms</v>
      </c>
      <c r="B6" s="1076">
        <f>Application!G728</f>
        <v>4</v>
      </c>
      <c r="C6" s="1154"/>
      <c r="D6" s="427">
        <f>Application!O728</f>
        <v>950</v>
      </c>
      <c r="E6" s="428"/>
      <c r="F6" s="1077"/>
      <c r="G6" s="427">
        <f t="shared" si="2"/>
        <v>0</v>
      </c>
      <c r="H6" s="428"/>
      <c r="I6" s="427" t="str">
        <f t="shared" si="0"/>
        <v/>
      </c>
      <c r="J6" s="427" t="str">
        <f t="shared" si="1"/>
        <v/>
      </c>
      <c r="K6" s="204"/>
      <c r="L6" s="304"/>
    </row>
    <row r="7" spans="1:12">
      <c r="A7" s="427" t="str">
        <f>Application!B729</f>
        <v>3 Bedrooms</v>
      </c>
      <c r="B7" s="1076">
        <f>Application!G729</f>
        <v>4</v>
      </c>
      <c r="C7" s="1154"/>
      <c r="D7" s="427">
        <f>Application!O729</f>
        <v>1098</v>
      </c>
      <c r="E7" s="428"/>
      <c r="F7" s="1077"/>
      <c r="G7" s="427">
        <f t="shared" si="2"/>
        <v>0</v>
      </c>
      <c r="H7" s="428"/>
      <c r="I7" s="427" t="str">
        <f t="shared" si="0"/>
        <v/>
      </c>
      <c r="J7" s="427" t="str">
        <f t="shared" si="1"/>
        <v/>
      </c>
      <c r="K7" s="204"/>
      <c r="L7" s="304"/>
    </row>
    <row r="8" spans="1:12">
      <c r="A8" s="427" t="str">
        <f>Application!B730</f>
        <v>1 Bedroom</v>
      </c>
      <c r="B8" s="1076">
        <f>Application!G730</f>
        <v>9</v>
      </c>
      <c r="C8" s="1154"/>
      <c r="D8" s="427">
        <f>Application!O730</f>
        <v>1361</v>
      </c>
      <c r="E8" s="428"/>
      <c r="F8" s="1077"/>
      <c r="G8" s="427">
        <f t="shared" si="2"/>
        <v>0</v>
      </c>
      <c r="H8" s="428"/>
      <c r="I8" s="427" t="str">
        <f t="shared" si="0"/>
        <v/>
      </c>
      <c r="J8" s="427" t="str">
        <f t="shared" si="1"/>
        <v/>
      </c>
      <c r="K8" s="204"/>
      <c r="L8" s="304"/>
    </row>
    <row r="9" spans="1:12">
      <c r="A9" s="427" t="str">
        <f>Application!B731</f>
        <v>3 Bedrooms</v>
      </c>
      <c r="B9" s="1076">
        <f>Application!G731</f>
        <v>21</v>
      </c>
      <c r="C9" s="1154"/>
      <c r="D9" s="427">
        <f>Application!O731</f>
        <v>1886</v>
      </c>
      <c r="E9" s="428"/>
      <c r="F9" s="1077"/>
      <c r="G9" s="427">
        <f t="shared" si="2"/>
        <v>0</v>
      </c>
      <c r="H9" s="428"/>
      <c r="I9" s="427" t="str">
        <f t="shared" si="0"/>
        <v/>
      </c>
      <c r="J9" s="427" t="str">
        <f t="shared" si="1"/>
        <v/>
      </c>
      <c r="K9" s="204"/>
      <c r="L9" s="304"/>
    </row>
    <row r="10" spans="1:12">
      <c r="A10" s="427" t="str">
        <f>Application!B732</f>
        <v>1 Bedroom</v>
      </c>
      <c r="B10" s="1076">
        <f>Application!G732</f>
        <v>26</v>
      </c>
      <c r="C10" s="1154"/>
      <c r="D10" s="427">
        <f>Application!O732</f>
        <v>1645</v>
      </c>
      <c r="E10" s="428"/>
      <c r="F10" s="1077"/>
      <c r="G10" s="427">
        <f t="shared" si="2"/>
        <v>0</v>
      </c>
      <c r="H10" s="428"/>
      <c r="I10" s="427" t="str">
        <f t="shared" si="0"/>
        <v/>
      </c>
      <c r="J10" s="427" t="str">
        <f t="shared" si="1"/>
        <v/>
      </c>
      <c r="K10" s="204"/>
      <c r="L10" s="304"/>
    </row>
    <row r="11" spans="1:12">
      <c r="A11" s="427" t="str">
        <f>Application!B733</f>
        <v>2 Bedrooms</v>
      </c>
      <c r="B11" s="1076">
        <f>Application!G733</f>
        <v>27</v>
      </c>
      <c r="C11" s="1154"/>
      <c r="D11" s="427">
        <f>Application!O733</f>
        <v>1972</v>
      </c>
      <c r="E11" s="428"/>
      <c r="F11" s="1077"/>
      <c r="G11" s="427">
        <f t="shared" si="2"/>
        <v>0</v>
      </c>
      <c r="H11" s="428"/>
      <c r="I11" s="427" t="str">
        <f t="shared" si="0"/>
        <v/>
      </c>
      <c r="J11" s="427" t="str">
        <f t="shared" si="1"/>
        <v/>
      </c>
      <c r="K11" s="204"/>
      <c r="L11" s="304"/>
    </row>
    <row r="12" spans="1:12">
      <c r="A12" s="427" t="str">
        <f>Application!B734</f>
        <v>3 Bedrooms</v>
      </c>
      <c r="B12" s="1076">
        <f>Application!G734</f>
        <v>8</v>
      </c>
      <c r="C12" s="1154"/>
      <c r="D12" s="427">
        <f>Application!O734</f>
        <v>2279</v>
      </c>
      <c r="E12" s="428"/>
      <c r="F12" s="1077"/>
      <c r="G12" s="427">
        <f t="shared" si="2"/>
        <v>0</v>
      </c>
      <c r="H12" s="428"/>
      <c r="I12" s="427" t="str">
        <f t="shared" si="0"/>
        <v/>
      </c>
      <c r="J12" s="427" t="str">
        <f t="shared" si="1"/>
        <v/>
      </c>
      <c r="K12" s="204"/>
      <c r="L12" s="304"/>
    </row>
    <row r="13" spans="1:12">
      <c r="A13" s="427">
        <f>Application!B735</f>
        <v>0</v>
      </c>
      <c r="B13" s="1076">
        <f>Application!G735</f>
        <v>0</v>
      </c>
      <c r="C13" s="1154"/>
      <c r="D13" s="427">
        <f>Application!O735</f>
        <v>0</v>
      </c>
      <c r="E13" s="428"/>
      <c r="F13" s="1077"/>
      <c r="G13" s="427">
        <f t="shared" si="2"/>
        <v>0</v>
      </c>
      <c r="H13" s="428"/>
      <c r="I13" s="427" t="str">
        <f t="shared" si="0"/>
        <v/>
      </c>
      <c r="J13" s="427" t="str">
        <f t="shared" si="1"/>
        <v/>
      </c>
      <c r="K13" s="204"/>
      <c r="L13" s="304"/>
    </row>
    <row r="14" spans="1:12">
      <c r="A14" s="427">
        <f>Application!B736</f>
        <v>0</v>
      </c>
      <c r="B14" s="1076">
        <f>Application!G736</f>
        <v>0</v>
      </c>
      <c r="C14" s="1154"/>
      <c r="D14" s="427">
        <f>Application!O736</f>
        <v>0</v>
      </c>
      <c r="E14" s="428"/>
      <c r="F14" s="1077"/>
      <c r="G14" s="427">
        <f t="shared" si="2"/>
        <v>0</v>
      </c>
      <c r="H14" s="428"/>
      <c r="I14" s="427" t="str">
        <f t="shared" si="0"/>
        <v/>
      </c>
      <c r="J14" s="427" t="str">
        <f t="shared" si="1"/>
        <v/>
      </c>
      <c r="K14" s="204"/>
      <c r="L14" s="304"/>
    </row>
    <row r="15" spans="1:12">
      <c r="A15" s="427">
        <f>Application!B737</f>
        <v>0</v>
      </c>
      <c r="B15" s="1076">
        <f>Application!G737</f>
        <v>0</v>
      </c>
      <c r="C15" s="1154"/>
      <c r="D15" s="427">
        <f>Application!O737</f>
        <v>0</v>
      </c>
      <c r="E15" s="428"/>
      <c r="F15" s="1077"/>
      <c r="G15" s="427">
        <f t="shared" si="2"/>
        <v>0</v>
      </c>
      <c r="H15" s="428"/>
      <c r="I15" s="427" t="str">
        <f t="shared" si="0"/>
        <v/>
      </c>
      <c r="J15" s="427" t="str">
        <f t="shared" si="1"/>
        <v/>
      </c>
      <c r="K15" s="204"/>
      <c r="L15" s="304"/>
    </row>
    <row r="16" spans="1:12">
      <c r="A16" s="427">
        <f>Application!B738</f>
        <v>0</v>
      </c>
      <c r="B16" s="1076">
        <f>Application!G738</f>
        <v>0</v>
      </c>
      <c r="C16" s="1154"/>
      <c r="D16" s="427">
        <f>Application!O738</f>
        <v>0</v>
      </c>
      <c r="E16" s="428"/>
      <c r="F16" s="1077"/>
      <c r="G16" s="427">
        <f t="shared" si="2"/>
        <v>0</v>
      </c>
      <c r="H16" s="428"/>
      <c r="I16" s="427" t="str">
        <f t="shared" si="0"/>
        <v/>
      </c>
      <c r="J16" s="427" t="str">
        <f t="shared" si="1"/>
        <v/>
      </c>
      <c r="K16" s="204"/>
      <c r="L16" s="304"/>
    </row>
    <row r="17" spans="1:12">
      <c r="A17" s="427">
        <f>Application!B739</f>
        <v>0</v>
      </c>
      <c r="B17" s="1076">
        <f>Application!G739</f>
        <v>0</v>
      </c>
      <c r="C17" s="1154"/>
      <c r="D17" s="427">
        <f>Application!O739</f>
        <v>0</v>
      </c>
      <c r="E17" s="428"/>
      <c r="F17" s="1077"/>
      <c r="G17" s="427">
        <f t="shared" si="2"/>
        <v>0</v>
      </c>
      <c r="H17" s="428"/>
      <c r="I17" s="427" t="str">
        <f t="shared" si="0"/>
        <v/>
      </c>
      <c r="J17" s="427" t="str">
        <f t="shared" si="1"/>
        <v/>
      </c>
      <c r="K17" s="204"/>
      <c r="L17" s="304"/>
    </row>
    <row r="18" spans="1:12">
      <c r="A18" s="427">
        <f>Application!B740</f>
        <v>0</v>
      </c>
      <c r="B18" s="1076">
        <f>Application!G740</f>
        <v>0</v>
      </c>
      <c r="C18" s="1154"/>
      <c r="D18" s="427">
        <f>Application!O740</f>
        <v>0</v>
      </c>
      <c r="E18" s="428"/>
      <c r="F18" s="1077"/>
      <c r="G18" s="427">
        <f t="shared" si="2"/>
        <v>0</v>
      </c>
      <c r="H18" s="428"/>
      <c r="I18" s="427" t="str">
        <f t="shared" si="0"/>
        <v/>
      </c>
      <c r="J18" s="427" t="str">
        <f t="shared" si="1"/>
        <v/>
      </c>
      <c r="K18" s="204"/>
      <c r="L18" s="304"/>
    </row>
    <row r="19" spans="1:12">
      <c r="A19" s="427">
        <f>Application!B741</f>
        <v>0</v>
      </c>
      <c r="B19" s="1076">
        <f>Application!G741</f>
        <v>0</v>
      </c>
      <c r="C19" s="1154"/>
      <c r="D19" s="427">
        <f>Application!O741</f>
        <v>0</v>
      </c>
      <c r="E19" s="428"/>
      <c r="F19" s="1077"/>
      <c r="G19" s="427">
        <f t="shared" si="2"/>
        <v>0</v>
      </c>
      <c r="H19" s="428"/>
      <c r="I19" s="427" t="str">
        <f t="shared" si="0"/>
        <v/>
      </c>
      <c r="J19" s="427" t="str">
        <f t="shared" si="1"/>
        <v/>
      </c>
      <c r="K19" s="204"/>
      <c r="L19" s="304"/>
    </row>
    <row r="20" spans="1:12">
      <c r="A20" s="427">
        <f>Application!B742</f>
        <v>0</v>
      </c>
      <c r="B20" s="1076">
        <f>Application!G742</f>
        <v>0</v>
      </c>
      <c r="C20" s="1154"/>
      <c r="D20" s="427">
        <f>Application!O742</f>
        <v>0</v>
      </c>
      <c r="E20" s="428"/>
      <c r="F20" s="1077"/>
      <c r="G20" s="427">
        <f t="shared" si="2"/>
        <v>0</v>
      </c>
      <c r="H20" s="428"/>
      <c r="I20" s="427" t="str">
        <f t="shared" si="0"/>
        <v/>
      </c>
      <c r="J20" s="427" t="str">
        <f t="shared" si="1"/>
        <v/>
      </c>
      <c r="K20" s="204"/>
      <c r="L20" s="304"/>
    </row>
    <row r="21" spans="1:12">
      <c r="A21" s="427">
        <f>Application!B743</f>
        <v>0</v>
      </c>
      <c r="B21" s="1076">
        <f>Application!G743</f>
        <v>0</v>
      </c>
      <c r="C21" s="1154"/>
      <c r="D21" s="427">
        <f>Application!O743</f>
        <v>0</v>
      </c>
      <c r="E21" s="428"/>
      <c r="F21" s="1077"/>
      <c r="G21" s="427">
        <f t="shared" si="2"/>
        <v>0</v>
      </c>
      <c r="H21" s="428"/>
      <c r="I21" s="427" t="str">
        <f t="shared" si="0"/>
        <v/>
      </c>
      <c r="J21" s="427" t="str">
        <f t="shared" si="1"/>
        <v/>
      </c>
      <c r="K21" s="204"/>
      <c r="L21" s="304"/>
    </row>
    <row r="22" spans="1:12">
      <c r="A22" s="427">
        <f>Application!B744</f>
        <v>0</v>
      </c>
      <c r="B22" s="1076">
        <f>Application!G744</f>
        <v>0</v>
      </c>
      <c r="C22" s="1154"/>
      <c r="D22" s="427">
        <f>Application!O744</f>
        <v>0</v>
      </c>
      <c r="E22" s="428"/>
      <c r="F22" s="1077"/>
      <c r="G22" s="427">
        <f t="shared" si="2"/>
        <v>0</v>
      </c>
      <c r="H22" s="428"/>
      <c r="I22" s="427" t="str">
        <f t="shared" si="0"/>
        <v/>
      </c>
      <c r="J22" s="427" t="str">
        <f t="shared" si="1"/>
        <v/>
      </c>
      <c r="K22" s="204"/>
      <c r="L22" s="304"/>
    </row>
    <row r="23" spans="1:12">
      <c r="A23" s="427">
        <f>Application!B745</f>
        <v>0</v>
      </c>
      <c r="B23" s="1076">
        <f>Application!G745</f>
        <v>0</v>
      </c>
      <c r="C23" s="1154"/>
      <c r="D23" s="427">
        <f>Application!O745</f>
        <v>0</v>
      </c>
      <c r="E23" s="428"/>
      <c r="F23" s="1077"/>
      <c r="G23" s="427">
        <f t="shared" si="2"/>
        <v>0</v>
      </c>
      <c r="H23" s="428"/>
      <c r="I23" s="427" t="str">
        <f t="shared" si="0"/>
        <v/>
      </c>
      <c r="J23" s="427" t="str">
        <f t="shared" si="1"/>
        <v/>
      </c>
      <c r="K23" s="204"/>
      <c r="L23" s="304"/>
    </row>
    <row r="24" spans="1:12">
      <c r="A24" s="427">
        <f>Application!B746</f>
        <v>0</v>
      </c>
      <c r="B24" s="1076">
        <f>Application!G746</f>
        <v>0</v>
      </c>
      <c r="C24" s="1154"/>
      <c r="D24" s="427">
        <f>Application!O746</f>
        <v>0</v>
      </c>
      <c r="E24" s="428"/>
      <c r="F24" s="1077"/>
      <c r="G24" s="427">
        <f t="shared" si="2"/>
        <v>0</v>
      </c>
      <c r="H24" s="428"/>
      <c r="I24" s="427" t="str">
        <f t="shared" si="0"/>
        <v/>
      </c>
      <c r="J24" s="427" t="str">
        <f t="shared" si="1"/>
        <v/>
      </c>
      <c r="K24" s="204"/>
      <c r="L24" s="304"/>
    </row>
    <row r="25" spans="1:12">
      <c r="A25" s="427">
        <f>Application!B747</f>
        <v>0</v>
      </c>
      <c r="B25" s="1076">
        <f>Application!G747</f>
        <v>0</v>
      </c>
      <c r="C25" s="1154"/>
      <c r="D25" s="427">
        <f>Application!O747</f>
        <v>0</v>
      </c>
      <c r="E25" s="428"/>
      <c r="F25" s="1077"/>
      <c r="G25" s="427">
        <f t="shared" si="2"/>
        <v>0</v>
      </c>
      <c r="H25" s="428"/>
      <c r="I25" s="427" t="str">
        <f t="shared" si="0"/>
        <v/>
      </c>
      <c r="J25" s="427" t="str">
        <f t="shared" si="1"/>
        <v/>
      </c>
      <c r="K25" s="204"/>
      <c r="L25" s="304"/>
    </row>
    <row r="26" spans="1:12">
      <c r="A26" s="427">
        <f>Application!B748</f>
        <v>0</v>
      </c>
      <c r="B26" s="1076">
        <f>Application!G748</f>
        <v>0</v>
      </c>
      <c r="C26" s="1154"/>
      <c r="D26" s="427">
        <f>Application!O748</f>
        <v>0</v>
      </c>
      <c r="E26" s="428"/>
      <c r="F26" s="1077"/>
      <c r="G26" s="427">
        <f t="shared" si="2"/>
        <v>0</v>
      </c>
      <c r="H26" s="428"/>
      <c r="I26" s="427" t="str">
        <f t="shared" si="0"/>
        <v/>
      </c>
      <c r="J26" s="427" t="str">
        <f t="shared" si="1"/>
        <v/>
      </c>
      <c r="K26" s="204"/>
      <c r="L26" s="304"/>
    </row>
    <row r="27" spans="1:12">
      <c r="A27" s="427">
        <f>Application!B749</f>
        <v>0</v>
      </c>
      <c r="B27" s="1076">
        <f>Application!G749</f>
        <v>0</v>
      </c>
      <c r="C27" s="1154"/>
      <c r="D27" s="427">
        <f>Application!O749</f>
        <v>0</v>
      </c>
      <c r="E27" s="428"/>
      <c r="F27" s="1077"/>
      <c r="G27" s="427">
        <f t="shared" si="2"/>
        <v>0</v>
      </c>
      <c r="H27" s="428"/>
      <c r="I27" s="427" t="str">
        <f t="shared" si="0"/>
        <v/>
      </c>
      <c r="J27" s="427" t="str">
        <f t="shared" si="1"/>
        <v/>
      </c>
      <c r="K27" s="204"/>
      <c r="L27" s="304"/>
    </row>
    <row r="28" spans="1:12">
      <c r="A28" s="427">
        <f>Application!B750</f>
        <v>0</v>
      </c>
      <c r="B28" s="1076">
        <f>Application!G750</f>
        <v>0</v>
      </c>
      <c r="C28" s="1154"/>
      <c r="D28" s="427">
        <f>Application!O750</f>
        <v>0</v>
      </c>
      <c r="E28" s="428"/>
      <c r="F28" s="1077"/>
      <c r="G28" s="427">
        <f t="shared" si="2"/>
        <v>0</v>
      </c>
      <c r="H28" s="428"/>
      <c r="I28" s="427" t="str">
        <f t="shared" ref="I28:I37" si="3">IF(F28=0,"",(F28-D28))</f>
        <v/>
      </c>
      <c r="J28" s="427" t="str">
        <f t="shared" ref="J28:J37" si="4">IF(F28=0,"",(I28*B28))</f>
        <v/>
      </c>
      <c r="K28" s="204"/>
      <c r="L28" s="304"/>
    </row>
    <row r="29" spans="1:12">
      <c r="A29" s="427">
        <f>Application!B751</f>
        <v>0</v>
      </c>
      <c r="B29" s="1076">
        <f>Application!G751</f>
        <v>0</v>
      </c>
      <c r="C29" s="1154"/>
      <c r="D29" s="427">
        <f>Application!O751</f>
        <v>0</v>
      </c>
      <c r="E29" s="428"/>
      <c r="F29" s="1077"/>
      <c r="G29" s="427">
        <f t="shared" si="2"/>
        <v>0</v>
      </c>
      <c r="H29" s="428"/>
      <c r="I29" s="427" t="str">
        <f t="shared" si="3"/>
        <v/>
      </c>
      <c r="J29" s="427" t="str">
        <f t="shared" si="4"/>
        <v/>
      </c>
      <c r="K29" s="204"/>
      <c r="L29" s="304"/>
    </row>
    <row r="30" spans="1:12">
      <c r="A30" s="427">
        <f>Application!B752</f>
        <v>0</v>
      </c>
      <c r="B30" s="1076">
        <f>Application!G752</f>
        <v>0</v>
      </c>
      <c r="C30" s="1154"/>
      <c r="D30" s="427">
        <f>Application!O752</f>
        <v>0</v>
      </c>
      <c r="E30" s="428"/>
      <c r="F30" s="1077"/>
      <c r="G30" s="427">
        <f t="shared" si="2"/>
        <v>0</v>
      </c>
      <c r="H30" s="428"/>
      <c r="I30" s="427" t="str">
        <f t="shared" si="3"/>
        <v/>
      </c>
      <c r="J30" s="427" t="str">
        <f t="shared" si="4"/>
        <v/>
      </c>
      <c r="K30" s="204"/>
      <c r="L30" s="304"/>
    </row>
    <row r="31" spans="1:12">
      <c r="A31" s="427">
        <f>Application!B753</f>
        <v>0</v>
      </c>
      <c r="B31" s="1076">
        <f>Application!G753</f>
        <v>0</v>
      </c>
      <c r="C31" s="1154"/>
      <c r="D31" s="427">
        <f>Application!O753</f>
        <v>0</v>
      </c>
      <c r="E31" s="428"/>
      <c r="F31" s="1077"/>
      <c r="G31" s="427">
        <f t="shared" si="2"/>
        <v>0</v>
      </c>
      <c r="H31" s="428"/>
      <c r="I31" s="427" t="str">
        <f t="shared" si="3"/>
        <v/>
      </c>
      <c r="J31" s="427" t="str">
        <f t="shared" si="4"/>
        <v/>
      </c>
      <c r="K31" s="204"/>
      <c r="L31" s="304"/>
    </row>
    <row r="32" spans="1:12">
      <c r="A32" s="427">
        <f>Application!B754</f>
        <v>0</v>
      </c>
      <c r="B32" s="1076">
        <f>Application!G754</f>
        <v>0</v>
      </c>
      <c r="C32" s="1154"/>
      <c r="D32" s="427">
        <f>Application!O754</f>
        <v>0</v>
      </c>
      <c r="E32" s="428"/>
      <c r="F32" s="1077"/>
      <c r="G32" s="427">
        <f t="shared" si="2"/>
        <v>0</v>
      </c>
      <c r="H32" s="428"/>
      <c r="I32" s="427" t="str">
        <f t="shared" si="3"/>
        <v/>
      </c>
      <c r="J32" s="427" t="str">
        <f t="shared" si="4"/>
        <v/>
      </c>
      <c r="K32" s="204"/>
      <c r="L32" s="304"/>
    </row>
    <row r="33" spans="1:12">
      <c r="A33" s="427">
        <f>Application!B755</f>
        <v>0</v>
      </c>
      <c r="B33" s="1076">
        <f>Application!G755</f>
        <v>0</v>
      </c>
      <c r="C33" s="1154"/>
      <c r="D33" s="427">
        <f>Application!O755</f>
        <v>0</v>
      </c>
      <c r="E33" s="428"/>
      <c r="F33" s="1077"/>
      <c r="G33" s="427">
        <f t="shared" si="2"/>
        <v>0</v>
      </c>
      <c r="H33" s="428"/>
      <c r="I33" s="427" t="str">
        <f t="shared" si="3"/>
        <v/>
      </c>
      <c r="J33" s="427" t="str">
        <f t="shared" si="4"/>
        <v/>
      </c>
      <c r="K33" s="204"/>
      <c r="L33" s="304"/>
    </row>
    <row r="34" spans="1:12">
      <c r="A34" s="427">
        <f>Application!B756</f>
        <v>0</v>
      </c>
      <c r="B34" s="1076">
        <f>Application!G756</f>
        <v>0</v>
      </c>
      <c r="C34" s="1154"/>
      <c r="D34" s="427">
        <f>Application!O756</f>
        <v>0</v>
      </c>
      <c r="E34" s="428"/>
      <c r="F34" s="1077"/>
      <c r="G34" s="427">
        <f t="shared" si="2"/>
        <v>0</v>
      </c>
      <c r="H34" s="428"/>
      <c r="I34" s="427" t="str">
        <f t="shared" si="3"/>
        <v/>
      </c>
      <c r="J34" s="427" t="str">
        <f t="shared" si="4"/>
        <v/>
      </c>
      <c r="K34" s="204"/>
      <c r="L34" s="304"/>
    </row>
    <row r="35" spans="1:12">
      <c r="A35" s="427">
        <f>Application!B757</f>
        <v>0</v>
      </c>
      <c r="B35" s="1076">
        <f>Application!G757</f>
        <v>0</v>
      </c>
      <c r="C35" s="1154"/>
      <c r="D35" s="427">
        <f>Application!O757</f>
        <v>0</v>
      </c>
      <c r="E35" s="428"/>
      <c r="F35" s="1077"/>
      <c r="G35" s="427">
        <f t="shared" si="2"/>
        <v>0</v>
      </c>
      <c r="H35" s="428"/>
      <c r="I35" s="427" t="str">
        <f t="shared" si="3"/>
        <v/>
      </c>
      <c r="J35" s="427" t="str">
        <f t="shared" si="4"/>
        <v/>
      </c>
      <c r="K35" s="204"/>
      <c r="L35" s="304"/>
    </row>
    <row r="36" spans="1:12">
      <c r="A36" s="427">
        <f>Application!B758</f>
        <v>0</v>
      </c>
      <c r="B36" s="1076">
        <f>Application!G758</f>
        <v>0</v>
      </c>
      <c r="C36" s="1154"/>
      <c r="D36" s="427">
        <f>Application!O758</f>
        <v>0</v>
      </c>
      <c r="E36" s="428"/>
      <c r="F36" s="1077"/>
      <c r="G36" s="427">
        <f t="shared" si="2"/>
        <v>0</v>
      </c>
      <c r="H36" s="428"/>
      <c r="I36" s="427" t="str">
        <f t="shared" si="3"/>
        <v/>
      </c>
      <c r="J36" s="427" t="str">
        <f t="shared" si="4"/>
        <v/>
      </c>
      <c r="K36" s="204"/>
      <c r="L36" s="304"/>
    </row>
    <row r="37" spans="1:12">
      <c r="A37" s="427">
        <f>Application!B759</f>
        <v>0</v>
      </c>
      <c r="B37" s="1076">
        <f>Application!G759</f>
        <v>0</v>
      </c>
      <c r="C37" s="1154"/>
      <c r="D37" s="427">
        <f>Application!O759</f>
        <v>0</v>
      </c>
      <c r="E37" s="428"/>
      <c r="F37" s="1077"/>
      <c r="G37" s="427">
        <f t="shared" si="2"/>
        <v>0</v>
      </c>
      <c r="H37" s="428"/>
      <c r="I37" s="427" t="str">
        <f t="shared" si="3"/>
        <v/>
      </c>
      <c r="J37" s="427" t="str">
        <f t="shared" si="4"/>
        <v/>
      </c>
      <c r="K37" s="204"/>
      <c r="L37" s="304"/>
    </row>
    <row r="38" spans="1:12">
      <c r="A38" s="427">
        <f>Application!B760</f>
        <v>0</v>
      </c>
      <c r="B38" s="1076">
        <f>Application!G760</f>
        <v>0</v>
      </c>
      <c r="C38" s="1154"/>
      <c r="D38" s="427">
        <f>Application!O760</f>
        <v>0</v>
      </c>
      <c r="E38" s="428"/>
      <c r="F38" s="1077"/>
      <c r="G38" s="427">
        <f t="shared" si="2"/>
        <v>0</v>
      </c>
      <c r="H38" s="428"/>
      <c r="I38" s="427" t="str">
        <f>IF(F38=0,"",(F38-D38))</f>
        <v/>
      </c>
      <c r="J38" s="427" t="str">
        <f>IF(F38=0,"",(I38*B38))</f>
        <v/>
      </c>
      <c r="K38" s="204"/>
      <c r="L38" s="304"/>
    </row>
    <row r="39" spans="1:12">
      <c r="A39" s="204"/>
      <c r="B39" s="204"/>
      <c r="C39" s="204"/>
      <c r="D39" s="428"/>
      <c r="E39" s="428"/>
      <c r="F39" s="428"/>
      <c r="G39" s="428"/>
      <c r="H39" s="428"/>
      <c r="I39" s="428"/>
      <c r="J39" s="204"/>
      <c r="K39" s="204"/>
      <c r="L39" s="304"/>
    </row>
    <row r="40" spans="1:12" ht="15">
      <c r="A40" s="429" t="s">
        <v>913</v>
      </c>
      <c r="B40" s="430"/>
      <c r="C40" s="430"/>
      <c r="D40" s="431">
        <f>Application!O761</f>
        <v>187272</v>
      </c>
      <c r="E40" s="428"/>
      <c r="F40" s="428"/>
      <c r="G40" s="431">
        <f>SUM(G4:G38)*12</f>
        <v>252000</v>
      </c>
      <c r="H40" s="432"/>
      <c r="I40" s="430"/>
      <c r="J40" s="431">
        <f>SUM(J4:J38)*12</f>
        <v>219960</v>
      </c>
      <c r="K40" s="204"/>
      <c r="L40" s="305"/>
    </row>
    <row r="41" spans="1:12" ht="15">
      <c r="A41" s="429"/>
      <c r="B41" s="430"/>
      <c r="C41" s="430"/>
      <c r="D41" s="432"/>
      <c r="E41" s="428"/>
      <c r="F41" s="428"/>
      <c r="G41" s="432"/>
      <c r="H41" s="432"/>
      <c r="I41" s="430"/>
      <c r="J41" s="432"/>
      <c r="K41" s="204"/>
      <c r="L41" s="305"/>
    </row>
    <row r="42" spans="1:12">
      <c r="A42" s="303" t="s">
        <v>2203</v>
      </c>
    </row>
    <row r="43" spans="1:12">
      <c r="A43" s="2698" t="s">
        <v>2424</v>
      </c>
      <c r="B43" s="2698"/>
      <c r="C43" s="2698"/>
      <c r="D43" s="2698"/>
      <c r="E43" s="2698"/>
      <c r="F43" s="2698"/>
      <c r="G43" s="2698"/>
      <c r="H43" s="2698"/>
      <c r="I43" s="2698"/>
      <c r="J43" s="2698"/>
    </row>
    <row r="44" spans="1:12">
      <c r="A44" s="2698"/>
      <c r="B44" s="2698"/>
      <c r="C44" s="2698"/>
      <c r="D44" s="2698"/>
      <c r="E44" s="2698"/>
      <c r="F44" s="2698"/>
      <c r="G44" s="2698"/>
      <c r="H44" s="2698"/>
      <c r="I44" s="2698"/>
      <c r="J44" s="2698"/>
    </row>
    <row r="45" spans="1:12">
      <c r="A45" s="2698" t="s">
        <v>2204</v>
      </c>
      <c r="B45" s="2698"/>
      <c r="C45" s="2698"/>
      <c r="D45" s="2698"/>
      <c r="E45" s="2698"/>
      <c r="F45" s="2698"/>
      <c r="G45" s="2698"/>
      <c r="H45" s="2698"/>
      <c r="I45" s="2698"/>
      <c r="J45" s="2698"/>
    </row>
    <row r="46" spans="1:12">
      <c r="A46" s="2698"/>
      <c r="B46" s="2698"/>
      <c r="C46" s="2698"/>
      <c r="D46" s="2698"/>
      <c r="E46" s="2698"/>
      <c r="F46" s="2698"/>
      <c r="G46" s="2698"/>
      <c r="H46" s="2698"/>
      <c r="I46" s="2698"/>
      <c r="J46" s="269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showGridLines="0" workbookViewId="0">
      <selection activeCell="D171" sqref="D171:F17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Application!Y809</f>
        <v>2247264</v>
      </c>
      <c r="G4" s="219">
        <f>E4*$C$4</f>
        <v>2303445.5999999996</v>
      </c>
      <c r="I4" s="219">
        <f>G4*$C$4</f>
        <v>2361031.7399999993</v>
      </c>
      <c r="K4" s="219">
        <f>I4*$C$4</f>
        <v>2420057.533499999</v>
      </c>
      <c r="M4" s="219">
        <f>K4*$C$4</f>
        <v>2480558.9718374987</v>
      </c>
      <c r="O4" s="219">
        <f>M4*$C$4</f>
        <v>2542572.9461334362</v>
      </c>
      <c r="Q4" s="219">
        <f>O4*$C$4</f>
        <v>2606137.2697867719</v>
      </c>
      <c r="S4" s="219">
        <f>Q4*$C$4</f>
        <v>2671290.701531441</v>
      </c>
      <c r="U4" s="219">
        <f>S4*$C$4</f>
        <v>2738072.9690697268</v>
      </c>
      <c r="W4" s="219">
        <f>U4*$C$4</f>
        <v>2806524.7932964698</v>
      </c>
      <c r="Y4" s="219">
        <f>W4*$C$4</f>
        <v>2876687.9131288812</v>
      </c>
      <c r="AA4" s="219">
        <f>Y4*$C$4</f>
        <v>2948605.1109571029</v>
      </c>
      <c r="AC4" s="219">
        <f>AA4*$C$4</f>
        <v>3022320.2387310304</v>
      </c>
      <c r="AE4" s="219">
        <f>AC4*$C$4</f>
        <v>3097878.2446993059</v>
      </c>
      <c r="AG4" s="219">
        <f>AE4*$C$4</f>
        <v>3175325.2008167882</v>
      </c>
    </row>
    <row r="5" spans="1:34" s="210" customFormat="1" ht="14.25">
      <c r="B5" s="210" t="s">
        <v>836</v>
      </c>
      <c r="C5" s="238">
        <f>IF(Application!$D$211="Special Needs",(((0.1*Application!$T$212)+(0.05*(1-Application!$T$212)))),0.05)</f>
        <v>0.05</v>
      </c>
      <c r="E5" s="221">
        <f>-E4*$C$5</f>
        <v>-112363.20000000001</v>
      </c>
      <c r="F5" s="221"/>
      <c r="G5" s="221">
        <f>-G4*$C$5</f>
        <v>-115172.27999999998</v>
      </c>
      <c r="H5" s="221"/>
      <c r="I5" s="221">
        <f>-I4*$C$5</f>
        <v>-118051.58699999997</v>
      </c>
      <c r="J5" s="221"/>
      <c r="K5" s="221">
        <f>-K4*$C$5</f>
        <v>-121002.87667499995</v>
      </c>
      <c r="L5" s="221"/>
      <c r="M5" s="221">
        <f>-M4*$C$5</f>
        <v>-124027.94859187494</v>
      </c>
      <c r="N5" s="221"/>
      <c r="O5" s="221">
        <f>-O4*$C$5</f>
        <v>-127128.64730667182</v>
      </c>
      <c r="P5" s="221"/>
      <c r="Q5" s="221">
        <f>-Q4*$C$5</f>
        <v>-130306.8634893386</v>
      </c>
      <c r="R5" s="221"/>
      <c r="S5" s="221">
        <f>-S4*$C$5</f>
        <v>-133564.53507657207</v>
      </c>
      <c r="T5" s="221"/>
      <c r="U5" s="221">
        <f>-U4*$C$5</f>
        <v>-136903.64845348636</v>
      </c>
      <c r="V5" s="221"/>
      <c r="W5" s="221">
        <f>-W4*$C$5</f>
        <v>-140326.23966482349</v>
      </c>
      <c r="X5" s="221"/>
      <c r="Y5" s="221">
        <f>-Y4*$C$5</f>
        <v>-143834.39565644407</v>
      </c>
      <c r="Z5" s="221"/>
      <c r="AA5" s="221">
        <f>-AA4*$C$5</f>
        <v>-147430.25554785514</v>
      </c>
      <c r="AB5" s="221"/>
      <c r="AC5" s="221">
        <f>-AC4*$C$5</f>
        <v>-151116.01193655151</v>
      </c>
      <c r="AD5" s="221"/>
      <c r="AE5" s="221">
        <f>-AE4*$C$5</f>
        <v>-154893.9122349653</v>
      </c>
      <c r="AF5" s="221"/>
      <c r="AG5" s="221">
        <f>-AG4*$C$5</f>
        <v>-158766.26004083944</v>
      </c>
    </row>
    <row r="6" spans="1:34" s="210" customFormat="1" ht="14.25">
      <c r="A6" s="210" t="s">
        <v>834</v>
      </c>
      <c r="C6" s="237">
        <v>1.0249999999999999</v>
      </c>
      <c r="E6" s="222">
        <f>Application!Z817</f>
        <v>219960</v>
      </c>
      <c r="F6" s="222"/>
      <c r="G6" s="222">
        <f>E6*$C$6</f>
        <v>225458.99999999997</v>
      </c>
      <c r="H6" s="222"/>
      <c r="I6" s="222">
        <f>G6*$C$6</f>
        <v>231095.47499999995</v>
      </c>
      <c r="J6" s="222"/>
      <c r="K6" s="222">
        <f>I6*$C$6</f>
        <v>236872.86187499992</v>
      </c>
      <c r="L6" s="222"/>
      <c r="M6" s="222">
        <f>K6*$C$6</f>
        <v>242794.68342187488</v>
      </c>
      <c r="N6" s="222"/>
      <c r="O6" s="222">
        <f>M6*$C$6</f>
        <v>248864.55050742172</v>
      </c>
      <c r="P6" s="222"/>
      <c r="Q6" s="222">
        <f>O6*$C$6</f>
        <v>255086.16427010726</v>
      </c>
      <c r="R6" s="222"/>
      <c r="S6" s="222">
        <f>Q6*$C$6</f>
        <v>261463.31837685991</v>
      </c>
      <c r="T6" s="222"/>
      <c r="U6" s="222">
        <f>S6*$C$6</f>
        <v>267999.90133628139</v>
      </c>
      <c r="V6" s="222"/>
      <c r="W6" s="222">
        <f>U6*$C$6</f>
        <v>274699.89886968839</v>
      </c>
      <c r="X6" s="222"/>
      <c r="Y6" s="222">
        <f>W6*$C$6</f>
        <v>281567.39634143055</v>
      </c>
      <c r="Z6" s="222"/>
      <c r="AA6" s="222">
        <f>Y6*$C$6</f>
        <v>288606.58124996629</v>
      </c>
      <c r="AB6" s="222"/>
      <c r="AC6" s="222">
        <f>AA6*$C$6</f>
        <v>295821.74578121543</v>
      </c>
      <c r="AD6" s="222"/>
      <c r="AE6" s="222">
        <f>AC6*$C$6</f>
        <v>303217.28942574578</v>
      </c>
      <c r="AF6" s="222"/>
      <c r="AG6" s="222">
        <f>AE6*$C$6</f>
        <v>310797.7216613894</v>
      </c>
    </row>
    <row r="7" spans="1:34" s="210" customFormat="1" ht="14.25">
      <c r="B7" s="210" t="s">
        <v>836</v>
      </c>
      <c r="C7" s="238">
        <v>0.1</v>
      </c>
      <c r="E7" s="221">
        <f>-E6*$C$7</f>
        <v>-21996</v>
      </c>
      <c r="F7" s="221"/>
      <c r="G7" s="221">
        <f>-G6*$C$7</f>
        <v>-22545.899999999998</v>
      </c>
      <c r="H7" s="221"/>
      <c r="I7" s="221">
        <f>-I6*$C$7</f>
        <v>-23109.547499999997</v>
      </c>
      <c r="J7" s="221"/>
      <c r="K7" s="221">
        <f>-K6*$C$7</f>
        <v>-23687.286187499994</v>
      </c>
      <c r="L7" s="221"/>
      <c r="M7" s="221">
        <f>-M6*$C$7</f>
        <v>-24279.468342187491</v>
      </c>
      <c r="N7" s="221"/>
      <c r="O7" s="221">
        <f>-O6*$C$7</f>
        <v>-24886.455050742174</v>
      </c>
      <c r="P7" s="221"/>
      <c r="Q7" s="221">
        <f>-Q6*$C$7</f>
        <v>-25508.616427010726</v>
      </c>
      <c r="R7" s="221"/>
      <c r="S7" s="221">
        <f>-S6*$C$7</f>
        <v>-26146.331837685993</v>
      </c>
      <c r="T7" s="221"/>
      <c r="U7" s="221">
        <f>-U6*$C$7</f>
        <v>-26799.99013362814</v>
      </c>
      <c r="V7" s="221"/>
      <c r="W7" s="221">
        <f>-W6*$C$7</f>
        <v>-27469.98988696884</v>
      </c>
      <c r="X7" s="221"/>
      <c r="Y7" s="221">
        <f>-Y6*$C$7</f>
        <v>-28156.739634143058</v>
      </c>
      <c r="Z7" s="221"/>
      <c r="AA7" s="221">
        <f>-AA6*$C$7</f>
        <v>-28860.658124996629</v>
      </c>
      <c r="AB7" s="221"/>
      <c r="AC7" s="221">
        <f>-AC6*$C$7</f>
        <v>-29582.174578121543</v>
      </c>
      <c r="AD7" s="221"/>
      <c r="AE7" s="221">
        <f>-AE6*$C$7</f>
        <v>-30321.72894257458</v>
      </c>
      <c r="AF7" s="221"/>
      <c r="AG7" s="221">
        <f>-AG6*$C$7</f>
        <v>-31079.772166138941</v>
      </c>
    </row>
    <row r="8" spans="1:34" s="210" customFormat="1" ht="14.25">
      <c r="A8" s="210" t="s">
        <v>287</v>
      </c>
      <c r="C8" s="237">
        <v>1.0249999999999999</v>
      </c>
      <c r="E8" s="222">
        <f>Application!Z825</f>
        <v>12672</v>
      </c>
      <c r="F8" s="222"/>
      <c r="G8" s="222">
        <f>E8*$C$8</f>
        <v>12988.8</v>
      </c>
      <c r="H8" s="222"/>
      <c r="I8" s="222">
        <f>G8*$C$8</f>
        <v>13313.519999999999</v>
      </c>
      <c r="J8" s="222"/>
      <c r="K8" s="222">
        <f>I8*$C$8</f>
        <v>13646.357999999997</v>
      </c>
      <c r="L8" s="222"/>
      <c r="M8" s="222">
        <f>K8*$C$8</f>
        <v>13987.516949999996</v>
      </c>
      <c r="N8" s="222"/>
      <c r="O8" s="222">
        <f>M8*$C$8</f>
        <v>14337.204873749994</v>
      </c>
      <c r="P8" s="222"/>
      <c r="Q8" s="222">
        <f>O8*$C$8</f>
        <v>14695.634995593742</v>
      </c>
      <c r="R8" s="222"/>
      <c r="S8" s="222">
        <f>Q8*$C$8</f>
        <v>15063.025870483585</v>
      </c>
      <c r="T8" s="222"/>
      <c r="U8" s="222">
        <f>S8*$C$8</f>
        <v>15439.601517245674</v>
      </c>
      <c r="V8" s="222"/>
      <c r="W8" s="222">
        <f>U8*$C$8</f>
        <v>15825.591555176814</v>
      </c>
      <c r="X8" s="222"/>
      <c r="Y8" s="222">
        <f>W8*$C$8</f>
        <v>16221.231344056232</v>
      </c>
      <c r="Z8" s="222"/>
      <c r="AA8" s="222">
        <f>Y8*$C$8</f>
        <v>16626.762127657636</v>
      </c>
      <c r="AB8" s="222"/>
      <c r="AC8" s="222">
        <f>AA8*$C$8</f>
        <v>17042.431180849075</v>
      </c>
      <c r="AD8" s="222"/>
      <c r="AE8" s="222">
        <f>AC8*$C$8</f>
        <v>17468.491960370298</v>
      </c>
      <c r="AF8" s="222"/>
      <c r="AG8" s="222">
        <f>AE8*$C$8</f>
        <v>17905.204259379556</v>
      </c>
    </row>
    <row r="9" spans="1:34" s="210" customFormat="1" ht="14.25">
      <c r="B9" s="210" t="s">
        <v>836</v>
      </c>
      <c r="C9" s="238">
        <f>IF(Application!$D$211="Special Needs",(((0.1*Application!$T$212)+(0.05*(1-Application!$T$212)))),0.05)</f>
        <v>0.05</v>
      </c>
      <c r="E9" s="221">
        <f>-E8*$C$9</f>
        <v>-633.6</v>
      </c>
      <c r="F9" s="221"/>
      <c r="G9" s="221">
        <f>-G8*$C$9</f>
        <v>-649.44000000000005</v>
      </c>
      <c r="H9" s="221"/>
      <c r="I9" s="221">
        <f>-I8*$C$9</f>
        <v>-665.67599999999993</v>
      </c>
      <c r="J9" s="221"/>
      <c r="K9" s="221">
        <f>-K8*$C$9</f>
        <v>-682.3178999999999</v>
      </c>
      <c r="L9" s="221"/>
      <c r="M9" s="221">
        <f>-M8*$C$9</f>
        <v>-699.37584749999985</v>
      </c>
      <c r="N9" s="221"/>
      <c r="O9" s="221">
        <f>-O8*$C$9</f>
        <v>-716.86024368749975</v>
      </c>
      <c r="P9" s="221"/>
      <c r="Q9" s="221">
        <f>-Q8*$C$9</f>
        <v>-734.78174977968717</v>
      </c>
      <c r="R9" s="221"/>
      <c r="S9" s="221">
        <f>-S8*$C$9</f>
        <v>-753.15129352417932</v>
      </c>
      <c r="T9" s="221"/>
      <c r="U9" s="221">
        <f>-U8*$C$9</f>
        <v>-771.98007586228368</v>
      </c>
      <c r="V9" s="221"/>
      <c r="W9" s="221">
        <f>-W8*$C$9</f>
        <v>-791.27957775884079</v>
      </c>
      <c r="X9" s="221"/>
      <c r="Y9" s="221">
        <f>-Y8*$C$9</f>
        <v>-811.0615672028116</v>
      </c>
      <c r="Z9" s="221"/>
      <c r="AA9" s="221">
        <f>-AA8*$C$9</f>
        <v>-831.33810638288185</v>
      </c>
      <c r="AB9" s="221"/>
      <c r="AC9" s="221">
        <f>-AC8*$C$9</f>
        <v>-852.12155904245378</v>
      </c>
      <c r="AD9" s="221"/>
      <c r="AE9" s="221">
        <f>-AE8*$C$9</f>
        <v>-873.42459801851498</v>
      </c>
      <c r="AF9" s="221"/>
      <c r="AG9" s="221">
        <f>-AG8*$C$9</f>
        <v>-895.26021296897784</v>
      </c>
    </row>
    <row r="10" spans="1:34" s="210" customFormat="1" ht="14.25">
      <c r="A10" s="1136" t="s">
        <v>2175</v>
      </c>
      <c r="B10" s="1136"/>
      <c r="C10" s="238"/>
      <c r="E10" s="1137"/>
      <c r="F10" s="222"/>
      <c r="G10" s="1137"/>
      <c r="H10" s="222"/>
      <c r="I10" s="1137"/>
      <c r="J10" s="222"/>
      <c r="K10" s="1137"/>
      <c r="L10" s="222"/>
      <c r="M10" s="1137"/>
      <c r="N10" s="222"/>
      <c r="O10" s="1137"/>
      <c r="P10" s="222"/>
      <c r="Q10" s="1137"/>
      <c r="R10" s="222"/>
      <c r="S10" s="1137"/>
      <c r="T10" s="222"/>
      <c r="U10" s="1137"/>
      <c r="V10" s="222"/>
      <c r="W10" s="1137"/>
      <c r="X10" s="222"/>
      <c r="Y10" s="1137"/>
      <c r="Z10" s="222"/>
      <c r="AA10" s="1137"/>
      <c r="AB10" s="222"/>
      <c r="AC10" s="1137"/>
      <c r="AD10" s="222"/>
      <c r="AE10" s="1137"/>
      <c r="AF10" s="222"/>
      <c r="AG10" s="1137"/>
    </row>
    <row r="11" spans="1:34" s="223" customFormat="1" ht="15">
      <c r="A11" s="223" t="s">
        <v>857</v>
      </c>
      <c r="C11" s="216"/>
      <c r="E11" s="223">
        <f>SUM(E4:E10)</f>
        <v>2344903.1999999997</v>
      </c>
      <c r="G11" s="223">
        <f>SUM(G4:G10)</f>
        <v>2403525.7799999998</v>
      </c>
      <c r="I11" s="223">
        <f>SUM(I4:I10)</f>
        <v>2463613.9244999997</v>
      </c>
      <c r="K11" s="223">
        <f>SUM(K4:K10)</f>
        <v>2525204.2726124991</v>
      </c>
      <c r="M11" s="223">
        <f>SUM(M4:M10)</f>
        <v>2588334.3794278116</v>
      </c>
      <c r="O11" s="223">
        <f>SUM(O4:O10)</f>
        <v>2653042.7389135063</v>
      </c>
      <c r="Q11" s="223">
        <f>SUM(Q4:Q10)</f>
        <v>2719368.8073863434</v>
      </c>
      <c r="S11" s="223">
        <f>SUM(S4:S10)</f>
        <v>2787353.0275710025</v>
      </c>
      <c r="U11" s="223">
        <f>SUM(U4:U10)</f>
        <v>2857036.8532602773</v>
      </c>
      <c r="W11" s="223">
        <f>SUM(W4:W10)</f>
        <v>2928462.7745917845</v>
      </c>
      <c r="Y11" s="223">
        <f>SUM(Y4:Y10)</f>
        <v>3001674.3439565781</v>
      </c>
      <c r="AA11" s="223">
        <f>SUM(AA4:AA10)</f>
        <v>3076716.2025554916</v>
      </c>
      <c r="AC11" s="223">
        <f>SUM(AC4:AC10)</f>
        <v>3153634.1076193796</v>
      </c>
      <c r="AE11" s="223">
        <f>SUM(AE4:AE10)</f>
        <v>3232474.9603098636</v>
      </c>
      <c r="AG11" s="223">
        <f>SUM(AG4:AG10)</f>
        <v>3313286.8343176097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97930</v>
      </c>
      <c r="G15" s="219">
        <f>E15*$C$14</f>
        <v>101357.54999999999</v>
      </c>
      <c r="I15" s="219">
        <f>G15*$C$14</f>
        <v>104905.06424999998</v>
      </c>
      <c r="K15" s="219">
        <f>I15*$C$14</f>
        <v>108576.74149874997</v>
      </c>
      <c r="M15" s="219">
        <f>K15*$C$14</f>
        <v>112376.92745120621</v>
      </c>
      <c r="O15" s="219">
        <f>M15*$C$14</f>
        <v>116310.11991199842</v>
      </c>
      <c r="Q15" s="219">
        <f>O15*$C$14</f>
        <v>120380.97410891835</v>
      </c>
      <c r="S15" s="219">
        <f>Q15*$C$14</f>
        <v>124594.30820273048</v>
      </c>
      <c r="U15" s="219">
        <f>S15*$C$14</f>
        <v>128955.10898982604</v>
      </c>
      <c r="W15" s="219">
        <f>U15*$C$14</f>
        <v>133468.53780446993</v>
      </c>
      <c r="Y15" s="219">
        <f>W15*$C$14</f>
        <v>138139.93662762636</v>
      </c>
      <c r="AA15" s="219">
        <f>Y15*$C$14</f>
        <v>142974.83440959328</v>
      </c>
      <c r="AC15" s="219">
        <f>AA15*$C$14</f>
        <v>147978.95361392904</v>
      </c>
      <c r="AE15" s="219">
        <f>AC15*$C$14</f>
        <v>153158.21699041655</v>
      </c>
      <c r="AG15" s="219">
        <f>AE15*$C$14</f>
        <v>158518.75458508113</v>
      </c>
    </row>
    <row r="16" spans="1:34" s="210" customFormat="1" ht="14.25">
      <c r="A16" s="210" t="s">
        <v>343</v>
      </c>
      <c r="C16" s="233"/>
      <c r="E16" s="222">
        <f>Application!W857</f>
        <v>112728</v>
      </c>
      <c r="F16" s="222"/>
      <c r="G16" s="222">
        <f t="shared" ref="G16:AG21" si="0">E16*$C$14</f>
        <v>116673.48</v>
      </c>
      <c r="H16" s="222"/>
      <c r="I16" s="222">
        <f t="shared" si="0"/>
        <v>120757.05179999999</v>
      </c>
      <c r="J16" s="222"/>
      <c r="K16" s="222">
        <f t="shared" si="0"/>
        <v>124983.54861299998</v>
      </c>
      <c r="L16" s="222"/>
      <c r="M16" s="222">
        <f t="shared" si="0"/>
        <v>129357.97281445497</v>
      </c>
      <c r="N16" s="222"/>
      <c r="O16" s="222">
        <f t="shared" si="0"/>
        <v>133885.5018629609</v>
      </c>
      <c r="P16" s="222"/>
      <c r="Q16" s="222">
        <f t="shared" si="0"/>
        <v>138571.49442816453</v>
      </c>
      <c r="R16" s="222"/>
      <c r="S16" s="222">
        <f t="shared" si="0"/>
        <v>143421.49673315027</v>
      </c>
      <c r="T16" s="222"/>
      <c r="U16" s="222">
        <f t="shared" si="0"/>
        <v>148441.24911881052</v>
      </c>
      <c r="V16" s="222"/>
      <c r="W16" s="222">
        <f t="shared" si="0"/>
        <v>153636.69283796888</v>
      </c>
      <c r="X16" s="222"/>
      <c r="Y16" s="222">
        <f t="shared" si="0"/>
        <v>159013.97708729777</v>
      </c>
      <c r="Z16" s="222"/>
      <c r="AA16" s="222">
        <f t="shared" si="0"/>
        <v>164579.46628535318</v>
      </c>
      <c r="AB16" s="222"/>
      <c r="AC16" s="222">
        <f t="shared" si="0"/>
        <v>170339.74760534053</v>
      </c>
      <c r="AD16" s="222"/>
      <c r="AE16" s="222">
        <f t="shared" si="0"/>
        <v>176301.63877152742</v>
      </c>
      <c r="AF16" s="222"/>
      <c r="AG16" s="222">
        <f t="shared" si="0"/>
        <v>182472.19612853086</v>
      </c>
    </row>
    <row r="17" spans="1:33" s="210" customFormat="1" ht="14.25">
      <c r="A17" s="210" t="s">
        <v>559</v>
      </c>
      <c r="C17" s="233"/>
      <c r="E17" s="222">
        <f>Application!W863</f>
        <v>209329</v>
      </c>
      <c r="F17" s="222"/>
      <c r="G17" s="222">
        <f t="shared" si="0"/>
        <v>216655.51499999998</v>
      </c>
      <c r="H17" s="222"/>
      <c r="I17" s="222">
        <f t="shared" si="0"/>
        <v>224238.45802499997</v>
      </c>
      <c r="J17" s="222"/>
      <c r="K17" s="222">
        <f t="shared" si="0"/>
        <v>232086.80405587496</v>
      </c>
      <c r="L17" s="222"/>
      <c r="M17" s="222">
        <f t="shared" si="0"/>
        <v>240209.84219783056</v>
      </c>
      <c r="N17" s="222"/>
      <c r="O17" s="222">
        <f t="shared" si="0"/>
        <v>248617.1866747546</v>
      </c>
      <c r="P17" s="222"/>
      <c r="Q17" s="222">
        <f t="shared" si="0"/>
        <v>257318.788208371</v>
      </c>
      <c r="R17" s="222"/>
      <c r="S17" s="222">
        <f t="shared" si="0"/>
        <v>266324.94579566398</v>
      </c>
      <c r="T17" s="222"/>
      <c r="U17" s="222">
        <f t="shared" si="0"/>
        <v>275646.31889851223</v>
      </c>
      <c r="V17" s="222"/>
      <c r="W17" s="222">
        <f t="shared" si="0"/>
        <v>285293.94005996012</v>
      </c>
      <c r="X17" s="222"/>
      <c r="Y17" s="222">
        <f t="shared" si="0"/>
        <v>295279.22796205868</v>
      </c>
      <c r="Z17" s="222"/>
      <c r="AA17" s="222">
        <f t="shared" si="0"/>
        <v>305614.00094073068</v>
      </c>
      <c r="AB17" s="222"/>
      <c r="AC17" s="222">
        <f t="shared" si="0"/>
        <v>316310.49097365624</v>
      </c>
      <c r="AD17" s="222"/>
      <c r="AE17" s="222">
        <f t="shared" si="0"/>
        <v>327381.35815773421</v>
      </c>
      <c r="AF17" s="222"/>
      <c r="AG17" s="222">
        <f t="shared" si="0"/>
        <v>338839.70569325489</v>
      </c>
    </row>
    <row r="18" spans="1:33" s="210" customFormat="1" ht="14.25">
      <c r="A18" s="210" t="s">
        <v>840</v>
      </c>
      <c r="C18" s="233"/>
      <c r="E18" s="222">
        <f>Application!W870</f>
        <v>287617</v>
      </c>
      <c r="F18" s="222"/>
      <c r="G18" s="222">
        <f t="shared" si="0"/>
        <v>297683.59499999997</v>
      </c>
      <c r="H18" s="222"/>
      <c r="I18" s="222">
        <f t="shared" si="0"/>
        <v>308102.52082499996</v>
      </c>
      <c r="J18" s="222"/>
      <c r="K18" s="222">
        <f t="shared" si="0"/>
        <v>318886.10905387491</v>
      </c>
      <c r="L18" s="222"/>
      <c r="M18" s="222">
        <f t="shared" si="0"/>
        <v>330047.1228707605</v>
      </c>
      <c r="N18" s="222"/>
      <c r="O18" s="222">
        <f t="shared" si="0"/>
        <v>341598.7721712371</v>
      </c>
      <c r="P18" s="222"/>
      <c r="Q18" s="222">
        <f t="shared" si="0"/>
        <v>353554.72919723036</v>
      </c>
      <c r="R18" s="222"/>
      <c r="S18" s="222">
        <f t="shared" si="0"/>
        <v>365929.14471913339</v>
      </c>
      <c r="T18" s="222"/>
      <c r="U18" s="222">
        <f t="shared" si="0"/>
        <v>378736.66478430305</v>
      </c>
      <c r="V18" s="222"/>
      <c r="W18" s="222">
        <f t="shared" si="0"/>
        <v>391992.44805175363</v>
      </c>
      <c r="X18" s="222"/>
      <c r="Y18" s="222">
        <f t="shared" si="0"/>
        <v>405712.18373356498</v>
      </c>
      <c r="Z18" s="222"/>
      <c r="AA18" s="222">
        <f t="shared" si="0"/>
        <v>419912.11016423971</v>
      </c>
      <c r="AB18" s="222"/>
      <c r="AC18" s="222">
        <f t="shared" si="0"/>
        <v>434609.03401998809</v>
      </c>
      <c r="AD18" s="222"/>
      <c r="AE18" s="222">
        <f t="shared" si="0"/>
        <v>449820.35021068761</v>
      </c>
      <c r="AF18" s="222"/>
      <c r="AG18" s="222">
        <f t="shared" si="0"/>
        <v>465564.06246806163</v>
      </c>
    </row>
    <row r="19" spans="1:33" s="210" customFormat="1" ht="14.25">
      <c r="A19" s="210" t="s">
        <v>155</v>
      </c>
      <c r="C19" s="233"/>
      <c r="E19" s="222">
        <f>Application!W872</f>
        <v>113251</v>
      </c>
      <c r="F19" s="222"/>
      <c r="G19" s="222">
        <f t="shared" si="0"/>
        <v>117214.78499999999</v>
      </c>
      <c r="H19" s="222"/>
      <c r="I19" s="222">
        <f t="shared" si="0"/>
        <v>121317.30247499997</v>
      </c>
      <c r="J19" s="222"/>
      <c r="K19" s="222">
        <f t="shared" si="0"/>
        <v>125563.40806162497</v>
      </c>
      <c r="L19" s="222"/>
      <c r="M19" s="222">
        <f t="shared" si="0"/>
        <v>129958.12734378183</v>
      </c>
      <c r="N19" s="222"/>
      <c r="O19" s="222">
        <f t="shared" si="0"/>
        <v>134506.66180081418</v>
      </c>
      <c r="P19" s="222"/>
      <c r="Q19" s="222">
        <f t="shared" si="0"/>
        <v>139214.39496384267</v>
      </c>
      <c r="R19" s="222"/>
      <c r="S19" s="222">
        <f t="shared" si="0"/>
        <v>144086.89878757714</v>
      </c>
      <c r="T19" s="222"/>
      <c r="U19" s="222">
        <f t="shared" si="0"/>
        <v>149129.94024514232</v>
      </c>
      <c r="V19" s="222"/>
      <c r="W19" s="222">
        <f t="shared" si="0"/>
        <v>154349.48815372228</v>
      </c>
      <c r="X19" s="222"/>
      <c r="Y19" s="222">
        <f t="shared" si="0"/>
        <v>159751.72023910255</v>
      </c>
      <c r="Z19" s="222"/>
      <c r="AA19" s="222">
        <f t="shared" si="0"/>
        <v>165343.03044747113</v>
      </c>
      <c r="AB19" s="222"/>
      <c r="AC19" s="222">
        <f t="shared" si="0"/>
        <v>171130.0365131326</v>
      </c>
      <c r="AD19" s="222"/>
      <c r="AE19" s="222">
        <f t="shared" si="0"/>
        <v>177119.58779109223</v>
      </c>
      <c r="AF19" s="222"/>
      <c r="AG19" s="222">
        <f t="shared" si="0"/>
        <v>183318.77336378043</v>
      </c>
    </row>
    <row r="20" spans="1:33" s="210" customFormat="1" ht="14.25">
      <c r="A20" s="210" t="s">
        <v>389</v>
      </c>
      <c r="C20" s="233"/>
      <c r="E20" s="222">
        <f>Application!W881</f>
        <v>285454</v>
      </c>
      <c r="F20" s="222"/>
      <c r="G20" s="222">
        <f t="shared" si="0"/>
        <v>295444.88999999996</v>
      </c>
      <c r="H20" s="222"/>
      <c r="I20" s="222">
        <f t="shared" si="0"/>
        <v>305785.46114999993</v>
      </c>
      <c r="J20" s="222"/>
      <c r="K20" s="222">
        <f t="shared" si="0"/>
        <v>316487.95229024993</v>
      </c>
      <c r="L20" s="222"/>
      <c r="M20" s="222">
        <f t="shared" si="0"/>
        <v>327565.03062040865</v>
      </c>
      <c r="N20" s="222"/>
      <c r="O20" s="222">
        <f t="shared" si="0"/>
        <v>339029.80669212295</v>
      </c>
      <c r="P20" s="222"/>
      <c r="Q20" s="222">
        <f t="shared" si="0"/>
        <v>350895.8499263472</v>
      </c>
      <c r="R20" s="222"/>
      <c r="S20" s="222">
        <f t="shared" si="0"/>
        <v>363177.2046737693</v>
      </c>
      <c r="T20" s="222"/>
      <c r="U20" s="222">
        <f t="shared" si="0"/>
        <v>375888.40683735121</v>
      </c>
      <c r="V20" s="222"/>
      <c r="W20" s="222">
        <f t="shared" si="0"/>
        <v>389044.50107665849</v>
      </c>
      <c r="X20" s="222"/>
      <c r="Y20" s="222">
        <f t="shared" si="0"/>
        <v>402661.05861434148</v>
      </c>
      <c r="Z20" s="222"/>
      <c r="AA20" s="222">
        <f t="shared" si="0"/>
        <v>416754.19566584338</v>
      </c>
      <c r="AB20" s="222"/>
      <c r="AC20" s="222">
        <f t="shared" si="0"/>
        <v>431340.59251414787</v>
      </c>
      <c r="AD20" s="222"/>
      <c r="AE20" s="222">
        <f t="shared" si="0"/>
        <v>446437.51325214299</v>
      </c>
      <c r="AF20" s="222"/>
      <c r="AG20" s="222">
        <f t="shared" si="0"/>
        <v>462062.82621596794</v>
      </c>
    </row>
    <row r="21" spans="1:33" s="210" customFormat="1" ht="14.25">
      <c r="A21" s="226" t="s">
        <v>960</v>
      </c>
      <c r="B21" s="226"/>
      <c r="C21" s="233"/>
      <c r="E21" s="232">
        <f>Application!W888</f>
        <v>6085</v>
      </c>
      <c r="F21" s="222"/>
      <c r="G21" s="232">
        <f t="shared" si="0"/>
        <v>6297.9749999999995</v>
      </c>
      <c r="H21" s="222"/>
      <c r="I21" s="232">
        <f t="shared" si="0"/>
        <v>6518.4041249999991</v>
      </c>
      <c r="J21" s="222"/>
      <c r="K21" s="232">
        <f t="shared" si="0"/>
        <v>6746.5482693749982</v>
      </c>
      <c r="L21" s="222"/>
      <c r="M21" s="232">
        <f t="shared" si="0"/>
        <v>6982.677458803123</v>
      </c>
      <c r="N21" s="222"/>
      <c r="O21" s="232">
        <f t="shared" si="0"/>
        <v>7227.0711698612322</v>
      </c>
      <c r="P21" s="222"/>
      <c r="Q21" s="232">
        <f t="shared" si="0"/>
        <v>7480.018660806375</v>
      </c>
      <c r="R21" s="222"/>
      <c r="S21" s="232">
        <f t="shared" si="0"/>
        <v>7741.8193139345976</v>
      </c>
      <c r="T21" s="222"/>
      <c r="U21" s="232">
        <f t="shared" si="0"/>
        <v>8012.7829899223079</v>
      </c>
      <c r="V21" s="222"/>
      <c r="W21" s="232">
        <f t="shared" si="0"/>
        <v>8293.2303945695876</v>
      </c>
      <c r="X21" s="222"/>
      <c r="Y21" s="232">
        <f t="shared" si="0"/>
        <v>8583.4934583795221</v>
      </c>
      <c r="Z21" s="222"/>
      <c r="AA21" s="232">
        <f t="shared" si="0"/>
        <v>8883.9157294228044</v>
      </c>
      <c r="AB21" s="222"/>
      <c r="AC21" s="232">
        <f t="shared" si="0"/>
        <v>9194.8527799526018</v>
      </c>
      <c r="AD21" s="222"/>
      <c r="AE21" s="232">
        <f t="shared" si="0"/>
        <v>9516.6726272509422</v>
      </c>
      <c r="AF21" s="222"/>
      <c r="AG21" s="232">
        <f t="shared" si="0"/>
        <v>9849.7561692047238</v>
      </c>
    </row>
    <row r="22" spans="1:33" s="223" customFormat="1" ht="15">
      <c r="A22" s="223" t="s">
        <v>841</v>
      </c>
      <c r="C22" s="233"/>
      <c r="E22" s="223">
        <f>SUM(E15:E21)</f>
        <v>1112394</v>
      </c>
      <c r="G22" s="223">
        <f>SUM(G15:G21)</f>
        <v>1151327.79</v>
      </c>
      <c r="I22" s="223">
        <f>SUM(I15:I21)</f>
        <v>1191624.2626499997</v>
      </c>
      <c r="K22" s="223">
        <f>SUM(K15:K21)</f>
        <v>1233331.1118427499</v>
      </c>
      <c r="M22" s="223">
        <f>SUM(M15:M21)</f>
        <v>1276497.700757246</v>
      </c>
      <c r="O22" s="223">
        <f>SUM(O15:O21)</f>
        <v>1321175.1202837494</v>
      </c>
      <c r="Q22" s="223">
        <f>SUM(Q15:Q21)</f>
        <v>1367416.2494936807</v>
      </c>
      <c r="S22" s="223">
        <f>SUM(S15:S21)</f>
        <v>1415275.8182259593</v>
      </c>
      <c r="U22" s="223">
        <f>SUM(U15:U21)</f>
        <v>1464810.4718638675</v>
      </c>
      <c r="W22" s="223">
        <f>SUM(W15:W21)</f>
        <v>1516078.8383791032</v>
      </c>
      <c r="Y22" s="223">
        <f>SUM(Y15:Y21)</f>
        <v>1569141.5977223716</v>
      </c>
      <c r="AA22" s="223">
        <f>SUM(AA15:AA21)</f>
        <v>1624061.5536426541</v>
      </c>
      <c r="AC22" s="223">
        <f>SUM(AC15:AC21)</f>
        <v>1680903.7080201467</v>
      </c>
      <c r="AE22" s="223">
        <f>SUM(AE15:AE21)</f>
        <v>1739735.337800852</v>
      </c>
      <c r="AG22" s="223">
        <f>SUM(AG15:AG21)</f>
        <v>1800626.0746238818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v>1</v>
      </c>
      <c r="E24" s="905">
        <v>1</v>
      </c>
      <c r="F24" s="222"/>
      <c r="G24" s="222">
        <f>E24*$C$24</f>
        <v>1</v>
      </c>
      <c r="H24" s="222"/>
      <c r="I24" s="222">
        <f>G24*$C$24</f>
        <v>1</v>
      </c>
      <c r="J24" s="222"/>
      <c r="K24" s="222">
        <f>I24*$C$24</f>
        <v>1</v>
      </c>
      <c r="L24" s="222"/>
      <c r="M24" s="222">
        <f>K24*$C$24</f>
        <v>1</v>
      </c>
      <c r="N24" s="222"/>
      <c r="O24" s="222">
        <f>M24*$C$24</f>
        <v>1</v>
      </c>
      <c r="P24" s="222"/>
      <c r="Q24" s="222">
        <f>O24*$C$24</f>
        <v>1</v>
      </c>
      <c r="R24" s="222"/>
      <c r="S24" s="222">
        <f>Q24*$C$24</f>
        <v>1</v>
      </c>
      <c r="T24" s="222"/>
      <c r="U24" s="222">
        <f>S24*$C$24</f>
        <v>1</v>
      </c>
      <c r="V24" s="222"/>
      <c r="W24" s="222">
        <f>U24*$C$24</f>
        <v>1</v>
      </c>
      <c r="X24" s="222"/>
      <c r="Y24" s="222">
        <f>W24*$C$24</f>
        <v>1</v>
      </c>
      <c r="Z24" s="222"/>
      <c r="AA24" s="222">
        <f>Y24*$C$24</f>
        <v>1</v>
      </c>
      <c r="AB24" s="222"/>
      <c r="AC24" s="222">
        <f>AA24*$C$24</f>
        <v>1</v>
      </c>
      <c r="AD24" s="222"/>
      <c r="AE24" s="222">
        <f>AC24*$C$24</f>
        <v>1</v>
      </c>
      <c r="AF24" s="222"/>
      <c r="AG24" s="222">
        <f>AE24*$C$24</f>
        <v>1</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Application!AC897</f>
        <v>110000</v>
      </c>
      <c r="F27" s="222"/>
      <c r="G27" s="222">
        <f>E27*$C$27</f>
        <v>113849.99999999999</v>
      </c>
      <c r="H27" s="222"/>
      <c r="I27" s="222">
        <f>G27*$C$27</f>
        <v>117834.74999999997</v>
      </c>
      <c r="J27" s="222"/>
      <c r="K27" s="222">
        <f>I27*$C$27</f>
        <v>121958.96624999995</v>
      </c>
      <c r="L27" s="222"/>
      <c r="M27" s="222">
        <f>K27*$C$27</f>
        <v>126227.53006874994</v>
      </c>
      <c r="N27" s="222"/>
      <c r="O27" s="222">
        <f>M27*$C$27</f>
        <v>130645.49362115617</v>
      </c>
      <c r="P27" s="222"/>
      <c r="Q27" s="222">
        <f>O27*$C$27</f>
        <v>135218.08589789664</v>
      </c>
      <c r="R27" s="222"/>
      <c r="S27" s="222">
        <f>Q27*$C$27</f>
        <v>139950.718904323</v>
      </c>
      <c r="T27" s="222"/>
      <c r="U27" s="222">
        <f>S27*$C$27</f>
        <v>144848.99406597429</v>
      </c>
      <c r="V27" s="222"/>
      <c r="W27" s="222">
        <f>U27*$C$27</f>
        <v>149918.70885828338</v>
      </c>
      <c r="X27" s="222"/>
      <c r="Y27" s="222">
        <f>W27*$C$27</f>
        <v>155165.86366832329</v>
      </c>
      <c r="Z27" s="222"/>
      <c r="AA27" s="222">
        <f>Y27*$C$27</f>
        <v>160596.6688967146</v>
      </c>
      <c r="AB27" s="222"/>
      <c r="AC27" s="222">
        <f>AA27*$C$27</f>
        <v>166217.55230809961</v>
      </c>
      <c r="AD27" s="222"/>
      <c r="AE27" s="222">
        <f>AC27*$C$27</f>
        <v>172035.16663888309</v>
      </c>
      <c r="AF27" s="222"/>
      <c r="AG27" s="222">
        <f>AE27*$C$27</f>
        <v>178056.39747124398</v>
      </c>
    </row>
    <row r="28" spans="1:33" s="210" customFormat="1" ht="14.25">
      <c r="A28" s="210" t="s">
        <v>844</v>
      </c>
      <c r="C28" s="237"/>
      <c r="E28" s="222">
        <f>Application!AC898</f>
        <v>61000</v>
      </c>
      <c r="F28" s="222"/>
      <c r="G28" s="222">
        <f>$E$28</f>
        <v>61000</v>
      </c>
      <c r="H28" s="222"/>
      <c r="I28" s="222">
        <f>$E$28</f>
        <v>61000</v>
      </c>
      <c r="J28" s="222"/>
      <c r="K28" s="222">
        <f>$E$28</f>
        <v>61000</v>
      </c>
      <c r="L28" s="222"/>
      <c r="M28" s="222">
        <f>$E$28</f>
        <v>61000</v>
      </c>
      <c r="N28" s="222"/>
      <c r="O28" s="222">
        <f>$E$28</f>
        <v>61000</v>
      </c>
      <c r="P28" s="222"/>
      <c r="Q28" s="222">
        <f>$E$28</f>
        <v>61000</v>
      </c>
      <c r="R28" s="222"/>
      <c r="S28" s="222">
        <f>$E$28</f>
        <v>61000</v>
      </c>
      <c r="T28" s="222"/>
      <c r="U28" s="222">
        <f>$E$28</f>
        <v>61000</v>
      </c>
      <c r="V28" s="222"/>
      <c r="W28" s="222">
        <f>$E$28</f>
        <v>61000</v>
      </c>
      <c r="X28" s="222"/>
      <c r="Y28" s="222">
        <f>$E$28</f>
        <v>61000</v>
      </c>
      <c r="Z28" s="222"/>
      <c r="AA28" s="222">
        <f>$E$28</f>
        <v>61000</v>
      </c>
      <c r="AB28" s="222"/>
      <c r="AC28" s="222">
        <f>$E$28</f>
        <v>61000</v>
      </c>
      <c r="AD28" s="222"/>
      <c r="AE28" s="222">
        <f>$E$28</f>
        <v>61000</v>
      </c>
      <c r="AF28" s="222"/>
      <c r="AG28" s="222">
        <f>$E$28</f>
        <v>61000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Application!AC900</f>
        <v>22444</v>
      </c>
      <c r="F30" s="222"/>
      <c r="G30" s="222">
        <f>E30*$C$30</f>
        <v>22892.880000000001</v>
      </c>
      <c r="H30" s="222"/>
      <c r="I30" s="222">
        <f>G30*$C$30</f>
        <v>23350.7376</v>
      </c>
      <c r="J30" s="222"/>
      <c r="K30" s="222">
        <f>I30*$C$30</f>
        <v>23817.752352</v>
      </c>
      <c r="L30" s="222"/>
      <c r="M30" s="222">
        <f>K30*$C$30</f>
        <v>24294.10739904</v>
      </c>
      <c r="N30" s="222"/>
      <c r="O30" s="222">
        <f>M30*$C$30</f>
        <v>24779.989547020799</v>
      </c>
      <c r="P30" s="222"/>
      <c r="Q30" s="222">
        <f>O30*$C$30</f>
        <v>25275.589337961217</v>
      </c>
      <c r="R30" s="222"/>
      <c r="S30" s="222">
        <f>Q30*$C$30</f>
        <v>25781.101124720441</v>
      </c>
      <c r="T30" s="222"/>
      <c r="U30" s="222">
        <f>S30*$C$30</f>
        <v>26296.723147214849</v>
      </c>
      <c r="V30" s="222"/>
      <c r="W30" s="222">
        <f>U30*$C$30</f>
        <v>26822.657610159145</v>
      </c>
      <c r="X30" s="222"/>
      <c r="Y30" s="222">
        <f>W30*$C$30</f>
        <v>27359.110762362328</v>
      </c>
      <c r="Z30" s="222"/>
      <c r="AA30" s="222">
        <f>Y30*$C$30</f>
        <v>27906.292977609577</v>
      </c>
      <c r="AB30" s="222"/>
      <c r="AC30" s="222">
        <f>AA30*$C$30</f>
        <v>28464.418837161767</v>
      </c>
      <c r="AD30" s="222"/>
      <c r="AE30" s="222">
        <f>AC30*$C$30</f>
        <v>29033.707213905003</v>
      </c>
      <c r="AF30" s="222"/>
      <c r="AG30" s="222">
        <f>AE30*$C$30</f>
        <v>29614.381358183105</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Annual Issuer &amp; Trustee Fees</v>
      </c>
      <c r="C32" s="315">
        <v>1.0349999999999999</v>
      </c>
      <c r="E32" s="222">
        <f>Application!AC903</f>
        <v>17716</v>
      </c>
      <c r="F32" s="222"/>
      <c r="G32" s="222">
        <f>E32*$C$32</f>
        <v>18336.059999999998</v>
      </c>
      <c r="H32" s="222"/>
      <c r="I32" s="222">
        <f>G32*$C$32</f>
        <v>18977.822099999998</v>
      </c>
      <c r="J32" s="222"/>
      <c r="K32" s="222">
        <f>I32*$C$32</f>
        <v>19642.045873499996</v>
      </c>
      <c r="L32" s="222"/>
      <c r="M32" s="222">
        <f>K32*$C$32</f>
        <v>20329.517479072492</v>
      </c>
      <c r="N32" s="222"/>
      <c r="O32" s="222">
        <f>M32*$C$32</f>
        <v>21041.050590840026</v>
      </c>
      <c r="P32" s="222"/>
      <c r="Q32" s="222">
        <f>O32*$C$32</f>
        <v>21777.487361519426</v>
      </c>
      <c r="R32" s="222"/>
      <c r="S32" s="222">
        <f>Q32*$C$32</f>
        <v>22539.699419172604</v>
      </c>
      <c r="T32" s="222"/>
      <c r="U32" s="222">
        <f>S32*$C$32</f>
        <v>23328.588898843645</v>
      </c>
      <c r="V32" s="222"/>
      <c r="W32" s="222">
        <f>U32*$C$32</f>
        <v>24145.089510303173</v>
      </c>
      <c r="X32" s="222"/>
      <c r="Y32" s="222">
        <f>W32*$C$32</f>
        <v>24990.167643163782</v>
      </c>
      <c r="Z32" s="222"/>
      <c r="AA32" s="222">
        <f>Y32*$C$32</f>
        <v>25864.823510674512</v>
      </c>
      <c r="AB32" s="222"/>
      <c r="AC32" s="222">
        <f>AA32*$C$32</f>
        <v>26770.092333548117</v>
      </c>
      <c r="AD32" s="222"/>
      <c r="AE32" s="222">
        <f>AC32*$C$32</f>
        <v>27707.045565222299</v>
      </c>
      <c r="AF32" s="222"/>
      <c r="AG32" s="222">
        <f>AE32*$C$32</f>
        <v>28676.792160005076</v>
      </c>
    </row>
    <row r="33" spans="1:33" s="210" customFormat="1" ht="14.25">
      <c r="A33" s="210" t="str">
        <f>Application!C904</f>
        <v>Other (Specify):</v>
      </c>
      <c r="C33" s="315">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1323555</v>
      </c>
      <c r="G35" s="223">
        <f>SUM(G22:G33)</f>
        <v>1367407.73</v>
      </c>
      <c r="I35" s="223">
        <f>SUM(I22:I33)</f>
        <v>1412788.5723499998</v>
      </c>
      <c r="K35" s="223">
        <f>SUM(K22:K33)</f>
        <v>1459750.8763182499</v>
      </c>
      <c r="M35" s="223">
        <f>SUM(M22:M33)</f>
        <v>1508349.8557041085</v>
      </c>
      <c r="O35" s="223">
        <f>SUM(O22:O33)</f>
        <v>1558642.6540427662</v>
      </c>
      <c r="Q35" s="223">
        <f>SUM(Q22:Q33)</f>
        <v>1610688.412091058</v>
      </c>
      <c r="S35" s="223">
        <f>SUM(S22:S33)</f>
        <v>1664548.3376741754</v>
      </c>
      <c r="U35" s="223">
        <f>SUM(U22:U33)</f>
        <v>1720285.7779759003</v>
      </c>
      <c r="W35" s="223">
        <f>SUM(W22:W33)</f>
        <v>1777966.2943578491</v>
      </c>
      <c r="Y35" s="223">
        <f>SUM(Y22:Y33)</f>
        <v>1837657.739796221</v>
      </c>
      <c r="AA35" s="223">
        <f>SUM(AA22:AA33)</f>
        <v>1899430.339027653</v>
      </c>
      <c r="AC35" s="223">
        <f>SUM(AC22:AC33)</f>
        <v>1963356.771498956</v>
      </c>
      <c r="AE35" s="223">
        <f>SUM(AE22:AE33)</f>
        <v>2029512.2572188624</v>
      </c>
      <c r="AG35" s="223">
        <f>SUM(AG22:AG33)</f>
        <v>2097974.6456133137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E11-E35</f>
        <v>1021348.1999999997</v>
      </c>
      <c r="G37" s="223">
        <f>G11-G35</f>
        <v>1036118.0499999998</v>
      </c>
      <c r="I37" s="223">
        <f>I11-I35</f>
        <v>1050825.3521499999</v>
      </c>
      <c r="K37" s="223">
        <f>K11-K35</f>
        <v>1065453.3962942492</v>
      </c>
      <c r="M37" s="223">
        <f>M11-M35</f>
        <v>1079984.5237237031</v>
      </c>
      <c r="O37" s="223">
        <f>O11-O35</f>
        <v>1094400.0848707401</v>
      </c>
      <c r="Q37" s="223">
        <f>Q11-Q35</f>
        <v>1108680.3952952854</v>
      </c>
      <c r="S37" s="223">
        <f>S11-S35</f>
        <v>1122804.6898968271</v>
      </c>
      <c r="U37" s="223">
        <f>U11-U35</f>
        <v>1136751.075284377</v>
      </c>
      <c r="W37" s="223">
        <f>W11-W35</f>
        <v>1150496.4802339354</v>
      </c>
      <c r="Y37" s="223">
        <f>Y11-Y35</f>
        <v>1164016.604160357</v>
      </c>
      <c r="AA37" s="223">
        <f>AA11-AA35</f>
        <v>1177285.8635278386</v>
      </c>
      <c r="AC37" s="223">
        <f>AC11-AC35</f>
        <v>1190277.3361204236</v>
      </c>
      <c r="AE37" s="223">
        <f>AE11-AE35</f>
        <v>1202962.7030910011</v>
      </c>
      <c r="AG37" s="223">
        <f>AG11-AG35</f>
        <v>1215312.188704296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BWE Tax Exempt Perm Loan</v>
      </c>
      <c r="B40" s="226"/>
      <c r="C40" s="220"/>
      <c r="E40" s="222">
        <f>Application!AF635</f>
        <v>786719</v>
      </c>
      <c r="F40" s="222"/>
      <c r="G40" s="222">
        <f>$E$40</f>
        <v>786719</v>
      </c>
      <c r="H40" s="222"/>
      <c r="I40" s="222">
        <f>$E$40</f>
        <v>786719</v>
      </c>
      <c r="J40" s="222"/>
      <c r="K40" s="222">
        <f>$E$40</f>
        <v>786719</v>
      </c>
      <c r="L40" s="222"/>
      <c r="M40" s="222">
        <f>$E$40</f>
        <v>786719</v>
      </c>
      <c r="N40" s="222"/>
      <c r="O40" s="222">
        <f>$E$40</f>
        <v>786719</v>
      </c>
      <c r="P40" s="222"/>
      <c r="Q40" s="222">
        <f>$E$40</f>
        <v>786719</v>
      </c>
      <c r="R40" s="222"/>
      <c r="S40" s="222">
        <f>$E$40</f>
        <v>786719</v>
      </c>
      <c r="T40" s="222"/>
      <c r="U40" s="222">
        <f>$E$40</f>
        <v>786719</v>
      </c>
      <c r="V40" s="222"/>
      <c r="W40" s="222">
        <f>$E$40</f>
        <v>786719</v>
      </c>
      <c r="X40" s="222"/>
      <c r="Y40" s="222">
        <f>$E$40</f>
        <v>786719</v>
      </c>
      <c r="Z40" s="222"/>
      <c r="AA40" s="222">
        <f>$E$40</f>
        <v>786719</v>
      </c>
      <c r="AB40" s="222"/>
      <c r="AC40" s="222">
        <f>$E$40</f>
        <v>786719</v>
      </c>
      <c r="AD40" s="222"/>
      <c r="AE40" s="222">
        <f>$E$40</f>
        <v>786719</v>
      </c>
      <c r="AF40" s="222"/>
      <c r="AG40" s="222">
        <f>$E$40</f>
        <v>786719</v>
      </c>
    </row>
    <row r="41" spans="1:33" s="210" customFormat="1" ht="14.25">
      <c r="A41" s="225" t="str">
        <f>Application!C637</f>
        <v>HCD AHSC Loan</v>
      </c>
      <c r="B41" s="226"/>
      <c r="C41" s="220"/>
      <c r="E41" s="222">
        <f>Application!AF637</f>
        <v>101375</v>
      </c>
      <c r="F41" s="222"/>
      <c r="G41" s="222">
        <f>$E$41</f>
        <v>101375</v>
      </c>
      <c r="H41" s="222"/>
      <c r="I41" s="222">
        <f>$E$41</f>
        <v>101375</v>
      </c>
      <c r="J41" s="222"/>
      <c r="K41" s="222">
        <f>$E$41</f>
        <v>101375</v>
      </c>
      <c r="L41" s="222"/>
      <c r="M41" s="222">
        <f>$E$41</f>
        <v>101375</v>
      </c>
      <c r="N41" s="222"/>
      <c r="O41" s="222">
        <f>$E$41</f>
        <v>101375</v>
      </c>
      <c r="P41" s="222"/>
      <c r="Q41" s="222">
        <f>$E$41</f>
        <v>101375</v>
      </c>
      <c r="R41" s="222"/>
      <c r="S41" s="222">
        <f>$E$41</f>
        <v>101375</v>
      </c>
      <c r="T41" s="222"/>
      <c r="U41" s="222">
        <f>$E$41</f>
        <v>101375</v>
      </c>
      <c r="V41" s="222"/>
      <c r="W41" s="222">
        <f>$E$41</f>
        <v>101375</v>
      </c>
      <c r="X41" s="222"/>
      <c r="Y41" s="222">
        <f>$E$41</f>
        <v>101375</v>
      </c>
      <c r="Z41" s="222"/>
      <c r="AA41" s="222">
        <f>$E$41</f>
        <v>101375</v>
      </c>
      <c r="AB41" s="222"/>
      <c r="AC41" s="222">
        <f>$E$41</f>
        <v>101375</v>
      </c>
      <c r="AD41" s="222"/>
      <c r="AE41" s="222">
        <f>$E$41</f>
        <v>101375</v>
      </c>
      <c r="AF41" s="222"/>
      <c r="AG41" s="222">
        <f>$E$41</f>
        <v>101375</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846</v>
      </c>
      <c r="C43" s="224"/>
      <c r="E43" s="223">
        <f>SUM(E40:E42)</f>
        <v>888094</v>
      </c>
      <c r="G43" s="223">
        <f>SUM(G40:G42)</f>
        <v>888094</v>
      </c>
      <c r="I43" s="223">
        <f>SUM(I40:I42)</f>
        <v>888094</v>
      </c>
      <c r="K43" s="223">
        <f>SUM(K40:K42)</f>
        <v>888094</v>
      </c>
      <c r="M43" s="223">
        <f>SUM(M40:M42)</f>
        <v>888094</v>
      </c>
      <c r="O43" s="223">
        <f>SUM(O40:O42)</f>
        <v>888094</v>
      </c>
      <c r="Q43" s="223">
        <f>SUM(Q40:Q42)</f>
        <v>888094</v>
      </c>
      <c r="S43" s="223">
        <f>SUM(S40:S42)</f>
        <v>888094</v>
      </c>
      <c r="U43" s="223">
        <f>SUM(U40:U42)</f>
        <v>888094</v>
      </c>
      <c r="W43" s="223">
        <f>SUM(W40:W42)</f>
        <v>888094</v>
      </c>
      <c r="Y43" s="223">
        <f>SUM(Y40:Y42)</f>
        <v>888094</v>
      </c>
      <c r="AA43" s="223">
        <f>SUM(AA40:AA42)</f>
        <v>888094</v>
      </c>
      <c r="AC43" s="223">
        <f>SUM(AC40:AC42)</f>
        <v>888094</v>
      </c>
      <c r="AE43" s="223">
        <f>SUM(AE40:AE42)</f>
        <v>888094</v>
      </c>
      <c r="AG43" s="223">
        <f>SUM(AG40:AG42)</f>
        <v>888094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E37-E43</f>
        <v>133254.19999999972</v>
      </c>
      <c r="G45" s="223">
        <f>G37-G43</f>
        <v>148024.04999999981</v>
      </c>
      <c r="I45" s="223">
        <f>I37-I43</f>
        <v>162731.35214999993</v>
      </c>
      <c r="K45" s="223">
        <f>K37-K43</f>
        <v>177359.39629424922</v>
      </c>
      <c r="M45" s="223">
        <f>M37-M43</f>
        <v>191890.52372370311</v>
      </c>
      <c r="O45" s="223">
        <f>O37-O43</f>
        <v>206306.08487074007</v>
      </c>
      <c r="Q45" s="223">
        <f>Q37-Q43</f>
        <v>220586.39529528539</v>
      </c>
      <c r="S45" s="223">
        <f>S37-S43</f>
        <v>234710.6898968271</v>
      </c>
      <c r="U45" s="223">
        <f>U37-U43</f>
        <v>248657.07528437697</v>
      </c>
      <c r="W45" s="223">
        <f>W37-W43</f>
        <v>262402.48023393541</v>
      </c>
      <c r="Y45" s="223">
        <f>Y37-Y43</f>
        <v>275922.60416035703</v>
      </c>
      <c r="AA45" s="223">
        <f>AA37-AA43</f>
        <v>289191.86352783861</v>
      </c>
      <c r="AC45" s="223">
        <f>AC37-AC43</f>
        <v>302183.33612042363</v>
      </c>
      <c r="AE45" s="223">
        <f>AE37-AE43</f>
        <v>314868.70309100114</v>
      </c>
      <c r="AG45" s="223">
        <f>AG37-AG43</f>
        <v>327218.18870429602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5.3733785610364196E-2</v>
      </c>
      <c r="G47" s="227">
        <f>G45/(G4+G6+G8)</f>
        <v>5.8233775657153777E-2</v>
      </c>
      <c r="I47" s="227">
        <f>I45/(I4+I6+I8)</f>
        <v>6.2458281995809807E-2</v>
      </c>
      <c r="K47" s="227">
        <f>K45/(K4+K6+K8)</f>
        <v>6.6412394277793163E-2</v>
      </c>
      <c r="M47" s="227">
        <f>M45/(M4+M6+M8)</f>
        <v>7.0101062181015486E-2</v>
      </c>
      <c r="O47" s="227">
        <f>O45/(O4+O6+O8)</f>
        <v>7.3529098669031526E-2</v>
      </c>
      <c r="Q47" s="227">
        <f>Q45/(Q4+Q6+Q8)</f>
        <v>7.6701183169233564E-2</v>
      </c>
      <c r="S47" s="227">
        <f>S45/(S4+S6+S8)</f>
        <v>7.9621864672004716E-2</v>
      </c>
      <c r="U47" s="227">
        <f>U45/(U4+U6+U8)</f>
        <v>8.2295564752741759E-2</v>
      </c>
      <c r="W47" s="227">
        <f>W45/(W4+W6+W8)</f>
        <v>8.4726580518621558E-2</v>
      </c>
      <c r="Y47" s="227">
        <f>Y45/(Y4+Y6+Y8)</f>
        <v>8.6919087481923216E-2</v>
      </c>
      <c r="AA47" s="227">
        <f>AA45/(AA4+AA6+AA8)</f>
        <v>8.8877142361686853E-2</v>
      </c>
      <c r="AC47" s="227">
        <f>AC45/(AC4+AC6+AC8)</f>
        <v>9.0604685815439678E-2</v>
      </c>
      <c r="AE47" s="227">
        <f>AE45/(AE4+AE6+AE8)</f>
        <v>9.2105545102677364E-2</v>
      </c>
      <c r="AG47" s="227">
        <f>AG45/(AG4+AG6+AG8)</f>
        <v>9.3383436681758067E-2</v>
      </c>
    </row>
    <row r="48" spans="1:33" s="227" customFormat="1" ht="14.25">
      <c r="A48" s="227" t="s">
        <v>850</v>
      </c>
      <c r="C48" s="220"/>
      <c r="E48" s="227">
        <f>E45/E43</f>
        <v>0.1500451528779608</v>
      </c>
      <c r="G48" s="227">
        <f>G45/G43</f>
        <v>0.16667610635811053</v>
      </c>
      <c r="I48" s="227">
        <f>I45/I43</f>
        <v>0.18323663052559744</v>
      </c>
      <c r="K48" s="227">
        <f>K45/K43</f>
        <v>0.19970790962921631</v>
      </c>
      <c r="M48" s="227">
        <f>M45/M43</f>
        <v>0.21607005984017807</v>
      </c>
      <c r="O48" s="227">
        <f>O45/O43</f>
        <v>0.23230208161606775</v>
      </c>
      <c r="Q48" s="227">
        <f>Q45/Q43</f>
        <v>0.24838181014091457</v>
      </c>
      <c r="S48" s="227">
        <f>S45/S43</f>
        <v>0.26428586376760466</v>
      </c>
      <c r="U48" s="227">
        <f>U45/U43</f>
        <v>0.27998959038612686</v>
      </c>
      <c r="W48" s="227">
        <f>W45/W43</f>
        <v>0.29546701163833489</v>
      </c>
      <c r="Y48" s="227">
        <f>Y45/Y43</f>
        <v>0.31069076489691072</v>
      </c>
      <c r="AA48" s="227">
        <f>AA45/AA43</f>
        <v>0.32563204292320252</v>
      </c>
      <c r="AC48" s="227">
        <f>AC45/AC43</f>
        <v>0.34026053111542653</v>
      </c>
      <c r="AE48" s="227">
        <f>AE45/AE43</f>
        <v>0.35454434225543818</v>
      </c>
      <c r="AG48" s="227">
        <f>AG45/AG43</f>
        <v>0.36844994865892128</v>
      </c>
    </row>
    <row r="49" spans="1:34" s="228" customFormat="1" ht="14.25">
      <c r="A49" s="228" t="s">
        <v>848</v>
      </c>
      <c r="C49" s="229"/>
      <c r="E49" s="228">
        <f>E37/E43</f>
        <v>1.1500451528779607</v>
      </c>
      <c r="G49" s="228">
        <f>G37/G43</f>
        <v>1.1666761063581106</v>
      </c>
      <c r="I49" s="228">
        <f>I37/I43</f>
        <v>1.1832366305255975</v>
      </c>
      <c r="K49" s="228">
        <f>K37/K43</f>
        <v>1.1997079096292163</v>
      </c>
      <c r="M49" s="228">
        <f>M37/M43</f>
        <v>1.2160700598401781</v>
      </c>
      <c r="O49" s="228">
        <f>O37/O43</f>
        <v>1.2323020816160677</v>
      </c>
      <c r="Q49" s="228">
        <f>Q37/Q43</f>
        <v>1.2483818101409145</v>
      </c>
      <c r="S49" s="228">
        <f>S37/S43</f>
        <v>1.2642858637676047</v>
      </c>
      <c r="U49" s="228">
        <f>U37/U43</f>
        <v>1.2799895903861269</v>
      </c>
      <c r="W49" s="228">
        <f>W37/W43</f>
        <v>1.2954670116383349</v>
      </c>
      <c r="Y49" s="228">
        <f>Y37/Y43</f>
        <v>1.3106907648969108</v>
      </c>
      <c r="AA49" s="228">
        <f>AA37/AA43</f>
        <v>1.3256320429232025</v>
      </c>
      <c r="AC49" s="228">
        <f>AC37/AC43</f>
        <v>1.3402605311154265</v>
      </c>
      <c r="AE49" s="228">
        <f>AE37/AE43</f>
        <v>1.3545443422554382</v>
      </c>
      <c r="AG49" s="228">
        <f>AG37/AG43</f>
        <v>1.3684499486589212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6"/>
      <c r="E51" s="955"/>
      <c r="F51" s="955"/>
      <c r="G51" s="955"/>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row>
    <row r="52" spans="1:34" s="3" customFormat="1">
      <c r="A52" s="2701" t="s">
        <v>2751</v>
      </c>
      <c r="B52" s="2701"/>
      <c r="C52" s="2701"/>
      <c r="D52" s="955"/>
      <c r="E52" s="955"/>
      <c r="F52" s="955"/>
      <c r="G52" s="955"/>
      <c r="H52" s="955"/>
      <c r="I52" s="955"/>
      <c r="J52" s="955"/>
      <c r="K52" s="955"/>
      <c r="L52" s="955"/>
      <c r="M52" s="955"/>
      <c r="N52" s="955"/>
      <c r="O52" s="955"/>
      <c r="P52" s="955"/>
      <c r="Q52" s="955"/>
      <c r="R52" s="955"/>
      <c r="S52" s="955"/>
      <c r="T52" s="955"/>
      <c r="U52" s="955"/>
      <c r="V52" s="955"/>
      <c r="W52" s="955"/>
      <c r="X52" s="955"/>
      <c r="Y52" s="955"/>
      <c r="Z52" s="955"/>
      <c r="AA52" s="955"/>
      <c r="AB52" s="955"/>
      <c r="AC52" s="955"/>
      <c r="AD52" s="955"/>
      <c r="AE52" s="955"/>
      <c r="AF52" s="955"/>
      <c r="AG52" s="955"/>
    </row>
    <row r="53" spans="1:34" s="957" customFormat="1">
      <c r="A53" s="957" t="s">
        <v>852</v>
      </c>
      <c r="C53" s="958">
        <v>1.03</v>
      </c>
      <c r="E53" s="959">
        <v>37318</v>
      </c>
      <c r="G53" s="955">
        <f>E53*$C$53</f>
        <v>38437.54</v>
      </c>
      <c r="I53" s="955">
        <f>G53*$C$53</f>
        <v>39590.6662</v>
      </c>
      <c r="K53" s="955">
        <f>I53*$C$53</f>
        <v>40778.386186000003</v>
      </c>
      <c r="M53" s="955">
        <f>K53*$C$53</f>
        <v>42001.737771580003</v>
      </c>
      <c r="O53" s="955">
        <f>M53*$C$53</f>
        <v>43261.789904727404</v>
      </c>
      <c r="Q53" s="955">
        <f>O53*$C$53</f>
        <v>44559.643601869226</v>
      </c>
      <c r="S53" s="955">
        <f>Q53*$C$53</f>
        <v>45896.432909925301</v>
      </c>
      <c r="U53" s="955">
        <f>S53*$C$53</f>
        <v>47273.325897223061</v>
      </c>
      <c r="W53" s="955">
        <f>U53*$C$53</f>
        <v>48691.525674139753</v>
      </c>
      <c r="Y53" s="955">
        <f>W53*$C$53</f>
        <v>50152.271444363949</v>
      </c>
      <c r="AA53" s="955">
        <f>Y53*$C$53</f>
        <v>51656.839587694871</v>
      </c>
      <c r="AC53" s="955">
        <f>AA53*$C$53</f>
        <v>53206.544775325718</v>
      </c>
      <c r="AE53" s="955">
        <f>AC53*$C$53</f>
        <v>54802.741118585487</v>
      </c>
      <c r="AG53" s="955">
        <f>AE53*$C$53</f>
        <v>56446.823352143052</v>
      </c>
    </row>
    <row r="54" spans="1:34" s="3" customFormat="1">
      <c r="A54" s="3" t="s">
        <v>853</v>
      </c>
      <c r="C54" s="953"/>
      <c r="E54" s="960">
        <v>5000</v>
      </c>
      <c r="F54" s="955"/>
      <c r="G54" s="955">
        <f t="shared" ref="G54:AG57" si="1">E54*$C$53</f>
        <v>5150</v>
      </c>
      <c r="H54" s="955"/>
      <c r="I54" s="955">
        <f t="shared" si="1"/>
        <v>5304.5</v>
      </c>
      <c r="J54" s="955"/>
      <c r="K54" s="955">
        <f t="shared" si="1"/>
        <v>5463.6350000000002</v>
      </c>
      <c r="L54" s="955"/>
      <c r="M54" s="955">
        <f t="shared" si="1"/>
        <v>5627.5440500000004</v>
      </c>
      <c r="N54" s="955"/>
      <c r="O54" s="955">
        <f t="shared" si="1"/>
        <v>5796.3703715000001</v>
      </c>
      <c r="P54" s="955"/>
      <c r="Q54" s="955">
        <f t="shared" si="1"/>
        <v>5970.2614826449999</v>
      </c>
      <c r="R54" s="955"/>
      <c r="S54" s="955">
        <f t="shared" si="1"/>
        <v>6149.3693271243501</v>
      </c>
      <c r="T54" s="955"/>
      <c r="U54" s="955">
        <f t="shared" si="1"/>
        <v>6333.8504069380806</v>
      </c>
      <c r="V54" s="955"/>
      <c r="W54" s="955">
        <f t="shared" si="1"/>
        <v>6523.865919146223</v>
      </c>
      <c r="X54" s="955"/>
      <c r="Y54" s="955">
        <f t="shared" si="1"/>
        <v>6719.5818967206096</v>
      </c>
      <c r="Z54" s="955"/>
      <c r="AA54" s="955">
        <f t="shared" si="1"/>
        <v>6921.1693536222283</v>
      </c>
      <c r="AB54" s="955"/>
      <c r="AC54" s="955">
        <f t="shared" si="1"/>
        <v>7128.8044342308949</v>
      </c>
      <c r="AD54" s="955"/>
      <c r="AE54" s="955">
        <f t="shared" si="1"/>
        <v>7342.6685672578224</v>
      </c>
      <c r="AF54" s="955"/>
      <c r="AG54" s="955">
        <f t="shared" si="1"/>
        <v>7562.9486242755574</v>
      </c>
      <c r="AH54" s="955"/>
    </row>
    <row r="55" spans="1:34" s="3" customFormat="1">
      <c r="A55" s="3" t="s">
        <v>854</v>
      </c>
      <c r="C55" s="953"/>
      <c r="E55" s="960"/>
      <c r="F55" s="955"/>
      <c r="G55" s="955">
        <f t="shared" si="1"/>
        <v>0</v>
      </c>
      <c r="H55" s="955"/>
      <c r="I55" s="955">
        <f t="shared" si="1"/>
        <v>0</v>
      </c>
      <c r="J55" s="955"/>
      <c r="K55" s="955">
        <f t="shared" si="1"/>
        <v>0</v>
      </c>
      <c r="L55" s="955"/>
      <c r="M55" s="955">
        <f t="shared" si="1"/>
        <v>0</v>
      </c>
      <c r="N55" s="955"/>
      <c r="O55" s="955">
        <f t="shared" si="1"/>
        <v>0</v>
      </c>
      <c r="P55" s="955"/>
      <c r="Q55" s="955">
        <f t="shared" si="1"/>
        <v>0</v>
      </c>
      <c r="R55" s="955"/>
      <c r="S55" s="955">
        <f t="shared" si="1"/>
        <v>0</v>
      </c>
      <c r="T55" s="955"/>
      <c r="U55" s="955">
        <f t="shared" si="1"/>
        <v>0</v>
      </c>
      <c r="V55" s="955"/>
      <c r="W55" s="955">
        <f t="shared" si="1"/>
        <v>0</v>
      </c>
      <c r="X55" s="955"/>
      <c r="Y55" s="955">
        <f t="shared" si="1"/>
        <v>0</v>
      </c>
      <c r="Z55" s="955"/>
      <c r="AA55" s="955">
        <f t="shared" si="1"/>
        <v>0</v>
      </c>
      <c r="AB55" s="955"/>
      <c r="AC55" s="955">
        <f t="shared" si="1"/>
        <v>0</v>
      </c>
      <c r="AD55" s="955"/>
      <c r="AE55" s="955">
        <f t="shared" si="1"/>
        <v>0</v>
      </c>
      <c r="AF55" s="955"/>
      <c r="AG55" s="955">
        <f t="shared" si="1"/>
        <v>0</v>
      </c>
      <c r="AH55" s="955"/>
    </row>
    <row r="56" spans="1:34" s="3" customFormat="1">
      <c r="A56" s="961"/>
      <c r="B56" s="961"/>
      <c r="C56" s="953"/>
      <c r="E56" s="960"/>
      <c r="F56" s="955"/>
      <c r="G56" s="955">
        <f t="shared" si="1"/>
        <v>0</v>
      </c>
      <c r="H56" s="955"/>
      <c r="I56" s="955">
        <f t="shared" si="1"/>
        <v>0</v>
      </c>
      <c r="J56" s="955"/>
      <c r="K56" s="955">
        <f t="shared" si="1"/>
        <v>0</v>
      </c>
      <c r="L56" s="955"/>
      <c r="M56" s="955">
        <f t="shared" si="1"/>
        <v>0</v>
      </c>
      <c r="N56" s="955"/>
      <c r="O56" s="955">
        <f t="shared" si="1"/>
        <v>0</v>
      </c>
      <c r="P56" s="955"/>
      <c r="Q56" s="955">
        <f t="shared" si="1"/>
        <v>0</v>
      </c>
      <c r="R56" s="955"/>
      <c r="S56" s="955">
        <f t="shared" si="1"/>
        <v>0</v>
      </c>
      <c r="T56" s="955"/>
      <c r="U56" s="955">
        <f t="shared" si="1"/>
        <v>0</v>
      </c>
      <c r="V56" s="955"/>
      <c r="W56" s="955">
        <f t="shared" si="1"/>
        <v>0</v>
      </c>
      <c r="X56" s="955"/>
      <c r="Y56" s="955">
        <f t="shared" si="1"/>
        <v>0</v>
      </c>
      <c r="Z56" s="955"/>
      <c r="AA56" s="955">
        <f t="shared" si="1"/>
        <v>0</v>
      </c>
      <c r="AB56" s="955"/>
      <c r="AC56" s="955">
        <f t="shared" si="1"/>
        <v>0</v>
      </c>
      <c r="AD56" s="955"/>
      <c r="AE56" s="955">
        <f t="shared" si="1"/>
        <v>0</v>
      </c>
      <c r="AF56" s="955"/>
      <c r="AG56" s="955">
        <f t="shared" si="1"/>
        <v>0</v>
      </c>
      <c r="AH56" s="955"/>
    </row>
    <row r="57" spans="1:34" s="3" customFormat="1">
      <c r="A57" s="961"/>
      <c r="B57" s="961"/>
      <c r="C57" s="953"/>
      <c r="E57" s="962"/>
      <c r="F57" s="955"/>
      <c r="G57" s="963">
        <f t="shared" si="1"/>
        <v>0</v>
      </c>
      <c r="H57" s="955"/>
      <c r="I57" s="963">
        <f t="shared" si="1"/>
        <v>0</v>
      </c>
      <c r="J57" s="955"/>
      <c r="K57" s="963">
        <f t="shared" si="1"/>
        <v>0</v>
      </c>
      <c r="L57" s="955"/>
      <c r="M57" s="963">
        <f t="shared" si="1"/>
        <v>0</v>
      </c>
      <c r="N57" s="955"/>
      <c r="O57" s="963">
        <f t="shared" si="1"/>
        <v>0</v>
      </c>
      <c r="P57" s="955"/>
      <c r="Q57" s="963">
        <f t="shared" si="1"/>
        <v>0</v>
      </c>
      <c r="R57" s="955"/>
      <c r="S57" s="963">
        <f t="shared" si="1"/>
        <v>0</v>
      </c>
      <c r="T57" s="955"/>
      <c r="U57" s="963">
        <f t="shared" si="1"/>
        <v>0</v>
      </c>
      <c r="V57" s="955"/>
      <c r="W57" s="963">
        <f t="shared" si="1"/>
        <v>0</v>
      </c>
      <c r="X57" s="955"/>
      <c r="Y57" s="963">
        <f t="shared" si="1"/>
        <v>0</v>
      </c>
      <c r="Z57" s="955"/>
      <c r="AA57" s="963">
        <f t="shared" si="1"/>
        <v>0</v>
      </c>
      <c r="AB57" s="955"/>
      <c r="AC57" s="963">
        <f t="shared" si="1"/>
        <v>0</v>
      </c>
      <c r="AD57" s="955"/>
      <c r="AE57" s="963">
        <f t="shared" si="1"/>
        <v>0</v>
      </c>
      <c r="AF57" s="955"/>
      <c r="AG57" s="963">
        <f t="shared" si="1"/>
        <v>0</v>
      </c>
      <c r="AH57" s="955"/>
    </row>
    <row r="58" spans="1:34" s="3" customFormat="1">
      <c r="A58" s="957" t="s">
        <v>851</v>
      </c>
      <c r="C58" s="956"/>
      <c r="E58" s="955">
        <f>SUM(E53:E57)</f>
        <v>42318</v>
      </c>
      <c r="F58" s="955"/>
      <c r="G58" s="955">
        <f>SUM(G53:G57)</f>
        <v>43587.54</v>
      </c>
      <c r="H58" s="955"/>
      <c r="I58" s="955">
        <f>SUM(I53:I57)</f>
        <v>44895.1662</v>
      </c>
      <c r="J58" s="955"/>
      <c r="K58" s="955">
        <f>SUM(K53:K57)</f>
        <v>46242.021186000005</v>
      </c>
      <c r="L58" s="955"/>
      <c r="M58" s="955">
        <f>SUM(M53:M57)</f>
        <v>47629.281821580007</v>
      </c>
      <c r="N58" s="955"/>
      <c r="O58" s="955">
        <f>SUM(O53:O57)</f>
        <v>49058.160276227405</v>
      </c>
      <c r="P58" s="955"/>
      <c r="Q58" s="955">
        <f>SUM(Q53:Q57)</f>
        <v>50529.905084514226</v>
      </c>
      <c r="R58" s="955"/>
      <c r="S58" s="955">
        <f>SUM(S53:S57)</f>
        <v>52045.802237049647</v>
      </c>
      <c r="T58" s="955"/>
      <c r="U58" s="955">
        <f>SUM(U53:U57)</f>
        <v>53607.176304161141</v>
      </c>
      <c r="V58" s="955"/>
      <c r="W58" s="955">
        <f>SUM(W53:W57)</f>
        <v>55215.391593285975</v>
      </c>
      <c r="X58" s="955"/>
      <c r="Y58" s="955">
        <f>SUM(Y53:Y57)</f>
        <v>56871.853341084556</v>
      </c>
      <c r="Z58" s="955"/>
      <c r="AA58" s="955">
        <f>SUM(AA53:AA57)</f>
        <v>58578.008941317101</v>
      </c>
      <c r="AB58" s="955"/>
      <c r="AC58" s="955">
        <f>SUM(AC53:AC57)</f>
        <v>60335.349209556611</v>
      </c>
      <c r="AD58" s="955"/>
      <c r="AE58" s="955">
        <f>SUM(AE53:AE57)</f>
        <v>62145.409685843311</v>
      </c>
      <c r="AF58" s="955"/>
      <c r="AG58" s="955">
        <f>SUM(AG53:AG57)</f>
        <v>64009.771976418611</v>
      </c>
      <c r="AH58" s="955"/>
    </row>
    <row r="59" spans="1:34" s="3" customFormat="1" ht="12.75" customHeight="1">
      <c r="A59" s="957"/>
      <c r="C59" s="956"/>
      <c r="E59" s="955"/>
      <c r="F59" s="955"/>
      <c r="G59" s="955"/>
      <c r="H59" s="955"/>
      <c r="I59" s="955"/>
      <c r="J59" s="955"/>
      <c r="K59" s="955"/>
      <c r="L59" s="955"/>
      <c r="M59" s="955"/>
      <c r="N59" s="955"/>
      <c r="O59" s="955"/>
      <c r="P59" s="955"/>
      <c r="Q59" s="955"/>
      <c r="R59" s="955"/>
      <c r="S59" s="955"/>
      <c r="T59" s="955"/>
      <c r="U59" s="955"/>
      <c r="V59" s="955"/>
      <c r="W59" s="955"/>
      <c r="X59" s="955"/>
      <c r="Y59" s="955"/>
      <c r="Z59" s="955"/>
      <c r="AA59" s="955"/>
      <c r="AB59" s="955"/>
      <c r="AC59" s="955"/>
      <c r="AD59" s="955"/>
      <c r="AE59" s="955"/>
      <c r="AF59" s="955"/>
      <c r="AG59" s="955"/>
      <c r="AH59" s="955"/>
    </row>
    <row r="60" spans="1:34" s="957" customFormat="1">
      <c r="A60" s="957" t="s">
        <v>856</v>
      </c>
      <c r="C60" s="964"/>
      <c r="E60" s="957">
        <f>E45-E58</f>
        <v>90936.199999999721</v>
      </c>
      <c r="G60" s="957">
        <f>G45-G58</f>
        <v>104436.50999999981</v>
      </c>
      <c r="I60" s="957">
        <f>I45-I58</f>
        <v>117836.18594999993</v>
      </c>
      <c r="K60" s="957">
        <f>K45-K58</f>
        <v>131117.37510824922</v>
      </c>
      <c r="M60" s="957">
        <f>M45-M58</f>
        <v>144261.24190212309</v>
      </c>
      <c r="O60" s="957">
        <f>O45-O58</f>
        <v>157247.92459451267</v>
      </c>
      <c r="Q60" s="957">
        <f>Q45-Q58</f>
        <v>170056.49021077115</v>
      </c>
      <c r="S60" s="957">
        <f>S45-S58</f>
        <v>182664.88765977745</v>
      </c>
      <c r="U60" s="957">
        <f>U45-U58</f>
        <v>195049.89898021583</v>
      </c>
      <c r="W60" s="957">
        <f>W45-W58</f>
        <v>207187.08864064942</v>
      </c>
      <c r="Y60" s="957">
        <f>Y45-Y58</f>
        <v>219050.75081927248</v>
      </c>
      <c r="AA60" s="957">
        <f>AA45-AA58</f>
        <v>230613.85458652151</v>
      </c>
      <c r="AC60" s="957">
        <f>AC45-AC58</f>
        <v>241847.98691086701</v>
      </c>
      <c r="AE60" s="957">
        <f>AE45-AE58</f>
        <v>252723.29340515783</v>
      </c>
      <c r="AG60" s="957">
        <f>AG45-AG58</f>
        <v>263208.4167278774</v>
      </c>
    </row>
    <row r="61" spans="1:34" s="3" customFormat="1" ht="8.25" customHeight="1">
      <c r="C61" s="956"/>
      <c r="E61" s="955"/>
      <c r="F61" s="955"/>
      <c r="G61" s="955"/>
      <c r="H61" s="955"/>
      <c r="I61" s="955"/>
      <c r="J61" s="955"/>
      <c r="K61" s="955"/>
      <c r="L61" s="955"/>
      <c r="M61" s="955"/>
      <c r="N61" s="955"/>
      <c r="O61" s="955"/>
      <c r="P61" s="955"/>
      <c r="Q61" s="955"/>
      <c r="R61" s="955"/>
      <c r="S61" s="955"/>
      <c r="T61" s="955"/>
      <c r="U61" s="955"/>
      <c r="V61" s="955"/>
      <c r="W61" s="955"/>
      <c r="X61" s="955"/>
      <c r="Y61" s="955"/>
      <c r="Z61" s="955"/>
      <c r="AA61" s="955"/>
      <c r="AB61" s="955"/>
      <c r="AC61" s="955"/>
      <c r="AD61" s="955"/>
      <c r="AE61" s="955"/>
      <c r="AF61" s="955"/>
      <c r="AG61" s="955"/>
      <c r="AH61" s="955"/>
    </row>
    <row r="62" spans="1:34" s="957" customFormat="1">
      <c r="A62" s="957" t="s">
        <v>855</v>
      </c>
      <c r="C62" s="954">
        <v>1</v>
      </c>
      <c r="E62" s="959">
        <f>E60*$C$62</f>
        <v>90936.199999999721</v>
      </c>
      <c r="G62" s="957">
        <f>G60*$C$62</f>
        <v>104436.50999999981</v>
      </c>
      <c r="I62" s="957">
        <f>I60*$C$62</f>
        <v>117836.18594999993</v>
      </c>
      <c r="K62" s="957">
        <f>K60*$C$62</f>
        <v>131117.37510824922</v>
      </c>
      <c r="M62" s="957">
        <f>M60*$C$62</f>
        <v>144261.24190212309</v>
      </c>
      <c r="O62" s="957">
        <f>O60*$C$62</f>
        <v>157247.92459451267</v>
      </c>
      <c r="Q62" s="957">
        <f>Q60*$C$62</f>
        <v>170056.49021077115</v>
      </c>
      <c r="S62" s="957">
        <f>S60*$C$62</f>
        <v>182664.88765977745</v>
      </c>
      <c r="U62" s="957">
        <f>U60*$C$62</f>
        <v>195049.89898021583</v>
      </c>
      <c r="W62" s="957">
        <f>W60*$C$62</f>
        <v>207187.08864064942</v>
      </c>
      <c r="Y62" s="957">
        <f>Y60*$C$62</f>
        <v>219050.75081927248</v>
      </c>
      <c r="AA62" s="957">
        <f>AA60*$C$62</f>
        <v>230613.85458652151</v>
      </c>
      <c r="AC62" s="957">
        <f>AC60*$C$62</f>
        <v>241847.98691086701</v>
      </c>
      <c r="AE62" s="957">
        <f>AE60*$C$62</f>
        <v>252723.29340515783</v>
      </c>
      <c r="AG62" s="957">
        <f>AG60*$C$62</f>
        <v>263208.4167278774</v>
      </c>
    </row>
    <row r="63" spans="1:34" s="957" customFormat="1">
      <c r="A63" s="2701" t="s">
        <v>1182</v>
      </c>
      <c r="B63" s="2701"/>
      <c r="C63" s="2701"/>
    </row>
    <row r="64" spans="1:34" s="3" customFormat="1" ht="8.25" customHeight="1">
      <c r="C64" s="956"/>
      <c r="E64" s="955"/>
      <c r="F64" s="955"/>
      <c r="G64" s="955"/>
      <c r="H64" s="955"/>
      <c r="I64" s="955"/>
      <c r="J64" s="955"/>
      <c r="K64" s="955"/>
      <c r="L64" s="955"/>
      <c r="M64" s="955"/>
      <c r="N64" s="955"/>
      <c r="O64" s="955"/>
      <c r="P64" s="955"/>
      <c r="Q64" s="955"/>
      <c r="R64" s="955"/>
      <c r="S64" s="955"/>
      <c r="T64" s="955"/>
      <c r="U64" s="955"/>
      <c r="V64" s="955"/>
      <c r="W64" s="955"/>
      <c r="X64" s="955"/>
      <c r="Y64" s="955"/>
      <c r="Z64" s="955"/>
      <c r="AA64" s="955"/>
      <c r="AB64" s="955"/>
      <c r="AC64" s="955"/>
      <c r="AD64" s="955"/>
      <c r="AE64" s="955"/>
      <c r="AF64" s="955"/>
      <c r="AG64" s="955"/>
      <c r="AH64" s="955"/>
    </row>
    <row r="65" spans="1:34" s="3" customFormat="1">
      <c r="A65" s="3" t="s">
        <v>859</v>
      </c>
      <c r="C65" s="954">
        <v>0</v>
      </c>
      <c r="E65" s="955"/>
      <c r="F65" s="955"/>
      <c r="G65" s="955"/>
      <c r="H65" s="955"/>
      <c r="I65" s="955"/>
      <c r="J65" s="955"/>
      <c r="K65" s="955"/>
      <c r="L65" s="955"/>
      <c r="M65" s="955"/>
      <c r="N65" s="955"/>
      <c r="O65" s="955"/>
      <c r="P65" s="955"/>
      <c r="Q65" s="955"/>
      <c r="R65" s="955"/>
      <c r="S65" s="955"/>
      <c r="T65" s="955"/>
      <c r="U65" s="955"/>
      <c r="V65" s="955"/>
      <c r="W65" s="955"/>
      <c r="X65" s="955"/>
      <c r="Y65" s="955"/>
      <c r="Z65" s="955"/>
      <c r="AA65" s="955"/>
      <c r="AB65" s="955"/>
      <c r="AC65" s="955"/>
      <c r="AD65" s="955"/>
      <c r="AE65" s="955"/>
      <c r="AF65" s="955"/>
      <c r="AG65" s="955"/>
      <c r="AH65" s="955"/>
    </row>
    <row r="66" spans="1:34" s="957" customFormat="1">
      <c r="A66" s="959" t="s">
        <v>2814</v>
      </c>
      <c r="B66" s="959"/>
      <c r="C66" s="958"/>
      <c r="E66" s="959">
        <f>($E60-E62)*$C$65</f>
        <v>0</v>
      </c>
      <c r="G66" s="955">
        <f>G60*$C$65</f>
        <v>0</v>
      </c>
      <c r="I66" s="955">
        <f>I60*$C$65</f>
        <v>0</v>
      </c>
      <c r="K66" s="955">
        <f>K60*$C$65</f>
        <v>0</v>
      </c>
      <c r="M66" s="955">
        <f>M60*$C$65</f>
        <v>0</v>
      </c>
      <c r="O66" s="955">
        <f>O60*$C$65</f>
        <v>0</v>
      </c>
      <c r="Q66" s="955">
        <f>Q60*$C$65</f>
        <v>0</v>
      </c>
      <c r="S66" s="955">
        <f>S60*$C$65</f>
        <v>0</v>
      </c>
      <c r="U66" s="955">
        <f>U60*$C$65</f>
        <v>0</v>
      </c>
      <c r="W66" s="955">
        <f>W60*$C$65</f>
        <v>0</v>
      </c>
      <c r="Y66" s="955">
        <f>Y60*$C$65</f>
        <v>0</v>
      </c>
      <c r="AA66" s="955">
        <f>AA60*$C$65</f>
        <v>0</v>
      </c>
      <c r="AC66" s="955">
        <f>AC60*$C$65</f>
        <v>0</v>
      </c>
      <c r="AE66" s="955">
        <f>AE60*$C$65</f>
        <v>0</v>
      </c>
      <c r="AG66" s="955">
        <f>AG60*$C$65</f>
        <v>0</v>
      </c>
    </row>
    <row r="67" spans="1:34" s="955" customFormat="1">
      <c r="A67" s="960" t="s">
        <v>2149</v>
      </c>
      <c r="B67" s="960"/>
      <c r="C67" s="965"/>
      <c r="E67" s="959">
        <f>($E60-E62)*$C$65</f>
        <v>0</v>
      </c>
      <c r="G67" s="955">
        <f>G60*$C$65</f>
        <v>0</v>
      </c>
      <c r="I67" s="955">
        <f>I60*$C$65</f>
        <v>0</v>
      </c>
      <c r="K67" s="955">
        <f>K60*$C$65</f>
        <v>0</v>
      </c>
      <c r="M67" s="955">
        <f>M60*$C$65</f>
        <v>0</v>
      </c>
      <c r="O67" s="955">
        <f>O60*$C$65</f>
        <v>0</v>
      </c>
      <c r="Q67" s="955">
        <f>Q60*$C$65</f>
        <v>0</v>
      </c>
      <c r="S67" s="955">
        <f>S60*$C$65</f>
        <v>0</v>
      </c>
      <c r="U67" s="955">
        <f>U60*$C$65</f>
        <v>0</v>
      </c>
      <c r="W67" s="955">
        <f>W60*$C$65</f>
        <v>0</v>
      </c>
      <c r="Y67" s="955">
        <f>Y60*$C$65</f>
        <v>0</v>
      </c>
      <c r="AA67" s="955">
        <f>AA60*$C$65</f>
        <v>0</v>
      </c>
      <c r="AC67" s="955">
        <f>AC60*$C$65</f>
        <v>0</v>
      </c>
      <c r="AE67" s="955">
        <f>AE60*$C$65</f>
        <v>0</v>
      </c>
      <c r="AG67" s="955">
        <f>AG60*$C$65</f>
        <v>0</v>
      </c>
    </row>
    <row r="68" spans="1:34" s="955" customFormat="1">
      <c r="A68" s="960" t="s">
        <v>2802</v>
      </c>
      <c r="B68" s="960"/>
      <c r="C68" s="965"/>
      <c r="E68" s="959">
        <f>($E60-E62)*$C$65</f>
        <v>0</v>
      </c>
      <c r="G68" s="955">
        <f t="shared" ref="G68:AG69" si="2">E68*$C$66</f>
        <v>0</v>
      </c>
      <c r="I68" s="955">
        <f t="shared" si="2"/>
        <v>0</v>
      </c>
      <c r="K68" s="955">
        <f t="shared" si="2"/>
        <v>0</v>
      </c>
      <c r="M68" s="955">
        <f t="shared" si="2"/>
        <v>0</v>
      </c>
      <c r="O68" s="955">
        <f t="shared" si="2"/>
        <v>0</v>
      </c>
      <c r="Q68" s="955">
        <f t="shared" si="2"/>
        <v>0</v>
      </c>
      <c r="S68" s="955">
        <f t="shared" si="2"/>
        <v>0</v>
      </c>
      <c r="U68" s="955">
        <f t="shared" si="2"/>
        <v>0</v>
      </c>
      <c r="W68" s="955">
        <f t="shared" si="2"/>
        <v>0</v>
      </c>
      <c r="Y68" s="955">
        <f t="shared" si="2"/>
        <v>0</v>
      </c>
      <c r="AA68" s="955">
        <f t="shared" si="2"/>
        <v>0</v>
      </c>
      <c r="AC68" s="955">
        <f t="shared" si="2"/>
        <v>0</v>
      </c>
      <c r="AE68" s="955">
        <f t="shared" si="2"/>
        <v>0</v>
      </c>
      <c r="AG68" s="955">
        <f t="shared" si="2"/>
        <v>0</v>
      </c>
    </row>
    <row r="69" spans="1:34" s="955" customFormat="1">
      <c r="A69" s="960"/>
      <c r="B69" s="960"/>
      <c r="C69" s="965"/>
      <c r="E69" s="959">
        <f>($E60-E62)*$C$65</f>
        <v>0</v>
      </c>
      <c r="G69" s="963">
        <f t="shared" si="2"/>
        <v>0</v>
      </c>
      <c r="I69" s="963">
        <f t="shared" si="2"/>
        <v>0</v>
      </c>
      <c r="K69" s="963">
        <f t="shared" si="2"/>
        <v>0</v>
      </c>
      <c r="M69" s="963">
        <f t="shared" si="2"/>
        <v>0</v>
      </c>
      <c r="O69" s="963">
        <f t="shared" si="2"/>
        <v>0</v>
      </c>
      <c r="Q69" s="963">
        <f t="shared" si="2"/>
        <v>0</v>
      </c>
      <c r="S69" s="963">
        <f t="shared" si="2"/>
        <v>0</v>
      </c>
      <c r="U69" s="963">
        <f t="shared" si="2"/>
        <v>0</v>
      </c>
      <c r="W69" s="963">
        <f t="shared" si="2"/>
        <v>0</v>
      </c>
      <c r="Y69" s="963">
        <f t="shared" si="2"/>
        <v>0</v>
      </c>
      <c r="AA69" s="963">
        <f t="shared" si="2"/>
        <v>0</v>
      </c>
      <c r="AC69" s="963">
        <f t="shared" si="2"/>
        <v>0</v>
      </c>
      <c r="AE69" s="963">
        <f t="shared" si="2"/>
        <v>0</v>
      </c>
      <c r="AG69" s="963">
        <f t="shared" si="2"/>
        <v>0</v>
      </c>
    </row>
    <row r="70" spans="1:34" s="955" customFormat="1">
      <c r="A70" s="957" t="s">
        <v>851</v>
      </c>
      <c r="C70" s="965"/>
      <c r="E70" s="955">
        <f>SUM(E66:E69)</f>
        <v>0</v>
      </c>
      <c r="G70" s="955">
        <f>SUM(G66:G69)</f>
        <v>0</v>
      </c>
      <c r="I70" s="955">
        <f>SUM(I66:I69)</f>
        <v>0</v>
      </c>
      <c r="K70" s="955">
        <f>SUM(K66:K69)</f>
        <v>0</v>
      </c>
      <c r="M70" s="955">
        <f>SUM(M66:M69)</f>
        <v>0</v>
      </c>
      <c r="O70" s="955">
        <f>SUM(O66:O69)</f>
        <v>0</v>
      </c>
      <c r="Q70" s="955">
        <f>SUM(Q66:Q69)</f>
        <v>0</v>
      </c>
      <c r="S70" s="955">
        <f>SUM(S66:S69)</f>
        <v>0</v>
      </c>
      <c r="U70" s="955">
        <f>SUM(U66:U69)</f>
        <v>0</v>
      </c>
      <c r="W70" s="955">
        <f>SUM(W66:W69)</f>
        <v>0</v>
      </c>
      <c r="Y70" s="955">
        <f>SUM(Y66:Y69)</f>
        <v>0</v>
      </c>
      <c r="AA70" s="955">
        <f>SUM(AA66:AA69)</f>
        <v>0</v>
      </c>
      <c r="AC70" s="955">
        <f>SUM(AC66:AC69)</f>
        <v>0</v>
      </c>
      <c r="AE70" s="955">
        <f>SUM(AE66:AE69)</f>
        <v>0</v>
      </c>
      <c r="AG70" s="955">
        <f>SUM(AG66:AG69)</f>
        <v>0</v>
      </c>
    </row>
    <row r="71" spans="1:34" s="955" customFormat="1">
      <c r="A71" s="957"/>
      <c r="C71" s="965"/>
    </row>
    <row r="72" spans="1:34" s="955" customFormat="1">
      <c r="A72" s="957" t="s">
        <v>1710</v>
      </c>
      <c r="C72" s="965"/>
      <c r="E72" s="957">
        <f>E60-E62-E70</f>
        <v>0</v>
      </c>
      <c r="G72" s="957">
        <f>G60-G62-G70</f>
        <v>0</v>
      </c>
      <c r="I72" s="957">
        <f>I60-I62-I70</f>
        <v>0</v>
      </c>
      <c r="K72" s="957">
        <f>K60-K62-K70</f>
        <v>0</v>
      </c>
      <c r="M72" s="957">
        <f>M60-M62-M70</f>
        <v>0</v>
      </c>
      <c r="O72" s="957">
        <f>O60-O62-O70</f>
        <v>0</v>
      </c>
      <c r="Q72" s="957">
        <f>Q60-Q62-Q70</f>
        <v>0</v>
      </c>
      <c r="S72" s="957">
        <f>S60-S62-S70</f>
        <v>0</v>
      </c>
      <c r="U72" s="957">
        <f>U60-U62-U70</f>
        <v>0</v>
      </c>
      <c r="W72" s="957">
        <f>W60-W62-W70</f>
        <v>0</v>
      </c>
      <c r="Y72" s="957">
        <f>Y60-Y62-Y70</f>
        <v>0</v>
      </c>
      <c r="AA72" s="957">
        <f>AA60-AA62-AA70</f>
        <v>0</v>
      </c>
      <c r="AC72" s="957">
        <f>AC60-AC62-AC70</f>
        <v>0</v>
      </c>
      <c r="AE72" s="957">
        <f>AE60-AE62-AE70</f>
        <v>0</v>
      </c>
      <c r="AG72" s="957">
        <f>AG60-AG62-AG70</f>
        <v>0</v>
      </c>
    </row>
    <row r="73" spans="1:34" s="955" customFormat="1">
      <c r="A73" s="528"/>
      <c r="C73" s="965"/>
    </row>
    <row r="74" spans="1:34" s="217" customFormat="1">
      <c r="A74" s="528"/>
      <c r="C74" s="183"/>
    </row>
    <row r="75" spans="1:34" s="217" customFormat="1">
      <c r="A75" s="955" t="s">
        <v>1709</v>
      </c>
      <c r="C75" s="183"/>
    </row>
    <row r="76" spans="1:34" s="217" customFormat="1">
      <c r="C76" s="183"/>
    </row>
    <row r="77" spans="1:34" s="234" customFormat="1" ht="30" customHeight="1">
      <c r="A77" s="2699" t="s">
        <v>1708</v>
      </c>
      <c r="B77" s="2700"/>
      <c r="C77" s="2700"/>
      <c r="D77" s="2700"/>
      <c r="E77" s="2700"/>
      <c r="F77" s="2700"/>
      <c r="G77" s="2700"/>
      <c r="H77" s="2700"/>
      <c r="I77" s="2700"/>
      <c r="J77" s="2700"/>
      <c r="K77" s="2700"/>
      <c r="L77" s="2700"/>
      <c r="M77" s="2700"/>
      <c r="N77" s="2700"/>
      <c r="O77" s="2700"/>
      <c r="P77" s="2700"/>
      <c r="Q77" s="2700"/>
      <c r="R77" s="2700"/>
      <c r="S77" s="2700"/>
      <c r="T77" s="2700"/>
      <c r="U77" s="2700"/>
      <c r="V77" s="2700"/>
      <c r="W77" s="2700"/>
      <c r="X77" s="2700"/>
      <c r="Y77" s="2700"/>
      <c r="Z77" s="2700"/>
      <c r="AA77" s="2700"/>
      <c r="AB77" s="2700"/>
      <c r="AC77" s="2700"/>
      <c r="AD77" s="2700"/>
      <c r="AE77" s="2700"/>
      <c r="AF77" s="2700"/>
      <c r="AG77" s="270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&amp;LRoss Center - Affordable Housing&amp;C&amp;P&amp;R&amp;A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election activeCell="D171" sqref="D171:F175"/>
    </sheetView>
  </sheetViews>
  <sheetFormatPr defaultColWidth="0" defaultRowHeight="12.75" zeroHeight="1"/>
  <cols>
    <col min="1" max="1" width="161.7109375" customWidth="1"/>
    <col min="2" max="16384" width="8.85546875" hidden="1"/>
  </cols>
  <sheetData>
    <row r="1" spans="1:1" ht="47.25">
      <c r="A1" s="312" t="s">
        <v>969</v>
      </c>
    </row>
    <row r="2" spans="1:1" ht="15.75">
      <c r="A2" s="313"/>
    </row>
    <row r="3" spans="1:1" ht="15.75">
      <c r="A3" s="314" t="s">
        <v>964</v>
      </c>
    </row>
    <row r="4" spans="1:1" ht="15.75">
      <c r="A4" s="314" t="s">
        <v>965</v>
      </c>
    </row>
    <row r="5" spans="1:1" ht="15.75">
      <c r="A5" s="314" t="s">
        <v>966</v>
      </c>
    </row>
    <row r="6" spans="1:1" ht="15.75">
      <c r="A6" s="314" t="s">
        <v>968</v>
      </c>
    </row>
    <row r="7" spans="1:1" ht="15.75">
      <c r="A7" s="314" t="s">
        <v>967</v>
      </c>
    </row>
    <row r="8" spans="1:1" ht="15.75">
      <c r="A8" s="345" t="s">
        <v>1022</v>
      </c>
    </row>
    <row r="9" spans="1:1" ht="15.75">
      <c r="A9" s="314"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D171" sqref="D171:F175"/>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4" customFormat="1" ht="18" customHeight="1">
      <c r="A1" s="512" t="s">
        <v>1215</v>
      </c>
      <c r="D1" s="279"/>
    </row>
    <row r="2" spans="1:6" s="274" customFormat="1">
      <c r="A2" s="258" t="s">
        <v>887</v>
      </c>
      <c r="B2" s="260"/>
      <c r="C2" s="260"/>
      <c r="D2" s="257"/>
      <c r="E2" s="261"/>
      <c r="F2" s="260"/>
    </row>
    <row r="3" spans="1:6" s="350" customFormat="1" ht="80.25" customHeight="1">
      <c r="A3" s="276"/>
      <c r="B3" s="262" t="s">
        <v>888</v>
      </c>
      <c r="C3" s="262" t="s">
        <v>889</v>
      </c>
      <c r="D3" s="262" t="s">
        <v>890</v>
      </c>
      <c r="E3" s="259" t="s">
        <v>891</v>
      </c>
      <c r="F3" s="259"/>
    </row>
    <row r="4" spans="1:6" s="351" customFormat="1">
      <c r="A4" s="263" t="s">
        <v>26</v>
      </c>
      <c r="B4" s="263"/>
      <c r="C4" s="263"/>
      <c r="D4" s="263"/>
      <c r="E4" s="281"/>
      <c r="F4" s="263"/>
    </row>
    <row r="5" spans="1:6" s="351" customFormat="1">
      <c r="A5" s="363" t="s">
        <v>27</v>
      </c>
      <c r="B5" s="265">
        <f>'Sources and Uses Budget'!$C4</f>
        <v>0</v>
      </c>
      <c r="C5" s="265">
        <f>'Sources and Uses Budget'!$C4</f>
        <v>0</v>
      </c>
      <c r="D5" s="269">
        <f>C5-B5</f>
        <v>0</v>
      </c>
      <c r="E5" s="267"/>
      <c r="F5" s="266"/>
    </row>
    <row r="6" spans="1:6" s="351" customFormat="1">
      <c r="A6" s="363" t="s">
        <v>28</v>
      </c>
      <c r="B6" s="265">
        <f>'Sources and Uses Budget'!$C5</f>
        <v>0</v>
      </c>
      <c r="C6" s="265">
        <f>'Sources and Uses Budget'!$C5</f>
        <v>0</v>
      </c>
      <c r="D6" s="269">
        <f t="shared" ref="D6:D77" si="0">C6-B6</f>
        <v>0</v>
      </c>
      <c r="E6" s="267"/>
      <c r="F6" s="266"/>
    </row>
    <row r="7" spans="1:6" s="351" customFormat="1">
      <c r="A7" s="363" t="s">
        <v>29</v>
      </c>
      <c r="B7" s="265">
        <f>'Sources and Uses Budget'!$C6</f>
        <v>34465</v>
      </c>
      <c r="C7" s="265">
        <f>'Sources and Uses Budget'!$C6</f>
        <v>34465</v>
      </c>
      <c r="D7" s="269">
        <f t="shared" si="0"/>
        <v>0</v>
      </c>
      <c r="E7" s="267"/>
      <c r="F7" s="266"/>
    </row>
    <row r="8" spans="1:6" s="351" customFormat="1">
      <c r="A8" s="363" t="s">
        <v>97</v>
      </c>
      <c r="B8" s="265">
        <f>'Sources and Uses Budget'!$C7</f>
        <v>0</v>
      </c>
      <c r="C8" s="265">
        <f>'Sources and Uses Budget'!$C7</f>
        <v>0</v>
      </c>
      <c r="D8" s="269">
        <f t="shared" si="0"/>
        <v>0</v>
      </c>
      <c r="E8" s="267"/>
      <c r="F8" s="266"/>
    </row>
    <row r="9" spans="1:6" s="351" customFormat="1">
      <c r="A9" s="364" t="s">
        <v>591</v>
      </c>
      <c r="B9" s="269">
        <f>SUM(B5:B8)</f>
        <v>34465</v>
      </c>
      <c r="C9" s="269">
        <f>SUM(C5:C8)</f>
        <v>34465</v>
      </c>
      <c r="D9" s="269">
        <f t="shared" si="0"/>
        <v>0</v>
      </c>
      <c r="E9" s="267"/>
      <c r="F9" s="266"/>
    </row>
    <row r="10" spans="1:6" s="351" customFormat="1">
      <c r="A10" s="363" t="s">
        <v>592</v>
      </c>
      <c r="B10" s="265">
        <f>'Sources and Uses Budget'!$C9</f>
        <v>0</v>
      </c>
      <c r="C10" s="265">
        <f>'Sources and Uses Budget'!$C9</f>
        <v>0</v>
      </c>
      <c r="D10" s="269">
        <f t="shared" si="0"/>
        <v>0</v>
      </c>
      <c r="E10" s="267"/>
      <c r="F10" s="266"/>
    </row>
    <row r="11" spans="1:6" s="351" customFormat="1">
      <c r="A11" s="363" t="s">
        <v>593</v>
      </c>
      <c r="B11" s="265">
        <f>'Sources and Uses Budget'!$C10</f>
        <v>237461</v>
      </c>
      <c r="C11" s="265">
        <f>'Sources and Uses Budget'!$C10</f>
        <v>237461</v>
      </c>
      <c r="D11" s="269">
        <f t="shared" si="0"/>
        <v>0</v>
      </c>
      <c r="E11" s="267"/>
      <c r="F11" s="266"/>
    </row>
    <row r="12" spans="1:6" s="351" customFormat="1">
      <c r="A12" s="364" t="s">
        <v>594</v>
      </c>
      <c r="B12" s="269">
        <f>SUM(B10:B11)</f>
        <v>237461</v>
      </c>
      <c r="C12" s="269">
        <f>SUM(C10:C11)</f>
        <v>237461</v>
      </c>
      <c r="D12" s="269">
        <f t="shared" si="0"/>
        <v>0</v>
      </c>
      <c r="E12" s="267"/>
      <c r="F12" s="266"/>
    </row>
    <row r="13" spans="1:6" s="351" customFormat="1">
      <c r="A13" s="364" t="s">
        <v>84</v>
      </c>
      <c r="B13" s="269">
        <f>SUM(B9+B12)</f>
        <v>271926</v>
      </c>
      <c r="C13" s="269">
        <f>SUM(C9+C12)</f>
        <v>271926</v>
      </c>
      <c r="D13" s="269">
        <f t="shared" si="0"/>
        <v>0</v>
      </c>
      <c r="E13" s="267"/>
      <c r="F13" s="266"/>
    </row>
    <row r="14" spans="1:6" s="351" customFormat="1">
      <c r="A14" s="365" t="s">
        <v>900</v>
      </c>
      <c r="B14" s="265">
        <f>'Sources and Uses Budget'!$C13</f>
        <v>0</v>
      </c>
      <c r="C14" s="265">
        <f>'Sources and Uses Budget'!$C13</f>
        <v>0</v>
      </c>
      <c r="D14" s="269">
        <f t="shared" si="0"/>
        <v>0</v>
      </c>
      <c r="E14" s="267"/>
      <c r="F14" s="266"/>
    </row>
    <row r="15" spans="1:6" s="351" customFormat="1" ht="24">
      <c r="A15" s="363" t="s">
        <v>901</v>
      </c>
      <c r="B15" s="265">
        <f>'Sources and Uses Budget'!$C14</f>
        <v>0</v>
      </c>
      <c r="C15" s="265">
        <f>'Sources and Uses Budget'!$C14</f>
        <v>0</v>
      </c>
      <c r="D15" s="269">
        <f t="shared" si="0"/>
        <v>0</v>
      </c>
      <c r="E15" s="267"/>
      <c r="F15" s="266"/>
    </row>
    <row r="16" spans="1:6" s="351" customFormat="1">
      <c r="A16" s="363" t="s">
        <v>1159</v>
      </c>
      <c r="B16" s="265">
        <f>'Sources and Uses Budget'!$C15</f>
        <v>0</v>
      </c>
      <c r="C16" s="265">
        <f>'Sources and Uses Budget'!$C15</f>
        <v>0</v>
      </c>
      <c r="D16" s="269">
        <f t="shared" si="0"/>
        <v>0</v>
      </c>
      <c r="E16" s="267"/>
      <c r="F16" s="266"/>
    </row>
    <row r="17" spans="1:6" s="351" customFormat="1">
      <c r="A17" s="263" t="s">
        <v>595</v>
      </c>
      <c r="B17" s="263"/>
      <c r="C17" s="263"/>
      <c r="D17" s="263"/>
      <c r="E17" s="281"/>
      <c r="F17" s="263"/>
    </row>
    <row r="18" spans="1:6" s="351" customFormat="1">
      <c r="A18" s="145" t="s">
        <v>596</v>
      </c>
      <c r="B18" s="265">
        <f>'Sources and Uses Budget'!$C17</f>
        <v>0</v>
      </c>
      <c r="C18" s="265">
        <f>'Sources and Uses Budget'!$C17</f>
        <v>0</v>
      </c>
      <c r="D18" s="269">
        <f t="shared" si="0"/>
        <v>0</v>
      </c>
      <c r="E18" s="267"/>
      <c r="F18" s="266"/>
    </row>
    <row r="19" spans="1:6" s="351" customFormat="1">
      <c r="A19" s="145" t="s">
        <v>597</v>
      </c>
      <c r="B19" s="265">
        <f>'Sources and Uses Budget'!$C18</f>
        <v>0</v>
      </c>
      <c r="C19" s="265">
        <f>'Sources and Uses Budget'!$C18</f>
        <v>0</v>
      </c>
      <c r="D19" s="269">
        <f t="shared" si="0"/>
        <v>0</v>
      </c>
      <c r="E19" s="267"/>
      <c r="F19" s="266"/>
    </row>
    <row r="20" spans="1:6" s="351" customFormat="1">
      <c r="A20" s="145" t="s">
        <v>598</v>
      </c>
      <c r="B20" s="265">
        <f>'Sources and Uses Budget'!$C19</f>
        <v>0</v>
      </c>
      <c r="C20" s="265">
        <f>'Sources and Uses Budget'!$C19</f>
        <v>0</v>
      </c>
      <c r="D20" s="269">
        <f t="shared" si="0"/>
        <v>0</v>
      </c>
      <c r="E20" s="267"/>
      <c r="F20" s="266"/>
    </row>
    <row r="21" spans="1:6" s="351" customFormat="1">
      <c r="A21" s="145" t="s">
        <v>137</v>
      </c>
      <c r="B21" s="265">
        <f>'Sources and Uses Budget'!$C20</f>
        <v>0</v>
      </c>
      <c r="C21" s="265">
        <f>'Sources and Uses Budget'!$C20</f>
        <v>0</v>
      </c>
      <c r="D21" s="269">
        <f t="shared" si="0"/>
        <v>0</v>
      </c>
      <c r="E21" s="267"/>
      <c r="F21" s="266"/>
    </row>
    <row r="22" spans="1:6" s="351" customFormat="1">
      <c r="A22" s="145" t="s">
        <v>138</v>
      </c>
      <c r="B22" s="265">
        <f>'Sources and Uses Budget'!$C21</f>
        <v>0</v>
      </c>
      <c r="C22" s="265">
        <f>'Sources and Uses Budget'!$C21</f>
        <v>0</v>
      </c>
      <c r="D22" s="269">
        <f t="shared" si="0"/>
        <v>0</v>
      </c>
      <c r="E22" s="267"/>
      <c r="F22" s="266"/>
    </row>
    <row r="23" spans="1:6" s="351" customFormat="1">
      <c r="A23" s="145" t="s">
        <v>139</v>
      </c>
      <c r="B23" s="265">
        <f>'Sources and Uses Budget'!$C22</f>
        <v>0</v>
      </c>
      <c r="C23" s="265">
        <f>'Sources and Uses Budget'!$C22</f>
        <v>0</v>
      </c>
      <c r="D23" s="269">
        <f t="shared" si="0"/>
        <v>0</v>
      </c>
      <c r="E23" s="267"/>
      <c r="F23" s="266"/>
    </row>
    <row r="24" spans="1:6" s="351" customFormat="1">
      <c r="A24" s="145" t="s">
        <v>140</v>
      </c>
      <c r="B24" s="265">
        <f>'Sources and Uses Budget'!$C23</f>
        <v>0</v>
      </c>
      <c r="C24" s="265">
        <f>'Sources and Uses Budget'!$C23</f>
        <v>0</v>
      </c>
      <c r="D24" s="269">
        <f t="shared" si="0"/>
        <v>0</v>
      </c>
      <c r="E24" s="267"/>
      <c r="F24" s="266"/>
    </row>
    <row r="25" spans="1:6" s="351" customFormat="1">
      <c r="A25" s="507" t="s">
        <v>1627</v>
      </c>
      <c r="B25" s="265">
        <f>'Sources and Uses Budget'!$C24</f>
        <v>0</v>
      </c>
      <c r="C25" s="265">
        <f>'Sources and Uses Budget'!$C24</f>
        <v>0</v>
      </c>
      <c r="D25" s="269">
        <f t="shared" si="0"/>
        <v>0</v>
      </c>
      <c r="E25" s="267"/>
      <c r="F25" s="266"/>
    </row>
    <row r="26" spans="1:6" s="351" customFormat="1">
      <c r="A26" s="155" t="str">
        <f>'Sources and Uses Budget'!A25</f>
        <v>Other: (Specify)</v>
      </c>
      <c r="B26" s="265">
        <f>'Sources and Uses Budget'!$C25</f>
        <v>0</v>
      </c>
      <c r="C26" s="265">
        <f>'Sources and Uses Budget'!$C25</f>
        <v>0</v>
      </c>
      <c r="D26" s="269">
        <f t="shared" si="0"/>
        <v>0</v>
      </c>
      <c r="E26" s="267"/>
      <c r="F26" s="266"/>
    </row>
    <row r="27" spans="1:6" s="351" customFormat="1">
      <c r="A27" s="1012" t="s">
        <v>133</v>
      </c>
      <c r="B27" s="269">
        <f>SUM(B18:B26)</f>
        <v>0</v>
      </c>
      <c r="C27" s="269">
        <f>SUM(C18:C26)</f>
        <v>0</v>
      </c>
      <c r="D27" s="269">
        <f>SUM(D18:D26)</f>
        <v>0</v>
      </c>
      <c r="E27" s="267"/>
      <c r="F27" s="266"/>
    </row>
    <row r="28" spans="1:6" s="351" customFormat="1">
      <c r="A28" s="270" t="s">
        <v>141</v>
      </c>
      <c r="B28" s="265">
        <f>'Sources and Uses Budget'!$C$27</f>
        <v>0</v>
      </c>
      <c r="C28" s="265">
        <f>'Sources and Uses Budget'!$C$27</f>
        <v>0</v>
      </c>
      <c r="D28" s="269">
        <f t="shared" si="0"/>
        <v>0</v>
      </c>
      <c r="E28" s="267"/>
      <c r="F28" s="266"/>
    </row>
    <row r="29" spans="1:6" s="351" customFormat="1">
      <c r="A29" s="263" t="s">
        <v>142</v>
      </c>
      <c r="B29" s="263"/>
      <c r="C29" s="263"/>
      <c r="D29" s="263"/>
      <c r="E29" s="281"/>
      <c r="F29" s="263"/>
    </row>
    <row r="30" spans="1:6" s="351" customFormat="1">
      <c r="A30" s="145" t="s">
        <v>596</v>
      </c>
      <c r="B30" s="265">
        <f>'Sources and Uses Budget'!$C29</f>
        <v>5038342</v>
      </c>
      <c r="C30" s="265">
        <f>'Sources and Uses Budget'!$C29</f>
        <v>5038342</v>
      </c>
      <c r="D30" s="269">
        <f t="shared" si="0"/>
        <v>0</v>
      </c>
      <c r="E30" s="267"/>
      <c r="F30" s="266"/>
    </row>
    <row r="31" spans="1:6" s="351" customFormat="1">
      <c r="A31" s="145" t="s">
        <v>597</v>
      </c>
      <c r="B31" s="265">
        <f>'Sources and Uses Budget'!$C30</f>
        <v>51571056</v>
      </c>
      <c r="C31" s="265">
        <f>'Sources and Uses Budget'!$C30</f>
        <v>51571056</v>
      </c>
      <c r="D31" s="269">
        <f t="shared" si="0"/>
        <v>0</v>
      </c>
      <c r="E31" s="267"/>
      <c r="F31" s="266"/>
    </row>
    <row r="32" spans="1:6" s="351" customFormat="1">
      <c r="A32" s="145" t="s">
        <v>598</v>
      </c>
      <c r="B32" s="265">
        <f>'Sources and Uses Budget'!$C31</f>
        <v>3685112</v>
      </c>
      <c r="C32" s="265">
        <f>'Sources and Uses Budget'!$C31</f>
        <v>3685112</v>
      </c>
      <c r="D32" s="269">
        <f t="shared" si="0"/>
        <v>0</v>
      </c>
      <c r="E32" s="267"/>
      <c r="F32" s="266"/>
    </row>
    <row r="33" spans="1:6" s="351" customFormat="1">
      <c r="A33" s="145" t="s">
        <v>137</v>
      </c>
      <c r="B33" s="265">
        <f>'Sources and Uses Budget'!$C32</f>
        <v>2053966</v>
      </c>
      <c r="C33" s="265">
        <f>'Sources and Uses Budget'!$C32</f>
        <v>2053966</v>
      </c>
      <c r="D33" s="269">
        <f t="shared" si="0"/>
        <v>0</v>
      </c>
      <c r="E33" s="267"/>
      <c r="F33" s="266"/>
    </row>
    <row r="34" spans="1:6" s="351" customFormat="1">
      <c r="A34" s="145" t="s">
        <v>138</v>
      </c>
      <c r="B34" s="265">
        <f>'Sources and Uses Budget'!$C33</f>
        <v>2053966</v>
      </c>
      <c r="C34" s="265">
        <f>'Sources and Uses Budget'!$C33</f>
        <v>2053966</v>
      </c>
      <c r="D34" s="269">
        <f t="shared" si="0"/>
        <v>0</v>
      </c>
      <c r="E34" s="267"/>
      <c r="F34" s="266"/>
    </row>
    <row r="35" spans="1:6" s="351" customFormat="1">
      <c r="A35" s="145" t="s">
        <v>139</v>
      </c>
      <c r="B35" s="265">
        <f>'Sources and Uses Budget'!$C34</f>
        <v>0</v>
      </c>
      <c r="C35" s="265">
        <f>'Sources and Uses Budget'!$C34</f>
        <v>0</v>
      </c>
      <c r="D35" s="269">
        <f t="shared" si="0"/>
        <v>0</v>
      </c>
      <c r="E35" s="267"/>
      <c r="F35" s="266"/>
    </row>
    <row r="36" spans="1:6" s="351" customFormat="1">
      <c r="A36" s="145" t="s">
        <v>140</v>
      </c>
      <c r="B36" s="265">
        <f>'Sources and Uses Budget'!$C35</f>
        <v>899648</v>
      </c>
      <c r="C36" s="265">
        <f>'Sources and Uses Budget'!$C35</f>
        <v>899648</v>
      </c>
      <c r="D36" s="269">
        <f t="shared" si="0"/>
        <v>0</v>
      </c>
      <c r="E36" s="267"/>
      <c r="F36" s="266"/>
    </row>
    <row r="37" spans="1:6" s="351" customFormat="1">
      <c r="A37" s="282" t="s">
        <v>1627</v>
      </c>
      <c r="B37" s="265">
        <f>'Sources and Uses Budget'!$C36</f>
        <v>0</v>
      </c>
      <c r="C37" s="265">
        <f>'Sources and Uses Budget'!$C36</f>
        <v>0</v>
      </c>
      <c r="D37" s="269"/>
      <c r="E37" s="267"/>
      <c r="F37" s="266"/>
    </row>
    <row r="38" spans="1:6" s="351" customFormat="1" ht="24">
      <c r="A38" s="155" t="str">
        <f>'Sources and Uses Budget'!A37</f>
        <v>Payment &amp; Performance Bond, Project Labor Agreement (PLA) Premium</v>
      </c>
      <c r="B38" s="265">
        <f>'Sources and Uses Budget'!$C37</f>
        <v>6336705</v>
      </c>
      <c r="C38" s="265">
        <f>'Sources and Uses Budget'!$C37</f>
        <v>6336705</v>
      </c>
      <c r="D38" s="269">
        <f t="shared" si="0"/>
        <v>0</v>
      </c>
      <c r="E38" s="267"/>
      <c r="F38" s="266"/>
    </row>
    <row r="39" spans="1:6" s="351" customFormat="1">
      <c r="A39" s="270" t="s">
        <v>143</v>
      </c>
      <c r="B39" s="269">
        <f>SUM(B30:B38)</f>
        <v>71638795</v>
      </c>
      <c r="C39" s="269">
        <f>SUM(C30:C38)</f>
        <v>71638795</v>
      </c>
      <c r="D39" s="269">
        <f t="shared" si="0"/>
        <v>0</v>
      </c>
      <c r="E39" s="267"/>
      <c r="F39" s="266"/>
    </row>
    <row r="40" spans="1:6" s="351" customFormat="1">
      <c r="A40" s="263" t="s">
        <v>144</v>
      </c>
      <c r="B40" s="263"/>
      <c r="C40" s="263"/>
      <c r="D40" s="263"/>
      <c r="E40" s="281"/>
      <c r="F40" s="263"/>
    </row>
    <row r="41" spans="1:6" s="351" customFormat="1">
      <c r="A41" s="268" t="s">
        <v>145</v>
      </c>
      <c r="B41" s="265">
        <f>'Sources and Uses Budget'!$C40</f>
        <v>1980423</v>
      </c>
      <c r="C41" s="265">
        <f>'Sources and Uses Budget'!$C40</f>
        <v>1980423</v>
      </c>
      <c r="D41" s="269">
        <f t="shared" si="0"/>
        <v>0</v>
      </c>
      <c r="E41" s="267"/>
      <c r="F41" s="266"/>
    </row>
    <row r="42" spans="1:6" s="351" customFormat="1">
      <c r="A42" s="268" t="s">
        <v>146</v>
      </c>
      <c r="B42" s="265">
        <f>'Sources and Uses Budget'!$C41</f>
        <v>300875</v>
      </c>
      <c r="C42" s="265">
        <f>'Sources and Uses Budget'!$C41</f>
        <v>300875</v>
      </c>
      <c r="D42" s="269">
        <f t="shared" si="0"/>
        <v>0</v>
      </c>
      <c r="E42" s="267"/>
      <c r="F42" s="266"/>
    </row>
    <row r="43" spans="1:6" s="351" customFormat="1">
      <c r="A43" s="270" t="s">
        <v>147</v>
      </c>
      <c r="B43" s="269">
        <f>SUM(B41:B42)</f>
        <v>2281298</v>
      </c>
      <c r="C43" s="269">
        <f>SUM(C41:C42)</f>
        <v>2281298</v>
      </c>
      <c r="D43" s="269">
        <f t="shared" si="0"/>
        <v>0</v>
      </c>
      <c r="E43" s="267"/>
      <c r="F43" s="266"/>
    </row>
    <row r="44" spans="1:6" s="351" customFormat="1">
      <c r="A44" s="270" t="s">
        <v>148</v>
      </c>
      <c r="B44" s="265">
        <f>'Sources and Uses Budget'!$C43</f>
        <v>421645</v>
      </c>
      <c r="C44" s="265">
        <f>'Sources and Uses Budget'!$C43</f>
        <v>421645</v>
      </c>
      <c r="D44" s="269">
        <f t="shared" si="0"/>
        <v>0</v>
      </c>
      <c r="E44" s="267"/>
      <c r="F44" s="266"/>
    </row>
    <row r="45" spans="1:6" s="351" customFormat="1" ht="12" customHeight="1">
      <c r="A45" s="263" t="s">
        <v>149</v>
      </c>
      <c r="B45" s="263"/>
      <c r="C45" s="263"/>
      <c r="D45" s="263"/>
      <c r="E45" s="281"/>
      <c r="F45" s="263"/>
    </row>
    <row r="46" spans="1:6" s="351" customFormat="1">
      <c r="A46" s="145" t="s">
        <v>150</v>
      </c>
      <c r="B46" s="265">
        <f>'Sources and Uses Budget'!$C45</f>
        <v>6232445</v>
      </c>
      <c r="C46" s="265">
        <f>'Sources and Uses Budget'!$C45</f>
        <v>6232445</v>
      </c>
      <c r="D46" s="269">
        <f t="shared" si="0"/>
        <v>0</v>
      </c>
      <c r="E46" s="267"/>
      <c r="F46" s="266"/>
    </row>
    <row r="47" spans="1:6" s="351" customFormat="1">
      <c r="A47" s="145" t="s">
        <v>151</v>
      </c>
      <c r="B47" s="265">
        <f>'Sources and Uses Budget'!$C46</f>
        <v>215655</v>
      </c>
      <c r="C47" s="265">
        <f>'Sources and Uses Budget'!$C46</f>
        <v>215655</v>
      </c>
      <c r="D47" s="269">
        <f t="shared" si="0"/>
        <v>0</v>
      </c>
      <c r="E47" s="267"/>
      <c r="F47" s="266"/>
    </row>
    <row r="48" spans="1:6" s="351" customFormat="1" ht="12" customHeight="1">
      <c r="A48" s="186" t="s">
        <v>152</v>
      </c>
      <c r="B48" s="265">
        <f>'Sources and Uses Budget'!$C47</f>
        <v>49292</v>
      </c>
      <c r="C48" s="265">
        <f>'Sources and Uses Budget'!$C47</f>
        <v>49292</v>
      </c>
      <c r="D48" s="269">
        <f t="shared" si="0"/>
        <v>0</v>
      </c>
      <c r="E48" s="267"/>
      <c r="F48" s="266"/>
    </row>
    <row r="49" spans="1:6" s="351" customFormat="1">
      <c r="A49" s="145" t="s">
        <v>153</v>
      </c>
      <c r="B49" s="265">
        <f>'Sources and Uses Budget'!$C48</f>
        <v>0</v>
      </c>
      <c r="C49" s="265">
        <f>'Sources and Uses Budget'!$C48</f>
        <v>0</v>
      </c>
      <c r="D49" s="269">
        <f t="shared" si="0"/>
        <v>0</v>
      </c>
      <c r="E49" s="267"/>
      <c r="F49" s="266"/>
    </row>
    <row r="50" spans="1:6" s="351" customFormat="1">
      <c r="A50" s="145" t="s">
        <v>57</v>
      </c>
      <c r="B50" s="265">
        <f>'Sources and Uses Budget'!$C49</f>
        <v>417834</v>
      </c>
      <c r="C50" s="265">
        <f>'Sources and Uses Budget'!$C49</f>
        <v>417834</v>
      </c>
      <c r="D50" s="269">
        <f t="shared" si="0"/>
        <v>0</v>
      </c>
      <c r="E50" s="267"/>
      <c r="F50" s="266"/>
    </row>
    <row r="51" spans="1:6" s="351" customFormat="1">
      <c r="A51" s="145" t="s">
        <v>156</v>
      </c>
      <c r="B51" s="265">
        <f>'Sources and Uses Budget'!$C50</f>
        <v>78241</v>
      </c>
      <c r="C51" s="265">
        <f>'Sources and Uses Budget'!$C50</f>
        <v>78241</v>
      </c>
      <c r="D51" s="269">
        <f t="shared" si="0"/>
        <v>0</v>
      </c>
      <c r="E51" s="267"/>
      <c r="F51" s="266"/>
    </row>
    <row r="52" spans="1:6" s="351" customFormat="1">
      <c r="A52" s="282" t="s">
        <v>154</v>
      </c>
      <c r="B52" s="265">
        <f>'Sources and Uses Budget'!$C51</f>
        <v>138756</v>
      </c>
      <c r="C52" s="265">
        <f>'Sources and Uses Budget'!$C51</f>
        <v>138756</v>
      </c>
      <c r="D52" s="269">
        <f t="shared" si="0"/>
        <v>0</v>
      </c>
      <c r="E52" s="267"/>
      <c r="F52" s="266"/>
    </row>
    <row r="53" spans="1:6" s="351" customFormat="1">
      <c r="A53" s="145" t="s">
        <v>155</v>
      </c>
      <c r="B53" s="265">
        <f>'Sources and Uses Budget'!$C52</f>
        <v>530736</v>
      </c>
      <c r="C53" s="265">
        <f>'Sources and Uses Budget'!$C52</f>
        <v>530736</v>
      </c>
      <c r="D53" s="269">
        <f t="shared" si="0"/>
        <v>0</v>
      </c>
      <c r="E53" s="267"/>
      <c r="F53" s="266"/>
    </row>
    <row r="54" spans="1:6" s="351" customFormat="1" ht="24">
      <c r="A54" s="155" t="str">
        <f>'Sources and Uses Budget'!A53</f>
        <v>Accrued Interest - LAHD Homes for LA, Accrued Interest - MacArthur PRI Loan</v>
      </c>
      <c r="B54" s="265">
        <f>'Sources and Uses Budget'!$C53</f>
        <v>1171456</v>
      </c>
      <c r="C54" s="265">
        <f>'Sources and Uses Budget'!$C53</f>
        <v>1171456</v>
      </c>
      <c r="D54" s="269">
        <f t="shared" si="0"/>
        <v>0</v>
      </c>
      <c r="E54" s="267"/>
      <c r="F54" s="266"/>
    </row>
    <row r="55" spans="1:6" s="352" customFormat="1">
      <c r="A55" s="270" t="s">
        <v>157</v>
      </c>
      <c r="B55" s="272">
        <f>SUM(B46:B54)</f>
        <v>8834415</v>
      </c>
      <c r="C55" s="272">
        <f>SUM(C46:C54)</f>
        <v>8834415</v>
      </c>
      <c r="D55" s="269">
        <f t="shared" si="0"/>
        <v>0</v>
      </c>
      <c r="E55" s="267"/>
      <c r="F55" s="266"/>
    </row>
    <row r="56" spans="1:6" s="351" customFormat="1">
      <c r="A56" s="263" t="s">
        <v>417</v>
      </c>
      <c r="B56" s="263"/>
      <c r="C56" s="263"/>
      <c r="D56" s="263"/>
      <c r="E56" s="281"/>
      <c r="F56" s="263"/>
    </row>
    <row r="57" spans="1:6" s="351" customFormat="1">
      <c r="A57" s="268" t="s">
        <v>158</v>
      </c>
      <c r="B57" s="265">
        <f>'Sources and Uses Budget'!$C56</f>
        <v>0</v>
      </c>
      <c r="C57" s="265">
        <f>'Sources and Uses Budget'!$C56</f>
        <v>0</v>
      </c>
      <c r="D57" s="269">
        <f t="shared" si="0"/>
        <v>0</v>
      </c>
      <c r="E57" s="267"/>
      <c r="F57" s="266"/>
    </row>
    <row r="58" spans="1:6" s="351" customFormat="1" ht="12" customHeight="1">
      <c r="A58" s="268" t="s">
        <v>152</v>
      </c>
      <c r="B58" s="265">
        <f>'Sources and Uses Budget'!$C57</f>
        <v>14788</v>
      </c>
      <c r="C58" s="265">
        <f>'Sources and Uses Budget'!$C57</f>
        <v>14788</v>
      </c>
      <c r="D58" s="269">
        <f t="shared" si="0"/>
        <v>0</v>
      </c>
      <c r="E58" s="267"/>
      <c r="F58" s="266"/>
    </row>
    <row r="59" spans="1:6" s="351" customFormat="1">
      <c r="A59" s="268" t="s">
        <v>156</v>
      </c>
      <c r="B59" s="265">
        <f>'Sources and Uses Budget'!$C58</f>
        <v>4890</v>
      </c>
      <c r="C59" s="265">
        <f>'Sources and Uses Budget'!$C58</f>
        <v>4890</v>
      </c>
      <c r="D59" s="269">
        <f t="shared" si="0"/>
        <v>0</v>
      </c>
      <c r="E59" s="267"/>
      <c r="F59" s="266"/>
    </row>
    <row r="60" spans="1:6" s="351" customFormat="1">
      <c r="A60" s="268" t="s">
        <v>154</v>
      </c>
      <c r="B60" s="265">
        <f>'Sources and Uses Budget'!$C59</f>
        <v>0</v>
      </c>
      <c r="C60" s="265">
        <f>'Sources and Uses Budget'!$C59</f>
        <v>0</v>
      </c>
      <c r="D60" s="269">
        <f t="shared" si="0"/>
        <v>0</v>
      </c>
      <c r="E60" s="267"/>
      <c r="F60" s="266"/>
    </row>
    <row r="61" spans="1:6" s="351" customFormat="1">
      <c r="A61" s="268" t="s">
        <v>155</v>
      </c>
      <c r="B61" s="265">
        <f>'Sources and Uses Budget'!$C60</f>
        <v>0</v>
      </c>
      <c r="C61" s="265">
        <f>'Sources and Uses Budget'!$C60</f>
        <v>0</v>
      </c>
      <c r="D61" s="269">
        <f t="shared" si="0"/>
        <v>0</v>
      </c>
      <c r="E61" s="267"/>
      <c r="F61" s="266"/>
    </row>
    <row r="62" spans="1:6" s="351" customFormat="1">
      <c r="A62" s="1013" t="str">
        <f>'Sources and Uses Budget'!A61</f>
        <v>Other: (Specify)</v>
      </c>
      <c r="B62" s="265">
        <f>'Sources and Uses Budget'!$C61</f>
        <v>0</v>
      </c>
      <c r="C62" s="265">
        <f>'Sources and Uses Budget'!$C61</f>
        <v>0</v>
      </c>
      <c r="D62" s="269">
        <f t="shared" si="0"/>
        <v>0</v>
      </c>
      <c r="E62" s="267"/>
      <c r="F62" s="266"/>
    </row>
    <row r="63" spans="1:6" s="351" customFormat="1" ht="13.7" customHeight="1">
      <c r="A63" s="270" t="s">
        <v>300</v>
      </c>
      <c r="B63" s="269">
        <f>SUM(B57:B62)</f>
        <v>19678</v>
      </c>
      <c r="C63" s="269">
        <f>SUM(C57:C62)</f>
        <v>19678</v>
      </c>
      <c r="D63" s="269">
        <f t="shared" si="0"/>
        <v>0</v>
      </c>
      <c r="E63" s="267"/>
      <c r="F63" s="266"/>
    </row>
    <row r="64" spans="1:6" s="351" customFormat="1">
      <c r="A64" s="273" t="s">
        <v>301</v>
      </c>
      <c r="B64" s="269">
        <f>SUM(B9+B12+B14+B15+B17+B26+B28+B39+B43+B44+B55+B63)</f>
        <v>83467757</v>
      </c>
      <c r="C64" s="269">
        <f>SUM(C9+C12+C14+C15+C17+C26+C28+C39+C43+C44+C55+C63)</f>
        <v>83467757</v>
      </c>
      <c r="D64" s="269">
        <f t="shared" si="0"/>
        <v>0</v>
      </c>
      <c r="E64" s="267"/>
      <c r="F64" s="266"/>
    </row>
    <row r="65" spans="1:6" s="351" customFormat="1" ht="24">
      <c r="A65" s="141" t="s">
        <v>1631</v>
      </c>
      <c r="B65" s="263"/>
      <c r="C65" s="263"/>
      <c r="D65" s="263"/>
      <c r="E65" s="281"/>
      <c r="F65" s="263"/>
    </row>
    <row r="66" spans="1:6" s="351" customFormat="1">
      <c r="A66" s="145" t="s">
        <v>170</v>
      </c>
      <c r="B66" s="265">
        <f>'Sources and Uses Budget'!$C65</f>
        <v>73938</v>
      </c>
      <c r="C66" s="265">
        <f>'Sources and Uses Budget'!$C65</f>
        <v>73938</v>
      </c>
      <c r="D66" s="269">
        <f t="shared" si="0"/>
        <v>0</v>
      </c>
      <c r="E66" s="267"/>
      <c r="F66" s="266"/>
    </row>
    <row r="67" spans="1:6" s="351" customFormat="1" ht="24">
      <c r="A67" s="282" t="s">
        <v>1628</v>
      </c>
      <c r="B67" s="265">
        <f>'Sources and Uses Budget'!$C66</f>
        <v>0</v>
      </c>
      <c r="C67" s="265">
        <f>'Sources and Uses Budget'!$C66</f>
        <v>0</v>
      </c>
      <c r="D67" s="269"/>
      <c r="E67" s="267"/>
      <c r="F67" s="266"/>
    </row>
    <row r="68" spans="1:6" s="351" customFormat="1" ht="24">
      <c r="A68" s="282" t="s">
        <v>1629</v>
      </c>
      <c r="B68" s="265">
        <f>'Sources and Uses Budget'!$C67</f>
        <v>0</v>
      </c>
      <c r="C68" s="265">
        <f>'Sources and Uses Budget'!$C67</f>
        <v>0</v>
      </c>
      <c r="D68" s="269"/>
      <c r="E68" s="267"/>
      <c r="F68" s="266"/>
    </row>
    <row r="69" spans="1:6" s="351" customFormat="1">
      <c r="A69" s="282" t="s">
        <v>1635</v>
      </c>
      <c r="B69" s="265">
        <f>'Sources and Uses Budget'!$C68</f>
        <v>0</v>
      </c>
      <c r="C69" s="265">
        <f>'Sources and Uses Budget'!$C68</f>
        <v>0</v>
      </c>
      <c r="D69" s="269"/>
      <c r="E69" s="267"/>
      <c r="F69" s="266"/>
    </row>
    <row r="70" spans="1:6" s="351" customFormat="1">
      <c r="A70" s="155" t="str">
        <f>'Sources and Uses Budget'!A69</f>
        <v>Applicant Legal</v>
      </c>
      <c r="B70" s="265">
        <f>'Sources and Uses Budget'!$C69</f>
        <v>45000</v>
      </c>
      <c r="C70" s="265">
        <f>'Sources and Uses Budget'!$C69</f>
        <v>45000</v>
      </c>
      <c r="D70" s="269">
        <f t="shared" si="0"/>
        <v>0</v>
      </c>
      <c r="E70" s="267"/>
      <c r="F70" s="266"/>
    </row>
    <row r="71" spans="1:6" s="351" customFormat="1">
      <c r="A71" s="149" t="s">
        <v>1632</v>
      </c>
      <c r="B71" s="269">
        <f>SUM(B66:B70)</f>
        <v>118938</v>
      </c>
      <c r="C71" s="269">
        <f>SUM(C66:C70)</f>
        <v>118938</v>
      </c>
      <c r="D71" s="269">
        <f t="shared" si="0"/>
        <v>0</v>
      </c>
      <c r="E71" s="267"/>
      <c r="F71" s="266"/>
    </row>
    <row r="72" spans="1:6" s="351" customFormat="1">
      <c r="A72" s="263" t="s">
        <v>600</v>
      </c>
      <c r="B72" s="263"/>
      <c r="C72" s="263"/>
      <c r="D72" s="263"/>
      <c r="E72" s="281"/>
      <c r="F72" s="263"/>
    </row>
    <row r="73" spans="1:6" s="351" customFormat="1">
      <c r="A73" s="268" t="s">
        <v>601</v>
      </c>
      <c r="B73" s="265">
        <f>'Sources and Uses Budget'!$C72</f>
        <v>0</v>
      </c>
      <c r="C73" s="265">
        <f>'Sources and Uses Budget'!$C72</f>
        <v>0</v>
      </c>
      <c r="D73" s="269">
        <f t="shared" si="0"/>
        <v>0</v>
      </c>
      <c r="E73" s="267"/>
      <c r="F73" s="266"/>
    </row>
    <row r="74" spans="1:6" s="351" customFormat="1">
      <c r="A74" s="268" t="s">
        <v>602</v>
      </c>
      <c r="B74" s="265">
        <f>'Sources and Uses Budget'!$C73</f>
        <v>0</v>
      </c>
      <c r="C74" s="265">
        <f>'Sources and Uses Budget'!$C73</f>
        <v>0</v>
      </c>
      <c r="D74" s="269">
        <f t="shared" si="0"/>
        <v>0</v>
      </c>
      <c r="E74" s="267"/>
      <c r="F74" s="266"/>
    </row>
    <row r="75" spans="1:6" s="351" customFormat="1">
      <c r="A75" s="286" t="s">
        <v>984</v>
      </c>
      <c r="B75" s="265">
        <f>'Sources and Uses Budget'!$C74</f>
        <v>0</v>
      </c>
      <c r="C75" s="265">
        <f>'Sources and Uses Budget'!$C74</f>
        <v>0</v>
      </c>
      <c r="D75" s="269">
        <f t="shared" si="0"/>
        <v>0</v>
      </c>
      <c r="E75" s="267"/>
      <c r="F75" s="266"/>
    </row>
    <row r="76" spans="1:6" s="351" customFormat="1">
      <c r="A76" s="268" t="s">
        <v>603</v>
      </c>
      <c r="B76" s="265">
        <f>'Sources and Uses Budget'!$C75</f>
        <v>553000</v>
      </c>
      <c r="C76" s="265">
        <f>'Sources and Uses Budget'!$C75</f>
        <v>553000</v>
      </c>
      <c r="D76" s="269">
        <f t="shared" si="0"/>
        <v>0</v>
      </c>
      <c r="E76" s="267"/>
      <c r="F76" s="266"/>
    </row>
    <row r="77" spans="1:6" s="351" customFormat="1">
      <c r="A77" s="271" t="s">
        <v>34</v>
      </c>
      <c r="B77" s="265">
        <f>'Sources and Uses Budget'!$C76</f>
        <v>37800</v>
      </c>
      <c r="C77" s="265">
        <f>'Sources and Uses Budget'!$C76</f>
        <v>37800</v>
      </c>
      <c r="D77" s="269">
        <f t="shared" si="0"/>
        <v>0</v>
      </c>
      <c r="E77" s="267"/>
      <c r="F77" s="266"/>
    </row>
    <row r="78" spans="1:6" s="351" customFormat="1">
      <c r="A78" s="270" t="s">
        <v>604</v>
      </c>
      <c r="B78" s="269">
        <f>SUM(B73:B77)</f>
        <v>590800</v>
      </c>
      <c r="C78" s="269">
        <f>SUM(C73:C77)</f>
        <v>590800</v>
      </c>
      <c r="D78" s="269">
        <f t="shared" ref="D78:D106" si="1">C78-B78</f>
        <v>0</v>
      </c>
      <c r="E78" s="267"/>
      <c r="F78" s="266"/>
    </row>
    <row r="79" spans="1:6" s="351" customFormat="1">
      <c r="A79" s="263" t="s">
        <v>1208</v>
      </c>
      <c r="B79" s="263"/>
      <c r="C79" s="263"/>
      <c r="D79" s="263"/>
      <c r="E79" s="281"/>
      <c r="F79" s="263"/>
    </row>
    <row r="80" spans="1:6" s="351" customFormat="1">
      <c r="A80" s="509" t="s">
        <v>1210</v>
      </c>
      <c r="B80" s="265">
        <f>'Sources and Uses Budget'!$C79</f>
        <v>7335145</v>
      </c>
      <c r="C80" s="265">
        <f>'Sources and Uses Budget'!$C79</f>
        <v>7335145</v>
      </c>
      <c r="D80" s="269">
        <f t="shared" si="1"/>
        <v>0</v>
      </c>
      <c r="E80" s="267"/>
      <c r="F80" s="266"/>
    </row>
    <row r="81" spans="1:6" s="351" customFormat="1">
      <c r="A81" s="509" t="s">
        <v>58</v>
      </c>
      <c r="B81" s="265">
        <f>'Sources and Uses Budget'!$C80</f>
        <v>316149</v>
      </c>
      <c r="C81" s="265">
        <f>'Sources and Uses Budget'!$C80</f>
        <v>316149</v>
      </c>
      <c r="D81" s="269">
        <f>C81-B81</f>
        <v>0</v>
      </c>
      <c r="E81" s="267"/>
      <c r="F81" s="266"/>
    </row>
    <row r="82" spans="1:6" s="351" customFormat="1">
      <c r="A82" s="270" t="s">
        <v>1207</v>
      </c>
      <c r="B82" s="269">
        <f>SUM(B80:B81)</f>
        <v>7651294</v>
      </c>
      <c r="C82" s="269">
        <f>SUM(C80:C81)</f>
        <v>7651294</v>
      </c>
      <c r="D82" s="269">
        <f t="shared" si="1"/>
        <v>0</v>
      </c>
      <c r="E82" s="267"/>
      <c r="F82" s="266"/>
    </row>
    <row r="83" spans="1:6" s="351" customFormat="1">
      <c r="A83" s="263" t="s">
        <v>763</v>
      </c>
      <c r="B83" s="263"/>
      <c r="C83" s="263"/>
      <c r="D83" s="263"/>
      <c r="E83" s="281"/>
      <c r="F83" s="263"/>
    </row>
    <row r="84" spans="1:6" s="351" customFormat="1" ht="13.7" customHeight="1">
      <c r="A84" s="268" t="s">
        <v>764</v>
      </c>
      <c r="B84" s="265">
        <f>'Sources and Uses Budget'!$C83</f>
        <v>140221</v>
      </c>
      <c r="C84" s="265">
        <f>'Sources and Uses Budget'!$C83</f>
        <v>140221</v>
      </c>
      <c r="D84" s="269">
        <f t="shared" si="1"/>
        <v>0</v>
      </c>
      <c r="E84" s="267"/>
      <c r="F84" s="266"/>
    </row>
    <row r="85" spans="1:6" s="351" customFormat="1">
      <c r="A85" s="268" t="s">
        <v>765</v>
      </c>
      <c r="B85" s="265">
        <f>'Sources and Uses Budget'!$C84</f>
        <v>83131</v>
      </c>
      <c r="C85" s="265">
        <f>'Sources and Uses Budget'!$C84</f>
        <v>83131</v>
      </c>
      <c r="D85" s="269">
        <f t="shared" si="1"/>
        <v>0</v>
      </c>
      <c r="E85" s="267"/>
      <c r="F85" s="266"/>
    </row>
    <row r="86" spans="1:6" s="351" customFormat="1">
      <c r="A86" s="268" t="s">
        <v>766</v>
      </c>
      <c r="B86" s="265">
        <f>'Sources and Uses Budget'!$C85</f>
        <v>561591</v>
      </c>
      <c r="C86" s="265">
        <f>'Sources and Uses Budget'!$C85</f>
        <v>561591</v>
      </c>
      <c r="D86" s="269">
        <f t="shared" si="1"/>
        <v>0</v>
      </c>
      <c r="E86" s="267"/>
      <c r="F86" s="266"/>
    </row>
    <row r="87" spans="1:6" s="351" customFormat="1">
      <c r="A87" s="268" t="s">
        <v>767</v>
      </c>
      <c r="B87" s="265">
        <f>'Sources and Uses Budget'!$C86</f>
        <v>813146</v>
      </c>
      <c r="C87" s="265">
        <f>'Sources and Uses Budget'!$C86</f>
        <v>813146</v>
      </c>
      <c r="D87" s="269">
        <f t="shared" si="1"/>
        <v>0</v>
      </c>
      <c r="E87" s="267"/>
      <c r="F87" s="266"/>
    </row>
    <row r="88" spans="1:6" s="351" customFormat="1">
      <c r="A88" s="268" t="s">
        <v>768</v>
      </c>
      <c r="B88" s="265">
        <f>'Sources and Uses Budget'!$C87</f>
        <v>0</v>
      </c>
      <c r="C88" s="265">
        <f>'Sources and Uses Budget'!$C87</f>
        <v>0</v>
      </c>
      <c r="D88" s="269">
        <f t="shared" si="1"/>
        <v>0</v>
      </c>
      <c r="E88" s="267"/>
      <c r="F88" s="266"/>
    </row>
    <row r="89" spans="1:6" s="351" customFormat="1">
      <c r="A89" s="268" t="s">
        <v>769</v>
      </c>
      <c r="B89" s="265">
        <f>'Sources and Uses Budget'!$C88</f>
        <v>58389</v>
      </c>
      <c r="C89" s="265">
        <f>'Sources and Uses Budget'!$C88</f>
        <v>58389</v>
      </c>
      <c r="D89" s="269">
        <f t="shared" si="1"/>
        <v>0</v>
      </c>
      <c r="E89" s="267"/>
      <c r="F89" s="266"/>
    </row>
    <row r="90" spans="1:6" s="351" customFormat="1">
      <c r="A90" s="268" t="s">
        <v>770</v>
      </c>
      <c r="B90" s="265">
        <f>'Sources and Uses Budget'!$C89</f>
        <v>267780</v>
      </c>
      <c r="C90" s="265">
        <f>'Sources and Uses Budget'!$C89</f>
        <v>267780</v>
      </c>
      <c r="D90" s="269">
        <f t="shared" si="1"/>
        <v>0</v>
      </c>
      <c r="E90" s="267"/>
      <c r="F90" s="266"/>
    </row>
    <row r="91" spans="1:6" s="351" customFormat="1">
      <c r="A91" s="268" t="s">
        <v>771</v>
      </c>
      <c r="B91" s="265">
        <f>'Sources and Uses Budget'!$C90</f>
        <v>15000</v>
      </c>
      <c r="C91" s="265">
        <f>'Sources and Uses Budget'!$C90</f>
        <v>15000</v>
      </c>
      <c r="D91" s="269">
        <f t="shared" si="1"/>
        <v>0</v>
      </c>
      <c r="E91" s="267"/>
      <c r="F91" s="266"/>
    </row>
    <row r="92" spans="1:6" s="351" customFormat="1">
      <c r="A92" s="268" t="s">
        <v>371</v>
      </c>
      <c r="B92" s="265">
        <f>'Sources and Uses Budget'!$C91</f>
        <v>0</v>
      </c>
      <c r="C92" s="265">
        <f>'Sources and Uses Budget'!$C91</f>
        <v>0</v>
      </c>
      <c r="D92" s="269">
        <f t="shared" si="1"/>
        <v>0</v>
      </c>
      <c r="E92" s="267"/>
      <c r="F92" s="266"/>
    </row>
    <row r="93" spans="1:6" s="351" customFormat="1">
      <c r="A93" s="509" t="s">
        <v>1209</v>
      </c>
      <c r="B93" s="265">
        <f>'Sources and Uses Budget'!$C92</f>
        <v>10000</v>
      </c>
      <c r="C93" s="265">
        <f>'Sources and Uses Budget'!$C92</f>
        <v>10000</v>
      </c>
      <c r="D93" s="269">
        <f t="shared" si="1"/>
        <v>0</v>
      </c>
      <c r="E93" s="267"/>
      <c r="F93" s="266"/>
    </row>
    <row r="94" spans="1:6" s="351" customFormat="1">
      <c r="A94" s="271" t="s">
        <v>34</v>
      </c>
      <c r="B94" s="265">
        <f>'Sources and Uses Budget'!$C93</f>
        <v>500424</v>
      </c>
      <c r="C94" s="265">
        <f>'Sources and Uses Budget'!$C93</f>
        <v>500424</v>
      </c>
      <c r="D94" s="269">
        <f t="shared" si="1"/>
        <v>0</v>
      </c>
      <c r="E94" s="267"/>
      <c r="F94" s="266"/>
    </row>
    <row r="95" spans="1:6" s="351" customFormat="1">
      <c r="A95" s="271" t="s">
        <v>34</v>
      </c>
      <c r="B95" s="265">
        <f>'Sources and Uses Budget'!$C94</f>
        <v>175694</v>
      </c>
      <c r="C95" s="265">
        <f>'Sources and Uses Budget'!$C94</f>
        <v>175694</v>
      </c>
      <c r="D95" s="269">
        <f t="shared" si="1"/>
        <v>0</v>
      </c>
      <c r="E95" s="267"/>
      <c r="F95" s="266"/>
    </row>
    <row r="96" spans="1:6" s="351" customFormat="1">
      <c r="A96" s="271" t="s">
        <v>34</v>
      </c>
      <c r="B96" s="265">
        <f>'Sources and Uses Budget'!$C95</f>
        <v>286950</v>
      </c>
      <c r="C96" s="265">
        <f>'Sources and Uses Budget'!$C95</f>
        <v>286950</v>
      </c>
      <c r="D96" s="269">
        <f t="shared" si="1"/>
        <v>0</v>
      </c>
      <c r="E96" s="267"/>
      <c r="F96" s="266"/>
    </row>
    <row r="97" spans="1:6" s="351" customFormat="1">
      <c r="A97" s="270" t="s">
        <v>772</v>
      </c>
      <c r="B97" s="269">
        <f>SUM(B84:B96)</f>
        <v>2912326</v>
      </c>
      <c r="C97" s="269">
        <f>SUM(C84:C96)</f>
        <v>2912326</v>
      </c>
      <c r="D97" s="269">
        <f t="shared" si="1"/>
        <v>0</v>
      </c>
      <c r="E97" s="267"/>
      <c r="F97" s="266"/>
    </row>
    <row r="98" spans="1:6" s="351" customFormat="1">
      <c r="A98" s="270" t="s">
        <v>773</v>
      </c>
      <c r="B98" s="269">
        <f>SUM(B64+B71+B78+B82+B97)</f>
        <v>94741115</v>
      </c>
      <c r="C98" s="269">
        <f>SUM(C64+C71+C78+C82+C97)</f>
        <v>94741115</v>
      </c>
      <c r="D98" s="269">
        <f t="shared" si="1"/>
        <v>0</v>
      </c>
      <c r="E98" s="267"/>
      <c r="F98" s="266"/>
    </row>
    <row r="99" spans="1:6" s="351" customFormat="1">
      <c r="A99" s="263" t="s">
        <v>774</v>
      </c>
      <c r="B99" s="263"/>
      <c r="C99" s="263"/>
      <c r="D99" s="263"/>
      <c r="E99" s="281"/>
      <c r="F99" s="263"/>
    </row>
    <row r="100" spans="1:6" s="351" customFormat="1">
      <c r="A100" s="145" t="s">
        <v>775</v>
      </c>
      <c r="B100" s="265">
        <f>'Sources and Uses Budget'!$C99</f>
        <v>9658175</v>
      </c>
      <c r="C100" s="265">
        <f>'Sources and Uses Budget'!$C99</f>
        <v>9658175</v>
      </c>
      <c r="D100" s="269">
        <f t="shared" si="1"/>
        <v>0</v>
      </c>
      <c r="E100" s="267"/>
      <c r="F100" s="266"/>
    </row>
    <row r="101" spans="1:6" s="351" customFormat="1">
      <c r="A101" s="282" t="s">
        <v>1633</v>
      </c>
      <c r="B101" s="265">
        <f>'Sources and Uses Budget'!$C100</f>
        <v>0</v>
      </c>
      <c r="C101" s="265">
        <f>'Sources and Uses Budget'!$C100</f>
        <v>0</v>
      </c>
      <c r="D101" s="269">
        <f t="shared" si="1"/>
        <v>0</v>
      </c>
      <c r="E101" s="267"/>
      <c r="F101" s="266"/>
    </row>
    <row r="102" spans="1:6" s="351" customFormat="1">
      <c r="A102" s="145" t="s">
        <v>776</v>
      </c>
      <c r="B102" s="265">
        <f>'Sources and Uses Budget'!$C101</f>
        <v>0</v>
      </c>
      <c r="C102" s="265">
        <f>'Sources and Uses Budget'!$C101</f>
        <v>0</v>
      </c>
      <c r="D102" s="269">
        <f t="shared" si="1"/>
        <v>0</v>
      </c>
      <c r="E102" s="267"/>
      <c r="F102" s="266"/>
    </row>
    <row r="103" spans="1:6" s="351" customFormat="1" ht="12" customHeight="1">
      <c r="A103" s="282" t="s">
        <v>1634</v>
      </c>
      <c r="B103" s="265">
        <f>'Sources and Uses Budget'!$C102</f>
        <v>0</v>
      </c>
      <c r="C103" s="265">
        <f>'Sources and Uses Budget'!$C102</f>
        <v>0</v>
      </c>
      <c r="D103" s="269">
        <f t="shared" si="1"/>
        <v>0</v>
      </c>
      <c r="E103" s="267"/>
      <c r="F103" s="266"/>
    </row>
    <row r="104" spans="1:6" s="351" customFormat="1">
      <c r="A104" s="1013">
        <f>'Sources and Uses Budget'!A103</f>
        <v>0</v>
      </c>
      <c r="B104" s="265">
        <f>'Sources and Uses Budget'!$C103</f>
        <v>0</v>
      </c>
      <c r="C104" s="265">
        <f>'Sources and Uses Budget'!$C103</f>
        <v>0</v>
      </c>
      <c r="D104" s="269">
        <f t="shared" si="1"/>
        <v>0</v>
      </c>
      <c r="E104" s="267"/>
      <c r="F104" s="266"/>
    </row>
    <row r="105" spans="1:6" s="351" customFormat="1">
      <c r="A105" s="270" t="s">
        <v>777</v>
      </c>
      <c r="B105" s="269">
        <f>SUM(B100:B104)</f>
        <v>9658175</v>
      </c>
      <c r="C105" s="269">
        <f>SUM(C100:C104)</f>
        <v>9658175</v>
      </c>
      <c r="D105" s="269">
        <f t="shared" si="1"/>
        <v>0</v>
      </c>
      <c r="E105" s="267"/>
      <c r="F105" s="266"/>
    </row>
    <row r="106" spans="1:6" s="351" customFormat="1">
      <c r="A106" s="270" t="s">
        <v>778</v>
      </c>
      <c r="B106" s="272">
        <f>SUM(B98+B105)</f>
        <v>104399290</v>
      </c>
      <c r="C106" s="272">
        <f>SUM(C98+C105)</f>
        <v>104399290</v>
      </c>
      <c r="D106" s="269">
        <f t="shared" si="1"/>
        <v>0</v>
      </c>
      <c r="E106" s="267"/>
      <c r="F106" s="266"/>
    </row>
    <row r="107" spans="1:6" s="351" customFormat="1">
      <c r="A107" s="276" t="s">
        <v>779</v>
      </c>
      <c r="B107" s="277"/>
      <c r="C107" s="278"/>
      <c r="D107" s="280"/>
      <c r="E107" s="264"/>
      <c r="F107" s="275"/>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D171" sqref="D171:F175"/>
    </sheetView>
  </sheetViews>
  <sheetFormatPr defaultColWidth="0" defaultRowHeight="12.4" customHeight="1" zeroHeight="1"/>
  <cols>
    <col min="1" max="10" width="10.7109375" style="401" customWidth="1"/>
    <col min="11" max="16384" width="8.85546875" style="401" hidden="1"/>
  </cols>
  <sheetData>
    <row r="1" spans="1:10" ht="15.75">
      <c r="A1" s="1293" t="s">
        <v>1841</v>
      </c>
      <c r="B1" s="1294"/>
      <c r="C1" s="1294"/>
      <c r="D1" s="1294"/>
      <c r="E1" s="1294"/>
      <c r="F1" s="1294"/>
      <c r="G1" s="1294"/>
      <c r="H1" s="1294"/>
      <c r="I1" s="1294"/>
      <c r="J1" s="1294"/>
    </row>
    <row r="2" spans="1:10" ht="15">
      <c r="A2" s="1297" t="s">
        <v>1266</v>
      </c>
      <c r="B2" s="1298"/>
      <c r="C2" s="1298"/>
      <c r="D2" s="1298"/>
      <c r="E2" s="1298"/>
      <c r="F2" s="1298"/>
      <c r="G2" s="1298"/>
      <c r="H2" s="1298"/>
      <c r="I2" s="1298"/>
      <c r="J2" s="1298"/>
    </row>
    <row r="3" spans="1:10" ht="12.75"/>
    <row r="4" spans="1:10" ht="12.75" customHeight="1">
      <c r="A4" s="1295" t="s">
        <v>2004</v>
      </c>
      <c r="B4" s="1295"/>
      <c r="C4" s="1295"/>
      <c r="D4" s="1295"/>
      <c r="E4" s="1295"/>
      <c r="F4" s="1295"/>
      <c r="G4" s="1295"/>
      <c r="H4" s="1295"/>
      <c r="I4" s="1295"/>
      <c r="J4" s="1295"/>
    </row>
    <row r="5" spans="1:10" ht="12.75">
      <c r="A5" s="1295"/>
      <c r="B5" s="1295"/>
      <c r="C5" s="1295"/>
      <c r="D5" s="1295"/>
      <c r="E5" s="1295"/>
      <c r="F5" s="1295"/>
      <c r="G5" s="1295"/>
      <c r="H5" s="1295"/>
      <c r="I5" s="1295"/>
      <c r="J5" s="1295"/>
    </row>
    <row r="6" spans="1:10" ht="30" customHeight="1">
      <c r="A6" s="1295"/>
      <c r="B6" s="1295"/>
      <c r="C6" s="1295"/>
      <c r="D6" s="1295"/>
      <c r="E6" s="1295"/>
      <c r="F6" s="1295"/>
      <c r="G6" s="1295"/>
      <c r="H6" s="1295"/>
      <c r="I6" s="1295"/>
      <c r="J6" s="1295"/>
    </row>
    <row r="7" spans="1:10" ht="12.75">
      <c r="A7" s="415"/>
      <c r="B7" s="415"/>
      <c r="C7" s="415"/>
      <c r="D7" s="415"/>
      <c r="E7" s="415"/>
      <c r="F7" s="415"/>
      <c r="G7" s="415"/>
      <c r="H7" s="415"/>
      <c r="I7" s="415"/>
      <c r="J7" s="415"/>
    </row>
    <row r="8" spans="1:10" ht="12.75" customHeight="1">
      <c r="A8" s="401" t="s">
        <v>1844</v>
      </c>
      <c r="B8" s="415"/>
      <c r="C8" s="415"/>
      <c r="D8" s="415"/>
      <c r="E8" s="415"/>
      <c r="F8" s="415"/>
      <c r="G8" s="415"/>
      <c r="H8" s="415"/>
      <c r="I8" s="415"/>
      <c r="J8" s="415"/>
    </row>
    <row r="9" spans="1:10" ht="12.75"/>
    <row r="10" spans="1:10" ht="12.75" customHeight="1">
      <c r="A10" s="1299" t="s">
        <v>1846</v>
      </c>
      <c r="B10" s="1299"/>
      <c r="C10" s="1299"/>
      <c r="D10" s="1299"/>
      <c r="E10" s="1299"/>
      <c r="F10" s="1299"/>
      <c r="G10" s="1299"/>
      <c r="H10" s="1299"/>
      <c r="I10" s="1299"/>
      <c r="J10" s="1299"/>
    </row>
    <row r="11" spans="1:10" ht="12.75">
      <c r="A11" s="1299"/>
      <c r="B11" s="1299"/>
      <c r="C11" s="1299"/>
      <c r="D11" s="1299"/>
      <c r="E11" s="1299"/>
      <c r="F11" s="1299"/>
      <c r="G11" s="1299"/>
      <c r="H11" s="1299"/>
      <c r="I11" s="1299"/>
      <c r="J11" s="1299"/>
    </row>
    <row r="12" spans="1:10" ht="12.75">
      <c r="A12" s="1299"/>
      <c r="B12" s="1299"/>
      <c r="C12" s="1299"/>
      <c r="D12" s="1299"/>
      <c r="E12" s="1299"/>
      <c r="F12" s="1299"/>
      <c r="G12" s="1299"/>
      <c r="H12" s="1299"/>
      <c r="I12" s="1299"/>
      <c r="J12" s="1299"/>
    </row>
    <row r="13" spans="1:10" ht="12.75">
      <c r="A13" s="1299"/>
      <c r="B13" s="1299"/>
      <c r="C13" s="1299"/>
      <c r="D13" s="1299"/>
      <c r="E13" s="1299"/>
      <c r="F13" s="1299"/>
      <c r="G13" s="1299"/>
      <c r="H13" s="1299"/>
      <c r="I13" s="1299"/>
      <c r="J13" s="1299"/>
    </row>
    <row r="14" spans="1:10" ht="12.75">
      <c r="A14" s="1299"/>
      <c r="B14" s="1299"/>
      <c r="C14" s="1299"/>
      <c r="D14" s="1299"/>
      <c r="E14" s="1299"/>
      <c r="F14" s="1299"/>
      <c r="G14" s="1299"/>
      <c r="H14" s="1299"/>
      <c r="I14" s="1299"/>
      <c r="J14" s="1299"/>
    </row>
    <row r="15" spans="1:10" ht="12.75">
      <c r="A15" s="1299"/>
      <c r="B15" s="1299"/>
      <c r="C15" s="1299"/>
      <c r="D15" s="1299"/>
      <c r="E15" s="1299"/>
      <c r="F15" s="1299"/>
      <c r="G15" s="1299"/>
      <c r="H15" s="1299"/>
      <c r="I15" s="1299"/>
      <c r="J15" s="1299"/>
    </row>
    <row r="16" spans="1:10" ht="12.75">
      <c r="A16" s="523"/>
      <c r="B16" s="523"/>
      <c r="C16" s="523"/>
      <c r="D16" s="523"/>
      <c r="E16" s="523"/>
      <c r="F16" s="523"/>
      <c r="G16" s="523"/>
      <c r="H16" s="523"/>
      <c r="I16" s="523"/>
      <c r="J16" s="523"/>
    </row>
    <row r="17" spans="1:10" ht="12.75">
      <c r="A17" s="475" t="s">
        <v>1845</v>
      </c>
      <c r="B17" s="415"/>
      <c r="C17" s="415"/>
      <c r="D17" s="415"/>
      <c r="E17" s="415"/>
      <c r="F17" s="415"/>
      <c r="G17" s="415"/>
      <c r="H17" s="415"/>
      <c r="I17" s="415"/>
      <c r="J17" s="415"/>
    </row>
    <row r="18" spans="1:10" ht="12.75">
      <c r="A18" s="415" t="s">
        <v>249</v>
      </c>
      <c r="B18" s="415"/>
      <c r="C18" s="415"/>
      <c r="D18" s="415"/>
      <c r="E18" s="415"/>
      <c r="F18" s="415"/>
      <c r="G18" s="415"/>
      <c r="H18" s="415"/>
      <c r="I18" s="415"/>
      <c r="J18" s="415"/>
    </row>
    <row r="19" spans="1:10" ht="12.75">
      <c r="A19" s="1298" t="s">
        <v>1187</v>
      </c>
      <c r="B19" s="1298"/>
      <c r="C19" s="1298"/>
      <c r="D19" s="1298"/>
      <c r="E19" s="129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95" t="s">
        <v>1188</v>
      </c>
      <c r="B76" s="1295"/>
      <c r="C76" s="1295"/>
      <c r="D76" s="1295"/>
      <c r="E76" s="1295"/>
      <c r="F76" s="1295"/>
      <c r="G76" s="1295"/>
      <c r="H76" s="1295"/>
      <c r="I76" s="1295"/>
      <c r="J76" s="1295"/>
    </row>
    <row r="77" spans="1:10" ht="12.75">
      <c r="A77" s="1295"/>
      <c r="B77" s="1295"/>
      <c r="C77" s="1295"/>
      <c r="D77" s="1295"/>
      <c r="E77" s="1295"/>
      <c r="F77" s="1295"/>
      <c r="G77" s="1295"/>
      <c r="H77" s="1295"/>
      <c r="I77" s="1295"/>
      <c r="J77" s="1295"/>
    </row>
    <row r="78" spans="1:10" ht="12.75">
      <c r="A78" s="1295"/>
      <c r="B78" s="1295"/>
      <c r="C78" s="1295"/>
      <c r="D78" s="1295"/>
      <c r="E78" s="1295"/>
      <c r="F78" s="1295"/>
      <c r="G78" s="1295"/>
      <c r="H78" s="1295"/>
      <c r="I78" s="1295"/>
      <c r="J78" s="1295"/>
    </row>
    <row r="79" spans="1:10" ht="12.75"/>
    <row r="80" spans="1:10" ht="12.75">
      <c r="A80" s="401" t="s">
        <v>1187</v>
      </c>
    </row>
    <row r="81" spans="1:9" ht="12.75"/>
    <row r="82" spans="1:9" ht="12.75"/>
    <row r="83" spans="1:9" ht="12.75"/>
    <row r="84" spans="1:9" ht="12.75"/>
    <row r="85" spans="1:9" ht="12.75"/>
    <row r="86" spans="1:9" ht="12.75"/>
    <row r="87" spans="1:9" ht="12.75"/>
    <row r="88" spans="1:9" ht="12.75"/>
    <row r="89" spans="1:9" ht="12.75">
      <c r="A89" s="1296" t="s">
        <v>1842</v>
      </c>
      <c r="B89" s="1296"/>
      <c r="C89" s="1296"/>
      <c r="D89" s="1296"/>
      <c r="E89" s="1296"/>
      <c r="F89" s="1296"/>
      <c r="G89" s="1296"/>
      <c r="H89" s="1296"/>
      <c r="I89" s="1296"/>
    </row>
    <row r="90" spans="1:9" ht="12.75">
      <c r="A90" s="1288" t="s">
        <v>2002</v>
      </c>
      <c r="B90" s="1288"/>
      <c r="C90" s="1288"/>
      <c r="D90" s="1288"/>
      <c r="E90" s="1288"/>
    </row>
    <row r="91" spans="1:9" ht="12.75">
      <c r="A91" s="1288" t="s">
        <v>2003</v>
      </c>
      <c r="B91" s="1288"/>
      <c r="C91" s="1288"/>
      <c r="D91" s="1288"/>
      <c r="E91" s="1288"/>
    </row>
    <row r="92" spans="1:9" ht="12.75">
      <c r="A92" s="1288" t="s">
        <v>1843</v>
      </c>
      <c r="B92" s="1288"/>
      <c r="C92" s="1288"/>
      <c r="D92" s="1288"/>
      <c r="E92" s="1288"/>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38" workbookViewId="0">
      <selection activeCell="F1078" sqref="F1078"/>
    </sheetView>
  </sheetViews>
  <sheetFormatPr defaultColWidth="0" defaultRowHeight="12.75" zeroHeight="1"/>
  <cols>
    <col min="1" max="1" width="3.5703125" style="479" customWidth="1"/>
    <col min="2" max="2" width="13.5703125" style="479" customWidth="1"/>
    <col min="3" max="3" width="2.5703125" style="479" customWidth="1"/>
    <col min="4" max="5" width="3.5703125" style="401" customWidth="1"/>
    <col min="6" max="6" width="65.5703125" style="401" customWidth="1"/>
    <col min="7" max="7" width="1.5703125" style="401" customWidth="1"/>
    <col min="8" max="8" width="3.5703125" style="401" customWidth="1"/>
    <col min="9" max="9" width="9.140625" style="403" customWidth="1"/>
    <col min="10" max="13" width="8.85546875" style="401" hidden="1" customWidth="1"/>
    <col min="14" max="16384" width="0" style="401" hidden="1"/>
  </cols>
  <sheetData>
    <row r="1" spans="1:13"/>
    <row r="2" spans="1:13">
      <c r="A2" s="1351" t="s">
        <v>2603</v>
      </c>
      <c r="B2" s="1351"/>
      <c r="C2" s="1351"/>
      <c r="D2" s="1351"/>
      <c r="E2" s="1351"/>
      <c r="F2" s="1351"/>
      <c r="G2" s="1351"/>
      <c r="H2" s="1351"/>
      <c r="I2" s="1351"/>
    </row>
    <row r="3" spans="1:13">
      <c r="A3" s="1341" t="s">
        <v>2171</v>
      </c>
      <c r="B3" s="1341"/>
      <c r="C3" s="1341"/>
      <c r="D3" s="1341"/>
      <c r="E3" s="1341"/>
      <c r="F3" s="1341"/>
      <c r="G3" s="1341"/>
      <c r="H3" s="1341"/>
      <c r="I3" s="1341"/>
    </row>
    <row r="4" spans="1:13">
      <c r="A4" s="1341"/>
      <c r="B4" s="1341"/>
      <c r="C4" s="1298"/>
      <c r="D4" s="1298"/>
      <c r="E4" s="1298"/>
      <c r="F4" s="1298"/>
      <c r="G4" s="1298"/>
    </row>
    <row r="5" spans="1:13">
      <c r="A5" s="1341"/>
      <c r="B5" s="1341"/>
      <c r="C5" s="1298"/>
      <c r="D5" s="1298"/>
      <c r="E5" s="1298"/>
      <c r="F5" s="1298"/>
      <c r="G5" s="1298"/>
    </row>
    <row r="6" spans="1:13" ht="12.75" customHeight="1">
      <c r="A6" s="1344" t="s">
        <v>2170</v>
      </c>
      <c r="B6" s="1344"/>
      <c r="C6" s="1344"/>
      <c r="D6" s="1344"/>
      <c r="E6" s="1344"/>
      <c r="F6" s="1344"/>
      <c r="G6" s="1344"/>
      <c r="I6" s="489"/>
    </row>
    <row r="7" spans="1:13">
      <c r="A7" s="1344"/>
      <c r="B7" s="1344"/>
      <c r="C7" s="1344"/>
      <c r="D7" s="1344"/>
      <c r="E7" s="1344"/>
      <c r="F7" s="1344"/>
      <c r="G7" s="1344"/>
      <c r="I7" s="489"/>
    </row>
    <row r="8" spans="1:13">
      <c r="A8" s="480"/>
      <c r="B8" s="480"/>
      <c r="C8" s="481"/>
      <c r="D8" s="481"/>
      <c r="E8" s="481"/>
      <c r="F8" s="481"/>
    </row>
    <row r="9" spans="1:13">
      <c r="A9" s="1320" t="s">
        <v>1099</v>
      </c>
      <c r="B9" s="1320"/>
      <c r="C9" s="1320"/>
      <c r="D9" s="1320"/>
      <c r="E9" s="1320"/>
      <c r="F9" s="1320"/>
      <c r="G9" s="1320"/>
      <c r="H9" s="1022"/>
      <c r="I9" s="1023"/>
    </row>
    <row r="10" spans="1:13">
      <c r="A10" s="481"/>
      <c r="B10" s="481"/>
      <c r="E10" s="403"/>
    </row>
    <row r="11" spans="1:13" ht="13.7" customHeight="1">
      <c r="C11" s="481"/>
      <c r="D11" s="1343" t="s">
        <v>1098</v>
      </c>
      <c r="E11" s="1343"/>
      <c r="F11" s="1343"/>
    </row>
    <row r="12" spans="1:13">
      <c r="C12" s="481"/>
      <c r="D12" s="1343"/>
      <c r="E12" s="1343"/>
      <c r="F12" s="1343"/>
    </row>
    <row r="13" spans="1:13">
      <c r="A13" s="482"/>
      <c r="B13" s="482"/>
      <c r="C13" s="482"/>
      <c r="D13" s="1321" t="s">
        <v>1088</v>
      </c>
      <c r="E13" s="1321"/>
      <c r="F13" s="1321"/>
      <c r="M13" s="96"/>
    </row>
    <row r="14" spans="1:13">
      <c r="A14" s="482"/>
      <c r="B14" s="482"/>
      <c r="C14" s="482"/>
      <c r="D14" s="475"/>
      <c r="L14" s="311"/>
    </row>
    <row r="15" spans="1:13" ht="14.25">
      <c r="A15" s="483"/>
      <c r="B15" s="484" t="s">
        <v>2752</v>
      </c>
      <c r="C15" s="482"/>
      <c r="D15" s="1319" t="s">
        <v>1893</v>
      </c>
      <c r="E15" s="1319"/>
      <c r="F15" s="1319"/>
      <c r="I15" s="489"/>
    </row>
    <row r="16" spans="1:13">
      <c r="A16" s="482"/>
      <c r="B16" s="482"/>
      <c r="C16" s="482"/>
      <c r="D16" s="1319"/>
      <c r="E16" s="1319"/>
      <c r="F16" s="1319"/>
      <c r="I16" s="489"/>
    </row>
    <row r="17" spans="1:9">
      <c r="A17" s="482"/>
      <c r="B17" s="482"/>
      <c r="C17" s="482"/>
      <c r="D17" s="1319"/>
      <c r="E17" s="1319"/>
      <c r="F17" s="1319"/>
      <c r="I17" s="489"/>
    </row>
    <row r="18" spans="1:9">
      <c r="A18" s="482"/>
      <c r="B18" s="482"/>
      <c r="C18" s="482"/>
      <c r="D18" s="444"/>
      <c r="E18" s="311" t="s">
        <v>1891</v>
      </c>
      <c r="F18" s="444"/>
      <c r="I18" s="489"/>
    </row>
    <row r="19" spans="1:9">
      <c r="A19" s="482"/>
      <c r="B19" s="482"/>
      <c r="C19" s="482"/>
      <c r="I19" s="489"/>
    </row>
    <row r="20" spans="1:9" ht="14.25">
      <c r="A20" s="483"/>
      <c r="B20" s="484" t="s">
        <v>2752</v>
      </c>
      <c r="D20" s="1319" t="s">
        <v>1894</v>
      </c>
      <c r="E20" s="1319"/>
      <c r="F20" s="1319"/>
      <c r="I20" s="489"/>
    </row>
    <row r="21" spans="1:9" ht="14.25">
      <c r="A21" s="483"/>
      <c r="D21" s="1319"/>
      <c r="E21" s="1319"/>
      <c r="F21" s="1319"/>
      <c r="I21" s="489"/>
    </row>
    <row r="22" spans="1:9" ht="14.25">
      <c r="A22" s="483"/>
      <c r="D22" s="391"/>
      <c r="E22" s="96" t="s">
        <v>1890</v>
      </c>
      <c r="F22" s="391"/>
      <c r="I22" s="489"/>
    </row>
    <row r="23" spans="1:9" ht="14.25">
      <c r="A23" s="483"/>
      <c r="B23" s="483"/>
      <c r="D23" s="445"/>
      <c r="I23" s="489"/>
    </row>
    <row r="24" spans="1:9" ht="14.25">
      <c r="A24" s="483"/>
      <c r="B24" s="484" t="s">
        <v>2753</v>
      </c>
      <c r="D24" s="1319" t="s">
        <v>1089</v>
      </c>
      <c r="E24" s="1319"/>
      <c r="F24" s="1319"/>
      <c r="I24" s="489"/>
    </row>
    <row r="25" spans="1:9" ht="14.25">
      <c r="A25" s="483"/>
      <c r="B25" s="483"/>
      <c r="D25" s="1319"/>
      <c r="E25" s="1319"/>
      <c r="F25" s="1319"/>
      <c r="I25" s="489"/>
    </row>
    <row r="26" spans="1:9">
      <c r="I26" s="489"/>
    </row>
    <row r="27" spans="1:9" ht="14.25">
      <c r="A27" s="483"/>
      <c r="B27" s="484" t="s">
        <v>2753</v>
      </c>
      <c r="D27" s="1319" t="s">
        <v>2005</v>
      </c>
      <c r="E27" s="1319"/>
      <c r="F27" s="1319"/>
      <c r="I27" s="489"/>
    </row>
    <row r="28" spans="1:9">
      <c r="D28" s="1319"/>
      <c r="E28" s="1319"/>
      <c r="F28" s="1319"/>
      <c r="I28" s="489"/>
    </row>
    <row r="29" spans="1:9">
      <c r="D29" s="1319"/>
      <c r="E29" s="1319"/>
      <c r="F29" s="1319"/>
      <c r="I29" s="489"/>
    </row>
    <row r="30" spans="1:9">
      <c r="D30" s="1319"/>
      <c r="E30" s="1319"/>
      <c r="F30" s="1319"/>
      <c r="I30" s="489"/>
    </row>
    <row r="31" spans="1:9">
      <c r="D31" s="1319"/>
      <c r="E31" s="1319"/>
      <c r="F31" s="1319"/>
      <c r="I31" s="489"/>
    </row>
    <row r="32" spans="1:9">
      <c r="D32" s="446"/>
      <c r="I32" s="489"/>
    </row>
    <row r="33" spans="1:9">
      <c r="B33" s="484" t="s">
        <v>2753</v>
      </c>
      <c r="D33" s="1319" t="s">
        <v>2006</v>
      </c>
      <c r="E33" s="1319"/>
      <c r="F33" s="1319"/>
      <c r="I33" s="489"/>
    </row>
    <row r="34" spans="1:9">
      <c r="D34" s="1319"/>
      <c r="E34" s="1319"/>
      <c r="F34" s="1319"/>
      <c r="I34" s="489"/>
    </row>
    <row r="35" spans="1:9" ht="14.25">
      <c r="A35" s="483"/>
      <c r="B35" s="483"/>
      <c r="D35" s="446"/>
      <c r="I35" s="489"/>
    </row>
    <row r="36" spans="1:9" ht="14.45" customHeight="1">
      <c r="A36" s="483"/>
      <c r="B36" s="484" t="s">
        <v>2753</v>
      </c>
      <c r="D36" s="1319" t="s">
        <v>1212</v>
      </c>
      <c r="E36" s="1319"/>
      <c r="F36" s="1319"/>
      <c r="I36" s="489"/>
    </row>
    <row r="37" spans="1:9" ht="14.25">
      <c r="A37" s="483"/>
      <c r="B37" s="483"/>
      <c r="D37" s="1319"/>
      <c r="E37" s="1319"/>
      <c r="F37" s="1319"/>
      <c r="I37" s="489"/>
    </row>
    <row r="38" spans="1:9" ht="14.25">
      <c r="A38" s="483"/>
      <c r="B38" s="483"/>
      <c r="D38" s="1319"/>
      <c r="E38" s="1319"/>
      <c r="F38" s="1319"/>
      <c r="I38" s="489"/>
    </row>
    <row r="39" spans="1:9" ht="14.25">
      <c r="A39" s="483"/>
      <c r="B39" s="483"/>
      <c r="D39" s="1319"/>
      <c r="E39" s="1319"/>
      <c r="F39" s="1319"/>
      <c r="I39" s="489"/>
    </row>
    <row r="40" spans="1:9" ht="14.25">
      <c r="A40" s="483"/>
      <c r="B40" s="483"/>
      <c r="I40" s="489"/>
    </row>
    <row r="41" spans="1:9" ht="14.25">
      <c r="A41" s="483"/>
      <c r="B41" s="484" t="s">
        <v>2753</v>
      </c>
      <c r="D41" s="1319" t="s">
        <v>1090</v>
      </c>
      <c r="E41" s="1319"/>
      <c r="F41" s="1319"/>
      <c r="I41" s="489"/>
    </row>
    <row r="42" spans="1:9" ht="14.25">
      <c r="A42" s="483"/>
      <c r="B42" s="483"/>
      <c r="D42" s="1319"/>
      <c r="E42" s="1319"/>
      <c r="F42" s="1319"/>
      <c r="I42" s="489"/>
    </row>
    <row r="43" spans="1:9" ht="14.25">
      <c r="A43" s="483"/>
      <c r="B43" s="483"/>
      <c r="D43" s="1319"/>
      <c r="E43" s="1319"/>
      <c r="F43" s="1319"/>
      <c r="I43" s="489"/>
    </row>
    <row r="44" spans="1:9" ht="14.25">
      <c r="A44" s="483"/>
      <c r="B44" s="483"/>
      <c r="D44" s="1319"/>
      <c r="E44" s="1319"/>
      <c r="F44" s="1319"/>
      <c r="I44" s="489"/>
    </row>
    <row r="45" spans="1:9" ht="14.25">
      <c r="A45" s="483"/>
      <c r="B45" s="483"/>
      <c r="D45" s="1319"/>
      <c r="E45" s="1319"/>
      <c r="F45" s="1319"/>
      <c r="I45" s="489"/>
    </row>
    <row r="46" spans="1:9" ht="14.25">
      <c r="A46" s="483"/>
      <c r="B46" s="483"/>
      <c r="D46" s="444"/>
      <c r="E46" s="444"/>
      <c r="F46" s="444"/>
      <c r="I46" s="489"/>
    </row>
    <row r="47" spans="1:9" ht="14.25">
      <c r="A47" s="483"/>
      <c r="B47" s="484" t="s">
        <v>2753</v>
      </c>
      <c r="D47" s="1319" t="s">
        <v>1091</v>
      </c>
      <c r="E47" s="1319"/>
      <c r="F47" s="1319"/>
      <c r="I47" s="489"/>
    </row>
    <row r="48" spans="1:9" ht="14.25">
      <c r="A48" s="483"/>
      <c r="B48" s="483"/>
      <c r="D48" s="1319"/>
      <c r="E48" s="1319"/>
      <c r="F48" s="1319"/>
      <c r="I48" s="489"/>
    </row>
    <row r="49" spans="1:9" ht="14.25">
      <c r="A49" s="483"/>
      <c r="B49" s="483"/>
      <c r="D49" s="1319"/>
      <c r="E49" s="1319"/>
      <c r="F49" s="1319"/>
      <c r="I49" s="489"/>
    </row>
    <row r="50" spans="1:9" ht="23.25" customHeight="1">
      <c r="A50" s="483"/>
      <c r="B50" s="483"/>
      <c r="D50" s="1319"/>
      <c r="E50" s="1319"/>
      <c r="F50" s="1319"/>
      <c r="I50" s="489"/>
    </row>
    <row r="51" spans="1:9" ht="14.25">
      <c r="A51" s="483"/>
      <c r="B51" s="483"/>
      <c r="D51" s="445"/>
      <c r="I51" s="489"/>
    </row>
    <row r="52" spans="1:9" ht="14.45" customHeight="1">
      <c r="A52" s="483"/>
      <c r="B52" s="484" t="s">
        <v>2753</v>
      </c>
      <c r="D52" s="1319" t="s">
        <v>1092</v>
      </c>
      <c r="E52" s="1319"/>
      <c r="F52" s="1319"/>
      <c r="I52" s="489"/>
    </row>
    <row r="53" spans="1:9" ht="14.25">
      <c r="A53" s="483"/>
      <c r="B53" s="483"/>
      <c r="D53" s="1319"/>
      <c r="E53" s="1319"/>
      <c r="F53" s="1319"/>
      <c r="I53" s="489"/>
    </row>
    <row r="54" spans="1:9" ht="14.25">
      <c r="A54" s="483"/>
      <c r="B54" s="483"/>
      <c r="D54" s="1319"/>
      <c r="E54" s="1319"/>
      <c r="F54" s="1319"/>
      <c r="I54" s="489"/>
    </row>
    <row r="55" spans="1:9" ht="14.25">
      <c r="A55" s="483"/>
      <c r="B55" s="483"/>
      <c r="I55" s="489"/>
    </row>
    <row r="56" spans="1:9" ht="14.25">
      <c r="A56" s="483"/>
      <c r="B56" s="484" t="s">
        <v>2752</v>
      </c>
      <c r="D56" s="1346" t="s">
        <v>1093</v>
      </c>
      <c r="E56" s="1346"/>
      <c r="F56" s="1346"/>
      <c r="I56" s="489"/>
    </row>
    <row r="57" spans="1:9" ht="14.25">
      <c r="A57" s="483"/>
      <c r="B57" s="483"/>
      <c r="D57" s="1346"/>
      <c r="E57" s="1346"/>
      <c r="F57" s="1346"/>
      <c r="I57" s="489"/>
    </row>
    <row r="58" spans="1:9" ht="14.25">
      <c r="A58" s="483"/>
      <c r="B58" s="483"/>
      <c r="D58" s="391" t="s">
        <v>1892</v>
      </c>
      <c r="E58" s="444"/>
      <c r="F58" s="444"/>
      <c r="I58" s="489"/>
    </row>
    <row r="59" spans="1:9" ht="14.25">
      <c r="A59" s="483"/>
      <c r="B59" s="483"/>
      <c r="D59" s="444"/>
      <c r="E59" s="311" t="s">
        <v>1891</v>
      </c>
      <c r="F59" s="444"/>
      <c r="I59" s="489"/>
    </row>
    <row r="60" spans="1:9">
      <c r="D60" s="446"/>
      <c r="I60" s="489"/>
    </row>
    <row r="61" spans="1:9" ht="14.25">
      <c r="A61" s="483"/>
      <c r="B61" s="484" t="s">
        <v>2752</v>
      </c>
      <c r="D61" s="1319" t="s">
        <v>1094</v>
      </c>
      <c r="E61" s="1319"/>
      <c r="F61" s="1319"/>
      <c r="I61" s="489"/>
    </row>
    <row r="62" spans="1:9">
      <c r="D62" s="1319"/>
      <c r="E62" s="1319"/>
      <c r="F62" s="1319"/>
      <c r="I62" s="489"/>
    </row>
    <row r="63" spans="1:9">
      <c r="D63" s="1319"/>
      <c r="E63" s="1319"/>
      <c r="F63" s="1319"/>
      <c r="I63" s="489"/>
    </row>
    <row r="64" spans="1:9">
      <c r="I64" s="489"/>
    </row>
    <row r="65" spans="1:9" ht="14.25">
      <c r="A65" s="483"/>
      <c r="B65" s="484" t="s">
        <v>2753</v>
      </c>
      <c r="D65" s="1319" t="s">
        <v>1095</v>
      </c>
      <c r="E65" s="1319"/>
      <c r="F65" s="1319"/>
      <c r="I65" s="489"/>
    </row>
    <row r="66" spans="1:9">
      <c r="D66" s="1319"/>
      <c r="E66" s="1319"/>
      <c r="F66" s="1319"/>
      <c r="I66" s="489"/>
    </row>
    <row r="67" spans="1:9">
      <c r="I67" s="489"/>
    </row>
    <row r="68" spans="1:9" ht="14.25">
      <c r="A68" s="483"/>
      <c r="B68" s="484" t="s">
        <v>2752</v>
      </c>
      <c r="D68" s="1319" t="s">
        <v>1096</v>
      </c>
      <c r="E68" s="1319"/>
      <c r="F68" s="1319"/>
      <c r="I68" s="489"/>
    </row>
    <row r="69" spans="1:9">
      <c r="D69" s="1319"/>
      <c r="E69" s="1319"/>
      <c r="F69" s="1319"/>
      <c r="I69" s="489"/>
    </row>
    <row r="70" spans="1:9">
      <c r="D70" s="1319"/>
      <c r="E70" s="1319"/>
      <c r="F70" s="1319"/>
      <c r="I70" s="489"/>
    </row>
    <row r="71" spans="1:9">
      <c r="I71" s="489"/>
    </row>
    <row r="72" spans="1:9" ht="14.25">
      <c r="A72" s="483"/>
      <c r="B72" s="484" t="s">
        <v>2752</v>
      </c>
      <c r="D72" s="1319" t="s">
        <v>1097</v>
      </c>
      <c r="E72" s="1319"/>
      <c r="F72" s="1319"/>
      <c r="I72" s="489"/>
    </row>
    <row r="73" spans="1:9">
      <c r="D73" s="1319"/>
      <c r="E73" s="1319"/>
      <c r="F73" s="1319"/>
      <c r="I73" s="489"/>
    </row>
    <row r="74" spans="1:9" ht="14.25">
      <c r="A74" s="483"/>
      <c r="B74" s="483"/>
      <c r="D74" s="445"/>
      <c r="I74" s="489"/>
    </row>
    <row r="75" spans="1:9">
      <c r="A75" s="1320" t="s">
        <v>1042</v>
      </c>
      <c r="B75" s="1320"/>
      <c r="C75" s="1320"/>
      <c r="D75" s="1320"/>
      <c r="E75" s="1320"/>
      <c r="F75" s="1320"/>
      <c r="G75" s="1320"/>
      <c r="H75" s="1022"/>
      <c r="I75" s="1146"/>
    </row>
    <row r="76" spans="1:9">
      <c r="I76" s="489"/>
    </row>
    <row r="77" spans="1:9">
      <c r="C77" s="485"/>
      <c r="D77" s="1339" t="s">
        <v>1100</v>
      </c>
      <c r="E77" s="1339"/>
      <c r="F77" s="1339"/>
      <c r="I77" s="489"/>
    </row>
    <row r="78" spans="1:9">
      <c r="A78" s="445"/>
      <c r="B78" s="445"/>
      <c r="D78" s="1319" t="s">
        <v>1115</v>
      </c>
      <c r="E78" s="1319"/>
      <c r="F78" s="1319"/>
      <c r="I78" s="489"/>
    </row>
    <row r="79" spans="1:9">
      <c r="A79" s="445"/>
      <c r="B79" s="445"/>
      <c r="I79" s="489"/>
    </row>
    <row r="80" spans="1:9" ht="13.7" customHeight="1">
      <c r="A80" s="483"/>
      <c r="B80" s="484" t="s">
        <v>2752</v>
      </c>
      <c r="D80" s="1319" t="s">
        <v>1243</v>
      </c>
      <c r="E80" s="1319"/>
      <c r="F80" s="1319"/>
      <c r="I80" s="489"/>
    </row>
    <row r="81" spans="1:9" ht="14.25">
      <c r="A81" s="483"/>
      <c r="B81" s="483"/>
      <c r="D81" s="1319"/>
      <c r="E81" s="1319"/>
      <c r="F81" s="1319"/>
      <c r="I81" s="489"/>
    </row>
    <row r="82" spans="1:9" ht="14.25">
      <c r="A82" s="483"/>
      <c r="B82" s="483"/>
      <c r="D82" s="1319"/>
      <c r="E82" s="1319"/>
      <c r="F82" s="1319"/>
      <c r="I82" s="489"/>
    </row>
    <row r="83" spans="1:9" ht="14.25">
      <c r="A83" s="483"/>
      <c r="B83" s="483"/>
      <c r="D83" s="1319"/>
      <c r="E83" s="1319"/>
      <c r="F83" s="1319"/>
      <c r="I83" s="489"/>
    </row>
    <row r="84" spans="1:9" ht="14.25">
      <c r="A84" s="483"/>
      <c r="B84" s="483"/>
      <c r="D84" s="1319"/>
      <c r="E84" s="1319"/>
      <c r="F84" s="1319"/>
      <c r="I84" s="489"/>
    </row>
    <row r="85" spans="1:9" ht="14.25">
      <c r="A85" s="483"/>
      <c r="B85" s="483"/>
      <c r="D85" s="1319"/>
      <c r="E85" s="1319"/>
      <c r="F85" s="1319"/>
      <c r="I85" s="489"/>
    </row>
    <row r="86" spans="1:9" ht="14.25">
      <c r="A86" s="483"/>
      <c r="B86" s="483"/>
      <c r="D86" s="1319"/>
      <c r="E86" s="1319"/>
      <c r="F86" s="1319"/>
      <c r="I86" s="489"/>
    </row>
    <row r="87" spans="1:9" ht="14.25">
      <c r="A87" s="483"/>
      <c r="B87" s="483"/>
      <c r="D87" s="1319"/>
      <c r="E87" s="1319"/>
      <c r="F87" s="1319"/>
      <c r="I87" s="489"/>
    </row>
    <row r="88" spans="1:9" ht="14.25">
      <c r="A88" s="483"/>
      <c r="B88" s="483"/>
      <c r="D88" s="384"/>
      <c r="E88" s="384"/>
      <c r="F88" s="384"/>
      <c r="I88" s="489"/>
    </row>
    <row r="89" spans="1:9" ht="15" customHeight="1">
      <c r="A89" s="483"/>
      <c r="B89" s="484" t="s">
        <v>2752</v>
      </c>
      <c r="D89" s="1319" t="s">
        <v>1729</v>
      </c>
      <c r="E89" s="1319"/>
      <c r="F89" s="1319"/>
      <c r="I89" s="489"/>
    </row>
    <row r="90" spans="1:9" ht="14.25">
      <c r="A90" s="483"/>
      <c r="B90" s="483"/>
      <c r="D90" s="1319"/>
      <c r="E90" s="1319"/>
      <c r="F90" s="1319"/>
      <c r="I90" s="489"/>
    </row>
    <row r="91" spans="1:9" ht="14.25">
      <c r="A91" s="483"/>
      <c r="B91" s="483"/>
      <c r="D91" s="444"/>
      <c r="E91" s="444"/>
      <c r="F91" s="444"/>
      <c r="I91" s="489"/>
    </row>
    <row r="92" spans="1:9" ht="14.25">
      <c r="A92" s="483"/>
      <c r="B92" s="484" t="s">
        <v>2752</v>
      </c>
      <c r="D92" s="1319" t="s">
        <v>1732</v>
      </c>
      <c r="E92" s="1319"/>
      <c r="F92" s="1319"/>
      <c r="I92" s="489"/>
    </row>
    <row r="93" spans="1:9" ht="14.25">
      <c r="A93" s="483"/>
      <c r="B93" s="483"/>
      <c r="D93" s="1319"/>
      <c r="E93" s="1319"/>
      <c r="F93" s="1319"/>
      <c r="I93" s="489"/>
    </row>
    <row r="94" spans="1:9" ht="14.25">
      <c r="A94" s="483"/>
      <c r="B94" s="483"/>
      <c r="D94" s="1319"/>
      <c r="E94" s="1319"/>
      <c r="F94" s="1319"/>
      <c r="I94" s="489"/>
    </row>
    <row r="95" spans="1:9" ht="14.25">
      <c r="A95" s="483"/>
      <c r="B95" s="483"/>
      <c r="D95" s="444"/>
      <c r="E95" s="444"/>
      <c r="F95" s="444"/>
      <c r="I95" s="489"/>
    </row>
    <row r="96" spans="1:9" ht="14.25">
      <c r="A96" s="483"/>
      <c r="B96" s="484" t="s">
        <v>2752</v>
      </c>
      <c r="D96" s="1319" t="s">
        <v>1731</v>
      </c>
      <c r="E96" s="1319"/>
      <c r="F96" s="1319"/>
      <c r="I96" s="489"/>
    </row>
    <row r="97" spans="1:9" s="981" customFormat="1" ht="14.25">
      <c r="A97" s="979"/>
      <c r="B97" s="979"/>
      <c r="C97" s="980"/>
      <c r="D97" s="1319"/>
      <c r="E97" s="1319"/>
      <c r="F97" s="1319"/>
      <c r="I97" s="1147"/>
    </row>
    <row r="98" spans="1:9" ht="14.25">
      <c r="A98" s="483"/>
      <c r="B98" s="483"/>
      <c r="D98" s="391"/>
      <c r="E98" s="311" t="s">
        <v>1895</v>
      </c>
      <c r="F98" s="444"/>
      <c r="I98" s="489"/>
    </row>
    <row r="99" spans="1:9" ht="14.25">
      <c r="A99" s="483"/>
      <c r="B99" s="483"/>
      <c r="D99" s="384"/>
      <c r="E99" s="384"/>
      <c r="F99" s="384"/>
      <c r="I99" s="489"/>
    </row>
    <row r="100" spans="1:9" ht="14.25">
      <c r="A100" s="483"/>
      <c r="B100" s="484" t="s">
        <v>2753</v>
      </c>
      <c r="D100" s="1319" t="s">
        <v>1730</v>
      </c>
      <c r="E100" s="1319"/>
      <c r="F100" s="1319"/>
      <c r="I100" s="489"/>
    </row>
    <row r="101" spans="1:9" ht="14.25">
      <c r="A101" s="483"/>
      <c r="B101" s="483"/>
      <c r="D101" s="1319"/>
      <c r="E101" s="1319"/>
      <c r="F101" s="1319"/>
      <c r="I101" s="489"/>
    </row>
    <row r="102" spans="1:9" ht="14.25">
      <c r="A102" s="483"/>
      <c r="B102" s="483"/>
      <c r="D102" s="444"/>
      <c r="E102" s="444"/>
      <c r="F102" s="444"/>
      <c r="I102" s="489"/>
    </row>
    <row r="103" spans="1:9" ht="14.45" customHeight="1">
      <c r="A103" s="483"/>
      <c r="B103" s="484" t="s">
        <v>2753</v>
      </c>
      <c r="D103" s="1319" t="s">
        <v>1192</v>
      </c>
      <c r="E103" s="1319"/>
      <c r="F103" s="1319"/>
      <c r="I103" s="489"/>
    </row>
    <row r="104" spans="1:9" ht="14.25">
      <c r="A104" s="483"/>
      <c r="B104" s="483"/>
      <c r="D104" s="1319"/>
      <c r="E104" s="1319"/>
      <c r="F104" s="1319"/>
      <c r="I104" s="489"/>
    </row>
    <row r="105" spans="1:9" ht="14.25">
      <c r="A105" s="483"/>
      <c r="B105" s="483"/>
      <c r="D105" s="1319"/>
      <c r="E105" s="1319"/>
      <c r="F105" s="1319"/>
      <c r="I105" s="489"/>
    </row>
    <row r="106" spans="1:9" ht="14.25">
      <c r="A106" s="483"/>
      <c r="B106" s="483"/>
      <c r="D106" s="1319"/>
      <c r="E106" s="1319"/>
      <c r="F106" s="1319"/>
      <c r="I106" s="489"/>
    </row>
    <row r="107" spans="1:9" ht="14.25">
      <c r="A107" s="483"/>
      <c r="B107" s="483"/>
      <c r="D107" s="1319"/>
      <c r="E107" s="1319"/>
      <c r="F107" s="1319"/>
      <c r="I107" s="489"/>
    </row>
    <row r="108" spans="1:9" ht="14.25">
      <c r="A108" s="483"/>
      <c r="B108" s="483"/>
      <c r="D108" s="1319"/>
      <c r="E108" s="1319"/>
      <c r="F108" s="1319"/>
      <c r="I108" s="489"/>
    </row>
    <row r="109" spans="1:9" ht="14.25">
      <c r="A109" s="483"/>
      <c r="B109" s="483"/>
      <c r="D109" s="1319"/>
      <c r="E109" s="1319"/>
      <c r="F109" s="1319"/>
      <c r="I109" s="489"/>
    </row>
    <row r="110" spans="1:9" ht="14.25">
      <c r="A110" s="483"/>
      <c r="B110" s="483"/>
      <c r="D110" s="1319"/>
      <c r="E110" s="1319"/>
      <c r="F110" s="1319"/>
      <c r="I110" s="489"/>
    </row>
    <row r="111" spans="1:9" ht="14.25">
      <c r="A111" s="483"/>
      <c r="B111" s="483"/>
      <c r="D111" s="1319"/>
      <c r="E111" s="1319"/>
      <c r="F111" s="1319"/>
      <c r="I111" s="489"/>
    </row>
    <row r="112" spans="1:9" ht="14.25">
      <c r="A112" s="483"/>
      <c r="B112" s="483"/>
      <c r="D112" s="1319"/>
      <c r="E112" s="1319"/>
      <c r="F112" s="1319"/>
      <c r="I112" s="489"/>
    </row>
    <row r="113" spans="1:9" ht="14.25">
      <c r="A113" s="483"/>
      <c r="B113" s="483"/>
      <c r="D113" s="1319"/>
      <c r="E113" s="1319"/>
      <c r="F113" s="1319"/>
      <c r="I113" s="489"/>
    </row>
    <row r="114" spans="1:9" ht="14.25">
      <c r="A114" s="483"/>
      <c r="B114" s="483"/>
      <c r="D114" s="1319"/>
      <c r="E114" s="1319"/>
      <c r="F114" s="1319"/>
      <c r="I114" s="489"/>
    </row>
    <row r="115" spans="1:9" ht="14.25">
      <c r="A115" s="483"/>
      <c r="B115" s="483"/>
      <c r="D115" s="1319"/>
      <c r="E115" s="1319"/>
      <c r="F115" s="1319"/>
      <c r="I115" s="489"/>
    </row>
    <row r="116" spans="1:9" ht="14.25">
      <c r="A116" s="483"/>
      <c r="B116" s="483"/>
      <c r="D116" s="1319"/>
      <c r="E116" s="1319"/>
      <c r="F116" s="1319"/>
      <c r="I116" s="489"/>
    </row>
    <row r="117" spans="1:9" ht="14.25">
      <c r="A117" s="483"/>
      <c r="B117" s="483"/>
      <c r="D117" s="1319"/>
      <c r="E117" s="1319"/>
      <c r="F117" s="1319"/>
      <c r="I117" s="489"/>
    </row>
    <row r="118" spans="1:9" ht="14.25">
      <c r="A118" s="483"/>
      <c r="B118" s="483"/>
      <c r="D118" s="523"/>
      <c r="E118" s="523"/>
      <c r="F118" s="523"/>
      <c r="I118" s="489"/>
    </row>
    <row r="119" spans="1:9" ht="14.25" customHeight="1">
      <c r="A119" s="483"/>
      <c r="B119" s="484" t="s">
        <v>2753</v>
      </c>
      <c r="D119" s="1345" t="s">
        <v>1101</v>
      </c>
      <c r="E119" s="1345"/>
      <c r="F119" s="1345"/>
      <c r="I119" s="489"/>
    </row>
    <row r="120" spans="1:9" ht="14.25">
      <c r="A120" s="483"/>
      <c r="B120" s="483"/>
      <c r="D120" s="1345"/>
      <c r="E120" s="1345"/>
      <c r="F120" s="1345"/>
      <c r="I120" s="489"/>
    </row>
    <row r="121" spans="1:9" ht="14.25">
      <c r="A121" s="483"/>
      <c r="B121" s="483"/>
      <c r="D121" s="1345"/>
      <c r="E121" s="1345"/>
      <c r="F121" s="1345"/>
      <c r="I121" s="489"/>
    </row>
    <row r="122" spans="1:9" ht="14.25">
      <c r="A122" s="483"/>
      <c r="B122" s="483"/>
      <c r="D122" s="1345"/>
      <c r="E122" s="1345"/>
      <c r="F122" s="1345"/>
      <c r="I122" s="489"/>
    </row>
    <row r="123" spans="1:9" ht="14.25">
      <c r="A123" s="483"/>
      <c r="B123" s="483"/>
      <c r="D123" s="1345"/>
      <c r="E123" s="1345"/>
      <c r="F123" s="1345"/>
      <c r="I123" s="489"/>
    </row>
    <row r="124" spans="1:9" ht="14.25">
      <c r="A124" s="483"/>
      <c r="B124" s="483"/>
      <c r="D124" s="1345"/>
      <c r="E124" s="1345"/>
      <c r="F124" s="1345"/>
      <c r="I124" s="489"/>
    </row>
    <row r="125" spans="1:9" ht="14.25">
      <c r="A125" s="483"/>
      <c r="B125" s="483"/>
      <c r="D125" s="1345"/>
      <c r="E125" s="1345"/>
      <c r="F125" s="1345"/>
      <c r="I125" s="489"/>
    </row>
    <row r="126" spans="1:9" ht="14.25">
      <c r="A126" s="483"/>
      <c r="B126" s="483"/>
      <c r="D126" s="1345"/>
      <c r="E126" s="1345"/>
      <c r="F126" s="1345"/>
      <c r="I126" s="489"/>
    </row>
    <row r="127" spans="1:9">
      <c r="C127" s="401"/>
      <c r="D127" s="524"/>
      <c r="E127" s="524"/>
      <c r="F127" s="524"/>
      <c r="I127" s="489"/>
    </row>
    <row r="128" spans="1:9" ht="14.25">
      <c r="A128" s="483"/>
      <c r="B128" s="484" t="s">
        <v>2752</v>
      </c>
      <c r="C128" s="401"/>
      <c r="D128" s="1345" t="s">
        <v>2007</v>
      </c>
      <c r="E128" s="1345"/>
      <c r="F128" s="1345"/>
      <c r="I128" s="489"/>
    </row>
    <row r="129" spans="1:9" ht="14.25">
      <c r="A129" s="483"/>
      <c r="B129" s="483"/>
      <c r="C129" s="401"/>
      <c r="D129" s="1345"/>
      <c r="E129" s="1345"/>
      <c r="F129" s="1345"/>
      <c r="I129" s="489"/>
    </row>
    <row r="130" spans="1:9">
      <c r="I130" s="489"/>
    </row>
    <row r="131" spans="1:9" ht="14.25">
      <c r="A131" s="483"/>
      <c r="B131" s="484" t="s">
        <v>2752</v>
      </c>
      <c r="D131" s="1319" t="s">
        <v>1102</v>
      </c>
      <c r="E131" s="1319"/>
      <c r="F131" s="1319"/>
      <c r="I131" s="489"/>
    </row>
    <row r="132" spans="1:9">
      <c r="D132" s="1319"/>
      <c r="E132" s="1319"/>
      <c r="F132" s="1319"/>
      <c r="I132" s="489"/>
    </row>
    <row r="133" spans="1:9">
      <c r="D133" s="1319"/>
      <c r="E133" s="1319"/>
      <c r="F133" s="1319"/>
      <c r="I133" s="489"/>
    </row>
    <row r="134" spans="1:9">
      <c r="D134" s="1319"/>
      <c r="E134" s="1319"/>
      <c r="F134" s="1319"/>
      <c r="I134" s="489"/>
    </row>
    <row r="135" spans="1:9">
      <c r="D135" s="1319"/>
      <c r="E135" s="1319"/>
      <c r="F135" s="1319"/>
      <c r="I135" s="489"/>
    </row>
    <row r="136" spans="1:9">
      <c r="I136" s="489"/>
    </row>
    <row r="137" spans="1:9" ht="14.25">
      <c r="A137" s="483"/>
      <c r="B137" s="484" t="s">
        <v>2753</v>
      </c>
      <c r="D137" s="1319" t="s">
        <v>1103</v>
      </c>
      <c r="E137" s="1319"/>
      <c r="F137" s="1319"/>
      <c r="I137" s="489"/>
    </row>
    <row r="138" spans="1:9" s="416" customFormat="1" ht="13.7" customHeight="1">
      <c r="A138" s="487"/>
      <c r="B138" s="487"/>
      <c r="C138" s="487"/>
      <c r="D138" s="1319"/>
      <c r="E138" s="1319"/>
      <c r="F138" s="1319"/>
      <c r="I138" s="1148"/>
    </row>
    <row r="139" spans="1:9" ht="13.7" customHeight="1">
      <c r="D139" s="1319"/>
      <c r="E139" s="1319"/>
      <c r="F139" s="1319"/>
      <c r="I139" s="489"/>
    </row>
    <row r="140" spans="1:9" ht="13.7" customHeight="1">
      <c r="D140" s="1319"/>
      <c r="E140" s="1319"/>
      <c r="F140" s="1319"/>
      <c r="I140" s="489"/>
    </row>
    <row r="141" spans="1:9" ht="13.7" customHeight="1">
      <c r="D141" s="1319"/>
      <c r="E141" s="1319"/>
      <c r="F141" s="1319"/>
      <c r="I141" s="489"/>
    </row>
    <row r="142" spans="1:9" ht="13.7" customHeight="1">
      <c r="A142" s="488"/>
      <c r="B142" s="488"/>
      <c r="D142" s="1319"/>
      <c r="E142" s="1319"/>
      <c r="F142" s="1319"/>
      <c r="I142" s="489"/>
    </row>
    <row r="143" spans="1:9" ht="13.7" customHeight="1">
      <c r="D143" s="1319"/>
      <c r="E143" s="1319"/>
      <c r="F143" s="1319"/>
      <c r="I143" s="489"/>
    </row>
    <row r="144" spans="1:9" ht="13.7" customHeight="1">
      <c r="D144" s="1319"/>
      <c r="E144" s="1319"/>
      <c r="F144" s="1319"/>
      <c r="I144" s="489"/>
    </row>
    <row r="145" spans="2:9" ht="13.7" customHeight="1">
      <c r="D145" s="1319"/>
      <c r="E145" s="1319"/>
      <c r="F145" s="1319"/>
      <c r="I145" s="489"/>
    </row>
    <row r="146" spans="2:9" ht="13.7" customHeight="1">
      <c r="D146" s="1319"/>
      <c r="E146" s="1319"/>
      <c r="F146" s="1319"/>
      <c r="I146" s="489"/>
    </row>
    <row r="147" spans="2:9" ht="13.7" customHeight="1">
      <c r="D147" s="1319"/>
      <c r="E147" s="1319"/>
      <c r="F147" s="1319"/>
      <c r="I147" s="489"/>
    </row>
    <row r="148" spans="2:9" ht="13.7" customHeight="1">
      <c r="D148" s="1319"/>
      <c r="E148" s="1319"/>
      <c r="F148" s="1319"/>
      <c r="I148" s="489"/>
    </row>
    <row r="149" spans="2:9" ht="13.7" customHeight="1">
      <c r="D149" s="1319"/>
      <c r="E149" s="1319"/>
      <c r="F149" s="1319"/>
      <c r="I149" s="489"/>
    </row>
    <row r="150" spans="2:9" ht="13.7" customHeight="1">
      <c r="D150" s="475"/>
      <c r="E150" s="445"/>
      <c r="F150" s="445"/>
      <c r="I150" s="489"/>
    </row>
    <row r="151" spans="2:9" ht="13.7" customHeight="1">
      <c r="B151" s="484" t="s">
        <v>2752</v>
      </c>
      <c r="D151" s="1319" t="s">
        <v>1175</v>
      </c>
      <c r="E151" s="1319"/>
      <c r="F151" s="1319"/>
      <c r="I151" s="489"/>
    </row>
    <row r="152" spans="2:9" ht="13.7" customHeight="1">
      <c r="D152" s="1319"/>
      <c r="E152" s="1319"/>
      <c r="F152" s="1319"/>
      <c r="I152" s="489"/>
    </row>
    <row r="153" spans="2:9" ht="13.7" customHeight="1">
      <c r="D153" s="1319"/>
      <c r="E153" s="1319"/>
      <c r="F153" s="1319"/>
      <c r="I153" s="489"/>
    </row>
    <row r="154" spans="2:9" ht="13.7" customHeight="1">
      <c r="D154" s="1319"/>
      <c r="E154" s="1319"/>
      <c r="F154" s="1319"/>
      <c r="I154" s="489"/>
    </row>
    <row r="155" spans="2:9" ht="13.7" customHeight="1">
      <c r="D155" s="1319"/>
      <c r="E155" s="1319"/>
      <c r="F155" s="1319"/>
      <c r="I155" s="489"/>
    </row>
    <row r="156" spans="2:9" ht="13.7" customHeight="1">
      <c r="D156" s="1319"/>
      <c r="E156" s="1319"/>
      <c r="F156" s="1319"/>
      <c r="I156" s="489"/>
    </row>
    <row r="157" spans="2:9" ht="13.7" customHeight="1">
      <c r="D157" s="1319"/>
      <c r="E157" s="1319"/>
      <c r="F157" s="1319"/>
      <c r="I157" s="489"/>
    </row>
    <row r="158" spans="2:9" ht="13.7" customHeight="1">
      <c r="D158" s="1319"/>
      <c r="E158" s="1319"/>
      <c r="F158" s="1319"/>
      <c r="I158" s="489"/>
    </row>
    <row r="159" spans="2:9" ht="13.7" customHeight="1">
      <c r="D159" s="1319"/>
      <c r="E159" s="1319"/>
      <c r="F159" s="1319"/>
      <c r="I159" s="489"/>
    </row>
    <row r="160" spans="2:9" ht="13.7" customHeight="1">
      <c r="D160" s="1319"/>
      <c r="E160" s="1319"/>
      <c r="F160" s="1319"/>
      <c r="I160" s="489"/>
    </row>
    <row r="161" spans="1:9" ht="13.7" customHeight="1">
      <c r="D161" s="1319"/>
      <c r="E161" s="1319"/>
      <c r="F161" s="1319"/>
      <c r="I161" s="489"/>
    </row>
    <row r="162" spans="1:9" ht="13.7" customHeight="1">
      <c r="D162" s="1319"/>
      <c r="E162" s="1319"/>
      <c r="F162" s="1319"/>
      <c r="I162" s="489"/>
    </row>
    <row r="163" spans="1:9" ht="13.7" customHeight="1">
      <c r="D163" s="1319"/>
      <c r="E163" s="1319"/>
      <c r="F163" s="1319"/>
      <c r="I163" s="489"/>
    </row>
    <row r="164" spans="1:9" ht="13.7" customHeight="1">
      <c r="D164" s="1319"/>
      <c r="E164" s="1319"/>
      <c r="F164" s="1319"/>
      <c r="I164" s="489"/>
    </row>
    <row r="165" spans="1:9" ht="13.7" customHeight="1">
      <c r="D165" s="1319"/>
      <c r="E165" s="1319"/>
      <c r="F165" s="1319"/>
      <c r="I165" s="489"/>
    </row>
    <row r="166" spans="1:9" ht="13.7" customHeight="1">
      <c r="D166" s="1319"/>
      <c r="E166" s="1319"/>
      <c r="F166" s="1319"/>
      <c r="I166" s="489"/>
    </row>
    <row r="167" spans="1:9" ht="13.7" customHeight="1">
      <c r="D167" s="1319"/>
      <c r="E167" s="1319"/>
      <c r="F167" s="1319"/>
      <c r="I167" s="489"/>
    </row>
    <row r="168" spans="1:9" ht="13.7" customHeight="1">
      <c r="D168" s="1319"/>
      <c r="E168" s="1319"/>
      <c r="F168" s="1319"/>
      <c r="I168" s="489"/>
    </row>
    <row r="169" spans="1:9" ht="13.7" customHeight="1">
      <c r="D169" s="1342" t="s">
        <v>2029</v>
      </c>
      <c r="E169" s="1342"/>
      <c r="F169" s="1342"/>
      <c r="G169" s="506"/>
      <c r="I169" s="489"/>
    </row>
    <row r="170" spans="1:9" ht="13.7" customHeight="1">
      <c r="D170" s="1329"/>
      <c r="E170" s="1329"/>
      <c r="F170" s="1329"/>
      <c r="G170" s="1329"/>
      <c r="I170" s="489"/>
    </row>
    <row r="171" spans="1:9" ht="14.45" customHeight="1">
      <c r="A171" s="488"/>
      <c r="B171" s="484" t="s">
        <v>2752</v>
      </c>
      <c r="C171" s="475"/>
      <c r="D171" s="1291" t="s">
        <v>2165</v>
      </c>
      <c r="E171" s="1291"/>
      <c r="F171" s="1291"/>
      <c r="G171" s="475"/>
      <c r="I171" s="489"/>
    </row>
    <row r="172" spans="1:9" ht="14.45" customHeight="1">
      <c r="A172" s="488"/>
      <c r="B172" s="488"/>
      <c r="C172" s="475"/>
      <c r="D172" s="1291"/>
      <c r="E172" s="1291"/>
      <c r="F172" s="1291"/>
      <c r="G172" s="475"/>
      <c r="I172" s="489"/>
    </row>
    <row r="173" spans="1:9" ht="14.45" customHeight="1">
      <c r="A173" s="488"/>
      <c r="B173" s="488"/>
      <c r="C173" s="475"/>
      <c r="D173" s="1291"/>
      <c r="E173" s="1291"/>
      <c r="F173" s="1291"/>
      <c r="G173" s="475"/>
      <c r="I173" s="489"/>
    </row>
    <row r="174" spans="1:9" ht="14.45" customHeight="1">
      <c r="A174" s="488"/>
      <c r="B174" s="488"/>
      <c r="C174" s="475"/>
      <c r="D174" s="1291"/>
      <c r="E174" s="1291"/>
      <c r="F174" s="1291"/>
      <c r="G174" s="475"/>
      <c r="I174" s="489"/>
    </row>
    <row r="175" spans="1:9" ht="13.7" customHeight="1">
      <c r="A175" s="488"/>
      <c r="B175" s="488"/>
      <c r="C175" s="475"/>
      <c r="D175" s="1291"/>
      <c r="E175" s="1291"/>
      <c r="F175" s="1291"/>
      <c r="G175" s="475"/>
      <c r="I175" s="489"/>
    </row>
    <row r="176" spans="1:9" ht="13.7" customHeight="1">
      <c r="A176" s="488"/>
      <c r="B176" s="488"/>
      <c r="C176" s="475"/>
      <c r="D176" s="475"/>
      <c r="E176" s="475"/>
      <c r="F176" s="475"/>
      <c r="G176" s="475"/>
      <c r="I176" s="489"/>
    </row>
    <row r="177" spans="1:9" ht="13.7" customHeight="1">
      <c r="A177" s="488"/>
      <c r="B177" s="484" t="s">
        <v>2753</v>
      </c>
      <c r="C177" s="475"/>
      <c r="D177" s="1291" t="s">
        <v>1104</v>
      </c>
      <c r="E177" s="1291"/>
      <c r="F177" s="1291"/>
      <c r="G177" s="475"/>
      <c r="I177" s="489"/>
    </row>
    <row r="178" spans="1:9" ht="13.7" customHeight="1">
      <c r="A178" s="488"/>
      <c r="B178" s="488"/>
      <c r="C178" s="475"/>
      <c r="D178" s="1291"/>
      <c r="E178" s="1291"/>
      <c r="F178" s="1291"/>
      <c r="G178" s="475"/>
      <c r="I178" s="489"/>
    </row>
    <row r="179" spans="1:9" ht="13.7" customHeight="1">
      <c r="A179" s="488"/>
      <c r="B179" s="488"/>
      <c r="C179" s="475"/>
      <c r="D179" s="1291"/>
      <c r="E179" s="1291"/>
      <c r="F179" s="1291"/>
      <c r="G179" s="475"/>
      <c r="I179" s="489"/>
    </row>
    <row r="180" spans="1:9" ht="13.7" customHeight="1">
      <c r="A180" s="488"/>
      <c r="B180" s="488"/>
      <c r="C180" s="475"/>
      <c r="D180" s="1291"/>
      <c r="E180" s="1291"/>
      <c r="F180" s="1291"/>
      <c r="G180" s="475"/>
      <c r="I180" s="489"/>
    </row>
    <row r="181" spans="1:9" ht="13.7" customHeight="1">
      <c r="D181" s="445"/>
      <c r="E181" s="445"/>
      <c r="F181" s="445"/>
      <c r="I181" s="489"/>
    </row>
    <row r="182" spans="1:9" ht="13.7" hidden="1" customHeight="1">
      <c r="B182" s="484" t="s">
        <v>306</v>
      </c>
      <c r="D182" s="1335" t="s">
        <v>2008</v>
      </c>
      <c r="E182" s="1335"/>
      <c r="F182" s="1335"/>
      <c r="I182" s="489"/>
    </row>
    <row r="183" spans="1:9" ht="13.7" hidden="1" customHeight="1">
      <c r="D183" s="1335"/>
      <c r="E183" s="1335"/>
      <c r="F183" s="1335"/>
      <c r="I183" s="489"/>
    </row>
    <row r="184" spans="1:9" ht="13.7" hidden="1" customHeight="1">
      <c r="D184" s="1335"/>
      <c r="E184" s="1335"/>
      <c r="F184" s="1335"/>
      <c r="I184" s="489"/>
    </row>
    <row r="185" spans="1:9" ht="13.7" customHeight="1">
      <c r="A185" s="489"/>
      <c r="B185" s="489"/>
      <c r="E185" s="445"/>
      <c r="F185" s="445"/>
      <c r="I185" s="489"/>
    </row>
    <row r="186" spans="1:9">
      <c r="A186" s="1320" t="s">
        <v>2009</v>
      </c>
      <c r="B186" s="1320"/>
      <c r="C186" s="1320"/>
      <c r="D186" s="1320"/>
      <c r="E186" s="1320"/>
      <c r="F186" s="1320"/>
      <c r="G186" s="1320"/>
      <c r="H186" s="1022"/>
      <c r="I186" s="1146"/>
    </row>
    <row r="187" spans="1:9" ht="12" customHeight="1">
      <c r="D187" s="445"/>
      <c r="E187" s="445"/>
      <c r="F187" s="445"/>
      <c r="I187" s="489"/>
    </row>
    <row r="188" spans="1:9">
      <c r="B188" s="1325" t="s">
        <v>444</v>
      </c>
      <c r="C188" s="1325"/>
      <c r="D188" s="1325"/>
      <c r="E188" s="1325"/>
      <c r="F188" s="1325"/>
      <c r="I188" s="489"/>
    </row>
    <row r="189" spans="1:9">
      <c r="B189" s="391" t="s">
        <v>1847</v>
      </c>
      <c r="C189" s="391"/>
      <c r="D189" s="391"/>
      <c r="E189" s="391"/>
      <c r="F189" s="391"/>
      <c r="I189" s="489"/>
    </row>
    <row r="190" spans="1:9" ht="12" customHeight="1">
      <c r="A190" s="481"/>
      <c r="B190" s="481"/>
      <c r="C190" s="481"/>
      <c r="I190" s="489"/>
    </row>
    <row r="191" spans="1:9">
      <c r="A191" s="1320" t="s">
        <v>1043</v>
      </c>
      <c r="B191" s="1320"/>
      <c r="C191" s="1320"/>
      <c r="D191" s="1320"/>
      <c r="E191" s="1320"/>
      <c r="F191" s="1320"/>
      <c r="G191" s="1320"/>
      <c r="H191" s="1022"/>
      <c r="I191" s="1146"/>
    </row>
    <row r="192" spans="1:9" ht="12" customHeight="1">
      <c r="A192" s="403"/>
      <c r="B192" s="403"/>
      <c r="E192" s="403"/>
      <c r="I192" s="489"/>
    </row>
    <row r="193" spans="1:9" ht="13.7" customHeight="1">
      <c r="A193" s="403"/>
      <c r="B193" s="403"/>
      <c r="D193" s="1339" t="s">
        <v>1733</v>
      </c>
      <c r="E193" s="1339"/>
      <c r="F193" s="1339"/>
      <c r="I193" s="489"/>
    </row>
    <row r="194" spans="1:9">
      <c r="A194" s="403"/>
      <c r="B194" s="403"/>
      <c r="D194" s="1339"/>
      <c r="E194" s="1339"/>
      <c r="F194" s="1339"/>
      <c r="I194" s="489"/>
    </row>
    <row r="195" spans="1:9">
      <c r="A195" s="403"/>
      <c r="B195" s="403"/>
      <c r="D195" s="1325" t="s">
        <v>1193</v>
      </c>
      <c r="E195" s="1325"/>
      <c r="F195" s="1325"/>
      <c r="I195" s="489"/>
    </row>
    <row r="196" spans="1:9">
      <c r="A196" s="403"/>
      <c r="B196" s="403"/>
      <c r="D196" s="391"/>
      <c r="E196" s="391"/>
      <c r="F196" s="391"/>
      <c r="I196" s="489"/>
    </row>
    <row r="197" spans="1:9">
      <c r="A197" s="403"/>
      <c r="B197" s="484" t="s">
        <v>2752</v>
      </c>
      <c r="D197" s="1309" t="s">
        <v>1734</v>
      </c>
      <c r="E197" s="1309"/>
      <c r="F197" s="1309"/>
      <c r="I197" s="489"/>
    </row>
    <row r="198" spans="1:9">
      <c r="A198" s="403"/>
      <c r="B198" s="403"/>
      <c r="D198" s="1300" t="s">
        <v>1873</v>
      </c>
      <c r="E198" s="1300"/>
      <c r="F198" s="1300"/>
      <c r="I198" s="489"/>
    </row>
    <row r="199" spans="1:9">
      <c r="A199" s="403"/>
      <c r="B199" s="403"/>
      <c r="D199" s="96" t="s">
        <v>1735</v>
      </c>
      <c r="E199" s="1347" t="s">
        <v>1896</v>
      </c>
      <c r="F199" s="1347"/>
      <c r="I199" s="489"/>
    </row>
    <row r="200" spans="1:9">
      <c r="A200" s="403"/>
      <c r="B200" s="403"/>
      <c r="D200" s="3"/>
      <c r="E200" s="3"/>
      <c r="F200" s="3"/>
      <c r="I200" s="489"/>
    </row>
    <row r="201" spans="1:9">
      <c r="A201" s="403"/>
      <c r="B201" s="484" t="s">
        <v>2753</v>
      </c>
      <c r="D201" s="1300" t="s">
        <v>1736</v>
      </c>
      <c r="E201" s="1300"/>
      <c r="F201" s="1300"/>
      <c r="I201" s="489"/>
    </row>
    <row r="202" spans="1:9">
      <c r="A202" s="403"/>
      <c r="B202" s="403"/>
      <c r="D202" s="1309" t="s">
        <v>1873</v>
      </c>
      <c r="E202" s="1309"/>
      <c r="F202" s="1309"/>
      <c r="I202" s="489"/>
    </row>
    <row r="203" spans="1:9">
      <c r="A203" s="403"/>
      <c r="B203" s="403"/>
      <c r="D203" s="57" t="s">
        <v>1737</v>
      </c>
      <c r="E203" s="1347" t="s">
        <v>1897</v>
      </c>
      <c r="F203" s="1347"/>
      <c r="I203" s="489"/>
    </row>
    <row r="204" spans="1:9">
      <c r="A204" s="403"/>
      <c r="B204" s="403"/>
      <c r="D204" s="3"/>
      <c r="E204" s="3"/>
      <c r="F204" s="3"/>
      <c r="I204" s="489"/>
    </row>
    <row r="205" spans="1:9">
      <c r="A205" s="403"/>
      <c r="B205" s="484" t="s">
        <v>2753</v>
      </c>
      <c r="D205" s="1300" t="s">
        <v>1738</v>
      </c>
      <c r="E205" s="1300"/>
      <c r="F205" s="1300"/>
      <c r="I205" s="489"/>
    </row>
    <row r="206" spans="1:9">
      <c r="A206" s="403"/>
      <c r="B206" s="403"/>
      <c r="D206" s="1309" t="s">
        <v>1873</v>
      </c>
      <c r="E206" s="1309"/>
      <c r="F206" s="1309"/>
      <c r="I206" s="489"/>
    </row>
    <row r="207" spans="1:9">
      <c r="A207" s="403"/>
      <c r="B207" s="403"/>
      <c r="D207" s="57" t="s">
        <v>1735</v>
      </c>
      <c r="E207" s="1347" t="s">
        <v>1898</v>
      </c>
      <c r="F207" s="1347"/>
      <c r="I207" s="489"/>
    </row>
    <row r="208" spans="1:9">
      <c r="A208" s="403"/>
      <c r="B208" s="403"/>
      <c r="D208" s="391"/>
      <c r="E208" s="391"/>
      <c r="F208" s="391"/>
      <c r="I208" s="489"/>
    </row>
    <row r="209" spans="1:9" ht="14.25" customHeight="1">
      <c r="A209" s="483"/>
      <c r="B209" s="484" t="s">
        <v>2753</v>
      </c>
      <c r="D209" s="385" t="s">
        <v>1866</v>
      </c>
      <c r="E209" s="384"/>
      <c r="F209" s="384"/>
      <c r="I209" s="489"/>
    </row>
    <row r="210" spans="1:9" ht="14.25">
      <c r="A210" s="483"/>
      <c r="B210" s="483"/>
      <c r="D210" s="1309" t="s">
        <v>1873</v>
      </c>
      <c r="E210" s="1309"/>
      <c r="F210" s="1309"/>
      <c r="I210" s="489"/>
    </row>
    <row r="211" spans="1:9">
      <c r="D211" s="384"/>
      <c r="E211" s="1347" t="s">
        <v>1899</v>
      </c>
      <c r="F211" s="1347"/>
      <c r="I211" s="489"/>
    </row>
    <row r="212" spans="1:9">
      <c r="D212" s="446"/>
      <c r="I212" s="489"/>
    </row>
    <row r="213" spans="1:9">
      <c r="B213" s="484" t="s">
        <v>2753</v>
      </c>
      <c r="D213" s="1300" t="s">
        <v>1739</v>
      </c>
      <c r="E213" s="1300"/>
      <c r="F213" s="1300"/>
      <c r="I213" s="489"/>
    </row>
    <row r="214" spans="1:9">
      <c r="D214" s="1309" t="s">
        <v>1873</v>
      </c>
      <c r="E214" s="1309"/>
      <c r="F214" s="1309"/>
      <c r="I214" s="489"/>
    </row>
    <row r="215" spans="1:9">
      <c r="D215" s="57" t="s">
        <v>1735</v>
      </c>
      <c r="E215" s="1347" t="s">
        <v>1900</v>
      </c>
      <c r="F215" s="1347"/>
      <c r="I215" s="489"/>
    </row>
    <row r="216" spans="1:9">
      <c r="D216" s="450"/>
      <c r="E216" s="450"/>
      <c r="F216" s="450"/>
      <c r="I216" s="489"/>
    </row>
    <row r="217" spans="1:9" ht="14.25">
      <c r="A217" s="483"/>
      <c r="B217" s="484" t="s">
        <v>2753</v>
      </c>
      <c r="D217" s="1319" t="s">
        <v>1214</v>
      </c>
      <c r="E217" s="1319"/>
      <c r="F217" s="1319"/>
      <c r="I217" s="489"/>
    </row>
    <row r="218" spans="1:9" ht="14.45" customHeight="1">
      <c r="A218" s="483"/>
      <c r="B218" s="401"/>
      <c r="D218" s="1319"/>
      <c r="E218" s="1319"/>
      <c r="F218" s="1319"/>
      <c r="I218" s="489"/>
    </row>
    <row r="219" spans="1:9" ht="14.25">
      <c r="A219" s="483"/>
      <c r="D219" s="1319"/>
      <c r="E219" s="1319"/>
      <c r="F219" s="1319"/>
      <c r="I219" s="489"/>
    </row>
    <row r="220" spans="1:9" ht="14.25">
      <c r="A220" s="483"/>
      <c r="D220" s="1319"/>
      <c r="E220" s="1319"/>
      <c r="F220" s="1319"/>
      <c r="I220" s="489"/>
    </row>
    <row r="221" spans="1:9">
      <c r="D221" s="450"/>
      <c r="E221" s="450"/>
      <c r="F221" s="450"/>
      <c r="I221" s="489"/>
    </row>
    <row r="222" spans="1:9">
      <c r="A222" s="1320" t="s">
        <v>1044</v>
      </c>
      <c r="B222" s="1320"/>
      <c r="C222" s="1320"/>
      <c r="D222" s="1320"/>
      <c r="E222" s="1320"/>
      <c r="F222" s="1320"/>
      <c r="G222" s="1320"/>
      <c r="H222" s="1022"/>
      <c r="I222" s="1146"/>
    </row>
    <row r="223" spans="1:9" ht="12" customHeight="1">
      <c r="D223" s="445"/>
      <c r="E223" s="445"/>
      <c r="F223" s="445"/>
      <c r="I223" s="489"/>
    </row>
    <row r="224" spans="1:9">
      <c r="C224" s="485"/>
      <c r="D224" s="1322" t="s">
        <v>207</v>
      </c>
      <c r="E224" s="1322"/>
      <c r="F224" s="1322"/>
      <c r="I224" s="489"/>
    </row>
    <row r="225" spans="1:9">
      <c r="A225" s="481"/>
      <c r="B225" s="481"/>
      <c r="C225" s="481"/>
      <c r="D225" s="1321" t="s">
        <v>1118</v>
      </c>
      <c r="E225" s="1321"/>
      <c r="F225" s="1321"/>
      <c r="I225" s="489"/>
    </row>
    <row r="226" spans="1:9" ht="12" customHeight="1">
      <c r="A226" s="489"/>
      <c r="B226" s="489"/>
      <c r="C226" s="489"/>
      <c r="I226" s="489"/>
    </row>
    <row r="227" spans="1:9" ht="13.7" customHeight="1">
      <c r="A227" s="489"/>
      <c r="C227" s="489"/>
      <c r="D227" s="1322" t="s">
        <v>544</v>
      </c>
      <c r="E227" s="1322"/>
      <c r="F227" s="1322"/>
      <c r="I227" s="489"/>
    </row>
    <row r="228" spans="1:9" ht="14.25">
      <c r="A228" s="483"/>
      <c r="B228" s="484" t="s">
        <v>2752</v>
      </c>
      <c r="D228" s="1319" t="s">
        <v>1740</v>
      </c>
      <c r="E228" s="1319"/>
      <c r="F228" s="1319"/>
      <c r="I228" s="489"/>
    </row>
    <row r="229" spans="1:9" ht="14.25" customHeight="1">
      <c r="A229" s="483"/>
      <c r="B229" s="483"/>
      <c r="D229" s="1319"/>
      <c r="E229" s="1319"/>
      <c r="F229" s="1319"/>
      <c r="I229" s="489"/>
    </row>
    <row r="230" spans="1:9" ht="14.25" customHeight="1">
      <c r="A230" s="483"/>
      <c r="B230" s="483"/>
      <c r="D230" s="1319"/>
      <c r="E230" s="1319"/>
      <c r="F230" s="1319"/>
      <c r="I230" s="489"/>
    </row>
    <row r="231" spans="1:9" ht="14.25">
      <c r="A231" s="483"/>
      <c r="B231" s="483"/>
      <c r="D231" s="1319"/>
      <c r="E231" s="1319"/>
      <c r="F231" s="1319"/>
      <c r="I231" s="489"/>
    </row>
    <row r="232" spans="1:9" ht="14.25">
      <c r="A232" s="483"/>
      <c r="B232" s="483"/>
      <c r="D232" s="444"/>
      <c r="E232" s="444"/>
      <c r="F232" s="444"/>
      <c r="I232" s="489"/>
    </row>
    <row r="233" spans="1:9" ht="14.25">
      <c r="A233" s="483"/>
      <c r="B233" s="484" t="s">
        <v>2752</v>
      </c>
      <c r="D233" s="1319" t="s">
        <v>1741</v>
      </c>
      <c r="E233" s="1319"/>
      <c r="F233" s="1319"/>
      <c r="I233" s="489"/>
    </row>
    <row r="234" spans="1:9" ht="14.25">
      <c r="A234" s="483"/>
      <c r="B234" s="483"/>
      <c r="D234" s="1319"/>
      <c r="E234" s="1319"/>
      <c r="F234" s="1319"/>
      <c r="I234" s="489"/>
    </row>
    <row r="235" spans="1:9" ht="14.25">
      <c r="A235" s="483"/>
      <c r="B235" s="483"/>
      <c r="D235" s="1319"/>
      <c r="E235" s="1319"/>
      <c r="F235" s="1319"/>
      <c r="I235" s="489"/>
    </row>
    <row r="236" spans="1:9" ht="14.25">
      <c r="A236" s="483"/>
      <c r="B236" s="483"/>
      <c r="D236" s="1319"/>
      <c r="E236" s="1319"/>
      <c r="F236" s="1319"/>
      <c r="I236" s="489"/>
    </row>
    <row r="237" spans="1:9" ht="14.25" customHeight="1">
      <c r="A237" s="483"/>
      <c r="B237" s="483"/>
      <c r="D237" s="1319"/>
      <c r="E237" s="1319"/>
      <c r="F237" s="1319"/>
      <c r="I237" s="489"/>
    </row>
    <row r="238" spans="1:9" ht="14.25" customHeight="1">
      <c r="A238" s="483"/>
      <c r="B238" s="483"/>
      <c r="D238" s="444"/>
      <c r="E238" s="444"/>
      <c r="F238" s="444"/>
      <c r="I238" s="489"/>
    </row>
    <row r="239" spans="1:9" ht="14.25">
      <c r="A239" s="483"/>
      <c r="B239" s="483"/>
      <c r="D239" s="1319" t="s">
        <v>1116</v>
      </c>
      <c r="E239" s="1319"/>
      <c r="F239" s="1319"/>
      <c r="I239" s="489"/>
    </row>
    <row r="240" spans="1:9" ht="14.25">
      <c r="A240" s="483"/>
      <c r="B240" s="483"/>
      <c r="D240" s="1319"/>
      <c r="E240" s="1319"/>
      <c r="F240" s="1319"/>
      <c r="I240" s="489"/>
    </row>
    <row r="241" spans="1:9" ht="14.25">
      <c r="A241" s="483"/>
      <c r="B241" s="483"/>
      <c r="D241" s="1319"/>
      <c r="E241" s="1319"/>
      <c r="F241" s="1319"/>
      <c r="I241" s="489"/>
    </row>
    <row r="242" spans="1:9" ht="14.25">
      <c r="A242" s="483"/>
      <c r="B242" s="483"/>
      <c r="D242" s="1319"/>
      <c r="E242" s="1319"/>
      <c r="F242" s="1319"/>
      <c r="I242" s="489"/>
    </row>
    <row r="243" spans="1:9" ht="14.25">
      <c r="A243" s="483"/>
      <c r="B243" s="483"/>
      <c r="D243" s="1319"/>
      <c r="E243" s="1319"/>
      <c r="F243" s="1319"/>
      <c r="I243" s="489"/>
    </row>
    <row r="244" spans="1:9" ht="14.25">
      <c r="A244" s="483"/>
      <c r="B244" s="483"/>
      <c r="D244" s="445"/>
      <c r="E244" s="445"/>
      <c r="F244" s="445"/>
      <c r="I244" s="489"/>
    </row>
    <row r="245" spans="1:9" ht="14.25">
      <c r="A245" s="483"/>
      <c r="B245" s="484" t="s">
        <v>2752</v>
      </c>
      <c r="D245" s="1319" t="s">
        <v>2010</v>
      </c>
      <c r="E245" s="1319"/>
      <c r="F245" s="1319"/>
      <c r="I245" s="489"/>
    </row>
    <row r="246" spans="1:9" ht="14.25">
      <c r="A246" s="483"/>
      <c r="B246" s="483"/>
      <c r="D246" s="1319"/>
      <c r="E246" s="1319"/>
      <c r="F246" s="1319"/>
      <c r="I246" s="489"/>
    </row>
    <row r="247" spans="1:9" ht="14.25">
      <c r="A247" s="483"/>
      <c r="B247" s="483"/>
      <c r="D247" s="1319"/>
      <c r="E247" s="1319"/>
      <c r="F247" s="1319"/>
      <c r="I247" s="489"/>
    </row>
    <row r="248" spans="1:9" ht="14.25">
      <c r="A248" s="483"/>
      <c r="B248" s="483"/>
      <c r="E248" s="1030" t="s">
        <v>1867</v>
      </c>
      <c r="I248" s="489"/>
    </row>
    <row r="249" spans="1:9" ht="14.25">
      <c r="A249" s="483"/>
      <c r="B249" s="483"/>
      <c r="D249" s="445"/>
      <c r="E249" s="445"/>
      <c r="F249" s="445"/>
      <c r="I249" s="489"/>
    </row>
    <row r="250" spans="1:9" ht="14.45" customHeight="1">
      <c r="A250" s="483"/>
      <c r="B250" s="484" t="s">
        <v>2753</v>
      </c>
      <c r="D250" s="1319" t="s">
        <v>2011</v>
      </c>
      <c r="E250" s="1319"/>
      <c r="F250" s="1319"/>
      <c r="I250" s="489"/>
    </row>
    <row r="251" spans="1:9" ht="14.25">
      <c r="A251" s="483"/>
      <c r="B251" s="483"/>
      <c r="D251" s="1319"/>
      <c r="E251" s="1319"/>
      <c r="F251" s="1319"/>
      <c r="I251" s="489"/>
    </row>
    <row r="252" spans="1:9" ht="14.25">
      <c r="A252" s="483"/>
      <c r="B252" s="483"/>
      <c r="D252" s="1319"/>
      <c r="E252" s="1319"/>
      <c r="F252" s="1319"/>
      <c r="I252" s="489"/>
    </row>
    <row r="253" spans="1:9" ht="14.25">
      <c r="A253" s="483"/>
      <c r="B253" s="483"/>
      <c r="D253" s="1319"/>
      <c r="E253" s="1319"/>
      <c r="F253" s="1319"/>
      <c r="I253" s="489"/>
    </row>
    <row r="254" spans="1:9" ht="14.25">
      <c r="A254" s="483"/>
      <c r="B254" s="483"/>
      <c r="D254" s="1319"/>
      <c r="E254" s="1319"/>
      <c r="F254" s="1319"/>
      <c r="I254" s="489"/>
    </row>
    <row r="255" spans="1:9" ht="14.25">
      <c r="A255" s="483"/>
      <c r="B255" s="483"/>
      <c r="D255" s="444"/>
      <c r="E255" s="444"/>
      <c r="F255" s="444"/>
      <c r="I255" s="489"/>
    </row>
    <row r="256" spans="1:9" ht="14.25">
      <c r="A256" s="483"/>
      <c r="B256" s="484" t="s">
        <v>2752</v>
      </c>
      <c r="D256" s="391" t="s">
        <v>2012</v>
      </c>
      <c r="E256" s="444"/>
      <c r="F256" s="444"/>
      <c r="I256" s="489"/>
    </row>
    <row r="257" spans="1:9" ht="14.25">
      <c r="A257" s="483"/>
      <c r="B257" s="483"/>
      <c r="E257" s="1030" t="s">
        <v>1868</v>
      </c>
      <c r="I257" s="489"/>
    </row>
    <row r="258" spans="1:9">
      <c r="D258" s="445"/>
      <c r="E258" s="445"/>
      <c r="F258" s="445"/>
      <c r="I258" s="489"/>
    </row>
    <row r="259" spans="1:9" ht="14.25">
      <c r="A259" s="483"/>
      <c r="B259" s="484" t="s">
        <v>2752</v>
      </c>
      <c r="D259" s="1319" t="s">
        <v>1117</v>
      </c>
      <c r="E259" s="1319"/>
      <c r="F259" s="1319"/>
      <c r="I259" s="489"/>
    </row>
    <row r="260" spans="1:9" ht="14.25">
      <c r="A260" s="483"/>
      <c r="B260" s="483"/>
      <c r="D260" s="1319"/>
      <c r="E260" s="1319"/>
      <c r="F260" s="1319"/>
      <c r="I260" s="489"/>
    </row>
    <row r="261" spans="1:9">
      <c r="D261" s="490"/>
      <c r="I261" s="489"/>
    </row>
    <row r="262" spans="1:9">
      <c r="A262" s="1320" t="s">
        <v>1045</v>
      </c>
      <c r="B262" s="1320"/>
      <c r="C262" s="1320"/>
      <c r="D262" s="1320"/>
      <c r="E262" s="1320"/>
      <c r="F262" s="1320"/>
      <c r="G262" s="1320"/>
      <c r="H262" s="1022"/>
      <c r="I262" s="1146"/>
    </row>
    <row r="263" spans="1:9">
      <c r="D263" s="490"/>
      <c r="I263" s="489"/>
    </row>
    <row r="264" spans="1:9">
      <c r="C264" s="485"/>
      <c r="D264" s="1322" t="s">
        <v>1119</v>
      </c>
      <c r="E264" s="1322"/>
      <c r="F264" s="1322"/>
      <c r="I264" s="489"/>
    </row>
    <row r="265" spans="1:9">
      <c r="A265" s="481"/>
      <c r="B265" s="481"/>
      <c r="C265" s="481"/>
      <c r="D265" s="445"/>
      <c r="E265" s="445"/>
      <c r="F265" s="445"/>
      <c r="I265" s="489"/>
    </row>
    <row r="266" spans="1:9">
      <c r="A266" s="482"/>
      <c r="B266" s="482"/>
      <c r="C266" s="482"/>
      <c r="D266" s="1322" t="s">
        <v>268</v>
      </c>
      <c r="E266" s="1322"/>
      <c r="F266" s="1322"/>
      <c r="I266" s="489"/>
    </row>
    <row r="267" spans="1:9" ht="14.45" customHeight="1">
      <c r="A267" s="483"/>
      <c r="B267" s="484" t="s">
        <v>2752</v>
      </c>
      <c r="D267" s="1319" t="s">
        <v>1194</v>
      </c>
      <c r="E267" s="1319"/>
      <c r="F267" s="1319"/>
      <c r="I267" s="489"/>
    </row>
    <row r="268" spans="1:9">
      <c r="D268" s="1319"/>
      <c r="E268" s="1319"/>
      <c r="F268" s="1319"/>
      <c r="I268" s="489"/>
    </row>
    <row r="269" spans="1:9">
      <c r="E269" s="1030" t="s">
        <v>1869</v>
      </c>
      <c r="I269" s="489"/>
    </row>
    <row r="270" spans="1:9">
      <c r="D270" s="445"/>
      <c r="E270" s="445"/>
      <c r="F270" s="445"/>
      <c r="I270" s="489"/>
    </row>
    <row r="271" spans="1:9" ht="14.45" customHeight="1">
      <c r="A271" s="483"/>
      <c r="B271" s="484" t="s">
        <v>2753</v>
      </c>
      <c r="D271" s="1319" t="s">
        <v>2013</v>
      </c>
      <c r="E271" s="1319"/>
      <c r="F271" s="1319"/>
      <c r="I271" s="489"/>
    </row>
    <row r="272" spans="1:9">
      <c r="D272" s="1319"/>
      <c r="E272" s="1319"/>
      <c r="F272" s="1319"/>
      <c r="I272" s="489"/>
    </row>
    <row r="273" spans="1:9">
      <c r="D273" s="1319"/>
      <c r="E273" s="1319"/>
      <c r="F273" s="1319"/>
      <c r="I273" s="489"/>
    </row>
    <row r="274" spans="1:9">
      <c r="D274" s="1319"/>
      <c r="E274" s="1319"/>
      <c r="F274" s="1319"/>
      <c r="I274" s="489"/>
    </row>
    <row r="275" spans="1:9">
      <c r="D275" s="1319"/>
      <c r="E275" s="1319"/>
      <c r="F275" s="1319"/>
      <c r="I275" s="489"/>
    </row>
    <row r="276" spans="1:9">
      <c r="D276" s="1319"/>
      <c r="E276" s="1319"/>
      <c r="F276" s="1319"/>
      <c r="I276" s="489"/>
    </row>
    <row r="277" spans="1:9">
      <c r="D277" s="445"/>
      <c r="E277" s="445"/>
      <c r="F277" s="445"/>
      <c r="I277" s="489"/>
    </row>
    <row r="278" spans="1:9" ht="14.25">
      <c r="A278" s="483"/>
      <c r="B278" s="484" t="s">
        <v>2753</v>
      </c>
      <c r="D278" s="1319" t="s">
        <v>1120</v>
      </c>
      <c r="E278" s="1319"/>
      <c r="F278" s="1319"/>
      <c r="I278" s="489"/>
    </row>
    <row r="279" spans="1:9">
      <c r="D279" s="1319"/>
      <c r="E279" s="1319"/>
      <c r="F279" s="1319"/>
      <c r="I279" s="489"/>
    </row>
    <row r="280" spans="1:9">
      <c r="D280" s="1319"/>
      <c r="E280" s="1319"/>
      <c r="F280" s="1319"/>
      <c r="I280" s="489"/>
    </row>
    <row r="281" spans="1:9">
      <c r="D281" s="491"/>
      <c r="E281" s="445"/>
      <c r="F281" s="445"/>
      <c r="I281" s="489"/>
    </row>
    <row r="282" spans="1:9">
      <c r="A282" s="1320" t="s">
        <v>1046</v>
      </c>
      <c r="B282" s="1320"/>
      <c r="C282" s="1320"/>
      <c r="D282" s="1320"/>
      <c r="E282" s="1320"/>
      <c r="F282" s="1320"/>
      <c r="G282" s="1320"/>
      <c r="H282" s="1022"/>
      <c r="I282" s="1146"/>
    </row>
    <row r="283" spans="1:9">
      <c r="D283" s="491"/>
      <c r="E283" s="445"/>
      <c r="F283" s="445"/>
      <c r="I283" s="489"/>
    </row>
    <row r="284" spans="1:9">
      <c r="C284" s="481"/>
      <c r="D284" s="1339" t="s">
        <v>1121</v>
      </c>
      <c r="E284" s="1339"/>
      <c r="F284" s="1339"/>
      <c r="I284" s="489"/>
    </row>
    <row r="285" spans="1:9">
      <c r="C285" s="481"/>
      <c r="D285" s="1339"/>
      <c r="E285" s="1339"/>
      <c r="F285" s="1339"/>
      <c r="I285" s="489"/>
    </row>
    <row r="286" spans="1:9">
      <c r="A286" s="482"/>
      <c r="B286" s="482"/>
      <c r="C286" s="482"/>
      <c r="D286" s="403"/>
      <c r="I286" s="489"/>
    </row>
    <row r="287" spans="1:9">
      <c r="C287" s="482"/>
      <c r="D287" s="1322" t="s">
        <v>208</v>
      </c>
      <c r="E287" s="1322"/>
      <c r="F287" s="1322"/>
      <c r="I287" s="489"/>
    </row>
    <row r="288" spans="1:9" ht="15.75" customHeight="1">
      <c r="A288" s="483"/>
      <c r="B288" s="483"/>
      <c r="D288" s="1348" t="s">
        <v>1122</v>
      </c>
      <c r="E288" s="1348"/>
      <c r="F288" s="1348"/>
      <c r="I288" s="489"/>
    </row>
    <row r="289" spans="1:9">
      <c r="E289" s="445"/>
      <c r="F289" s="445"/>
      <c r="I289" s="489"/>
    </row>
    <row r="290" spans="1:9" ht="14.25">
      <c r="A290" s="483"/>
      <c r="B290" s="484" t="s">
        <v>2753</v>
      </c>
      <c r="D290" s="1319" t="s">
        <v>1123</v>
      </c>
      <c r="E290" s="1319"/>
      <c r="F290" s="1319"/>
      <c r="I290" s="489"/>
    </row>
    <row r="291" spans="1:9" ht="14.25">
      <c r="A291" s="483"/>
      <c r="B291" s="483"/>
      <c r="D291" s="1319"/>
      <c r="E291" s="1319"/>
      <c r="F291" s="1319"/>
      <c r="I291" s="489"/>
    </row>
    <row r="292" spans="1:9">
      <c r="D292" s="445"/>
      <c r="E292" s="445"/>
      <c r="F292" s="445"/>
      <c r="I292" s="489"/>
    </row>
    <row r="293" spans="1:9" ht="14.25">
      <c r="A293" s="483"/>
      <c r="B293" s="484" t="s">
        <v>2753</v>
      </c>
      <c r="D293" s="1319" t="s">
        <v>1124</v>
      </c>
      <c r="E293" s="1319"/>
      <c r="F293" s="1319"/>
      <c r="I293" s="489"/>
    </row>
    <row r="294" spans="1:9" ht="14.25">
      <c r="A294" s="483"/>
      <c r="B294" s="483"/>
      <c r="D294" s="1319"/>
      <c r="E294" s="1319"/>
      <c r="F294" s="1319"/>
      <c r="I294" s="489"/>
    </row>
    <row r="295" spans="1:9" ht="14.25">
      <c r="A295" s="483"/>
      <c r="B295" s="483"/>
      <c r="D295" s="1319"/>
      <c r="E295" s="1319"/>
      <c r="F295" s="1319"/>
      <c r="I295" s="489"/>
    </row>
    <row r="296" spans="1:9">
      <c r="D296" s="445"/>
      <c r="E296" s="445"/>
      <c r="F296" s="445"/>
      <c r="I296" s="489"/>
    </row>
    <row r="297" spans="1:9" ht="14.25">
      <c r="A297" s="483"/>
      <c r="B297" s="484" t="s">
        <v>2753</v>
      </c>
      <c r="D297" s="1319" t="s">
        <v>1125</v>
      </c>
      <c r="E297" s="1319"/>
      <c r="F297" s="1319"/>
      <c r="I297" s="489"/>
    </row>
    <row r="298" spans="1:9" ht="14.25">
      <c r="A298" s="483"/>
      <c r="B298" s="483"/>
      <c r="D298" s="1319"/>
      <c r="E298" s="1319"/>
      <c r="F298" s="1319"/>
      <c r="I298" s="489"/>
    </row>
    <row r="299" spans="1:9">
      <c r="A299" s="489"/>
      <c r="B299" s="489"/>
      <c r="E299" s="445"/>
      <c r="F299" s="445"/>
      <c r="I299" s="489"/>
    </row>
    <row r="300" spans="1:9">
      <c r="A300" s="1320" t="s">
        <v>1047</v>
      </c>
      <c r="B300" s="1320"/>
      <c r="C300" s="1320"/>
      <c r="D300" s="1320"/>
      <c r="E300" s="1320"/>
      <c r="F300" s="1320"/>
      <c r="G300" s="1320"/>
      <c r="H300" s="1022"/>
      <c r="I300" s="1146"/>
    </row>
    <row r="301" spans="1:9">
      <c r="A301" s="489"/>
      <c r="B301" s="489"/>
      <c r="D301" s="445"/>
      <c r="E301" s="445"/>
      <c r="F301" s="445"/>
      <c r="I301" s="489"/>
    </row>
    <row r="302" spans="1:9">
      <c r="C302" s="489"/>
      <c r="D302" s="1322" t="s">
        <v>680</v>
      </c>
      <c r="E302" s="1322"/>
      <c r="F302" s="1322"/>
      <c r="I302" s="489"/>
    </row>
    <row r="303" spans="1:9">
      <c r="C303" s="489"/>
      <c r="D303" s="1321" t="s">
        <v>1126</v>
      </c>
      <c r="E303" s="1321"/>
      <c r="F303" s="1321"/>
      <c r="I303" s="489"/>
    </row>
    <row r="304" spans="1:9">
      <c r="C304" s="489"/>
      <c r="D304" s="492"/>
      <c r="I304" s="489"/>
    </row>
    <row r="305" spans="1:9">
      <c r="B305" s="484" t="s">
        <v>2753</v>
      </c>
      <c r="D305" s="1321" t="s">
        <v>1127</v>
      </c>
      <c r="E305" s="1321"/>
      <c r="F305" s="1321"/>
      <c r="I305" s="489"/>
    </row>
    <row r="306" spans="1:9" ht="14.25">
      <c r="A306" s="483"/>
      <c r="B306" s="483"/>
      <c r="D306" s="493"/>
      <c r="E306" s="494"/>
      <c r="F306" s="494"/>
      <c r="I306" s="489"/>
    </row>
    <row r="307" spans="1:9" ht="13.7" customHeight="1">
      <c r="B307" s="484" t="s">
        <v>2753</v>
      </c>
      <c r="D307" s="1332" t="s">
        <v>1217</v>
      </c>
      <c r="E307" s="1332"/>
      <c r="F307" s="1332"/>
      <c r="I307" s="489"/>
    </row>
    <row r="308" spans="1:9" ht="14.25">
      <c r="A308" s="483"/>
      <c r="B308" s="483"/>
      <c r="D308" s="1332"/>
      <c r="E308" s="1332"/>
      <c r="F308" s="1332"/>
      <c r="I308" s="489"/>
    </row>
    <row r="309" spans="1:9" ht="14.25">
      <c r="A309" s="483"/>
      <c r="B309" s="483"/>
      <c r="D309" s="1332"/>
      <c r="E309" s="1332"/>
      <c r="F309" s="1332"/>
      <c r="I309" s="489"/>
    </row>
    <row r="310" spans="1:9" ht="14.25">
      <c r="A310" s="483"/>
      <c r="B310" s="483"/>
      <c r="D310" s="1332"/>
      <c r="E310" s="1332"/>
      <c r="F310" s="1332"/>
      <c r="I310" s="489"/>
    </row>
    <row r="311" spans="1:9" ht="14.25">
      <c r="A311" s="483"/>
      <c r="B311" s="483"/>
      <c r="D311" s="1332"/>
      <c r="E311" s="1332"/>
      <c r="F311" s="1332"/>
      <c r="I311" s="489"/>
    </row>
    <row r="312" spans="1:9" ht="14.25">
      <c r="A312" s="483"/>
      <c r="B312" s="483"/>
      <c r="D312" s="493"/>
      <c r="E312" s="494"/>
      <c r="F312" s="494"/>
      <c r="I312" s="489"/>
    </row>
    <row r="313" spans="1:9" ht="13.7" customHeight="1">
      <c r="B313" s="484" t="s">
        <v>2753</v>
      </c>
      <c r="D313" s="1332" t="s">
        <v>1128</v>
      </c>
      <c r="E313" s="1332"/>
      <c r="F313" s="1332"/>
      <c r="I313" s="489"/>
    </row>
    <row r="314" spans="1:9">
      <c r="D314" s="1332"/>
      <c r="E314" s="1332"/>
      <c r="F314" s="1332"/>
      <c r="I314" s="489"/>
    </row>
    <row r="315" spans="1:9" ht="14.25">
      <c r="A315" s="483"/>
      <c r="B315" s="483"/>
      <c r="D315" s="493"/>
      <c r="E315" s="494"/>
      <c r="F315" s="494"/>
      <c r="I315" s="489"/>
    </row>
    <row r="316" spans="1:9">
      <c r="B316" s="484" t="s">
        <v>2753</v>
      </c>
      <c r="D316" s="1321" t="s">
        <v>1129</v>
      </c>
      <c r="E316" s="1321"/>
      <c r="F316" s="1321"/>
      <c r="I316" s="489"/>
    </row>
    <row r="317" spans="1:9">
      <c r="E317" s="445"/>
      <c r="F317" s="445"/>
      <c r="I317" s="489"/>
    </row>
    <row r="318" spans="1:9" ht="14.25">
      <c r="A318" s="483"/>
      <c r="B318" s="484" t="s">
        <v>2753</v>
      </c>
      <c r="D318" s="1319" t="s">
        <v>2196</v>
      </c>
      <c r="E318" s="1319"/>
      <c r="F318" s="1319"/>
      <c r="I318" s="489"/>
    </row>
    <row r="319" spans="1:9" ht="14.25">
      <c r="A319" s="483"/>
      <c r="B319" s="483"/>
      <c r="D319" s="1319"/>
      <c r="E319" s="1319"/>
      <c r="F319" s="1319"/>
      <c r="I319" s="489"/>
    </row>
    <row r="320" spans="1:9" ht="14.25">
      <c r="A320" s="483"/>
      <c r="B320" s="483"/>
      <c r="D320" s="1319"/>
      <c r="E320" s="1319"/>
      <c r="F320" s="1319"/>
      <c r="I320" s="489"/>
    </row>
    <row r="321" spans="1:9" ht="14.25">
      <c r="A321" s="483"/>
      <c r="B321" s="483"/>
      <c r="D321" s="1319"/>
      <c r="E321" s="1319"/>
      <c r="F321" s="1319"/>
      <c r="I321" s="489"/>
    </row>
    <row r="322" spans="1:9" ht="14.25">
      <c r="A322" s="483"/>
      <c r="B322" s="483"/>
      <c r="D322" s="1319"/>
      <c r="E322" s="1319"/>
      <c r="F322" s="1319"/>
      <c r="I322" s="489"/>
    </row>
    <row r="323" spans="1:9" ht="14.25">
      <c r="A323" s="483"/>
      <c r="B323" s="483"/>
      <c r="D323" s="1319"/>
      <c r="E323" s="1319"/>
      <c r="F323" s="1319"/>
      <c r="I323" s="489"/>
    </row>
    <row r="324" spans="1:9" ht="14.25">
      <c r="A324" s="483"/>
      <c r="B324" s="483"/>
      <c r="D324" s="1319"/>
      <c r="E324" s="1319"/>
      <c r="F324" s="1319"/>
      <c r="I324" s="489"/>
    </row>
    <row r="325" spans="1:9" ht="14.25">
      <c r="A325" s="483"/>
      <c r="B325" s="483"/>
      <c r="D325" s="1319"/>
      <c r="E325" s="1319"/>
      <c r="F325" s="1319"/>
      <c r="I325" s="489"/>
    </row>
    <row r="326" spans="1:9" ht="14.25">
      <c r="A326" s="483"/>
      <c r="B326" s="483"/>
      <c r="D326" s="1319"/>
      <c r="E326" s="1319"/>
      <c r="F326" s="1319"/>
      <c r="I326" s="489"/>
    </row>
    <row r="327" spans="1:9" ht="14.25">
      <c r="A327" s="483"/>
      <c r="B327" s="483"/>
      <c r="D327" s="1319"/>
      <c r="E327" s="1319"/>
      <c r="F327" s="1319"/>
      <c r="I327" s="489"/>
    </row>
    <row r="328" spans="1:9" ht="14.25">
      <c r="A328" s="483"/>
      <c r="B328" s="483"/>
      <c r="D328" s="1319"/>
      <c r="E328" s="1319"/>
      <c r="F328" s="1319"/>
      <c r="I328" s="489"/>
    </row>
    <row r="329" spans="1:9" ht="14.25">
      <c r="A329" s="483"/>
      <c r="B329" s="483"/>
      <c r="D329" s="1319"/>
      <c r="E329" s="1319"/>
      <c r="F329" s="1319"/>
      <c r="I329" s="489"/>
    </row>
    <row r="330" spans="1:9" ht="14.25">
      <c r="A330" s="483"/>
      <c r="B330" s="483"/>
      <c r="D330" s="1319"/>
      <c r="E330" s="1319"/>
      <c r="F330" s="1319"/>
      <c r="I330" s="489"/>
    </row>
    <row r="331" spans="1:9" ht="14.25">
      <c r="A331" s="483"/>
      <c r="B331" s="483"/>
      <c r="D331" s="1319"/>
      <c r="E331" s="1319"/>
      <c r="F331" s="1319"/>
      <c r="I331" s="489"/>
    </row>
    <row r="332" spans="1:9" ht="14.25">
      <c r="A332" s="483"/>
      <c r="B332" s="483"/>
      <c r="D332" s="1319"/>
      <c r="E332" s="1319"/>
      <c r="F332" s="1319"/>
      <c r="I332" s="489"/>
    </row>
    <row r="333" spans="1:9">
      <c r="D333" s="445"/>
      <c r="E333" s="445"/>
      <c r="F333" s="445"/>
      <c r="I333" s="489"/>
    </row>
    <row r="334" spans="1:9" ht="14.25">
      <c r="A334" s="483"/>
      <c r="B334" s="484" t="s">
        <v>2753</v>
      </c>
      <c r="D334" s="1319" t="s">
        <v>1130</v>
      </c>
      <c r="E334" s="1319"/>
      <c r="F334" s="1319"/>
      <c r="I334" s="489"/>
    </row>
    <row r="335" spans="1:9">
      <c r="D335" s="1319"/>
      <c r="E335" s="1319"/>
      <c r="F335" s="1319"/>
      <c r="I335" s="489"/>
    </row>
    <row r="336" spans="1:9">
      <c r="D336" s="1319"/>
      <c r="E336" s="1319"/>
      <c r="F336" s="1319"/>
      <c r="I336" s="489"/>
    </row>
    <row r="337" spans="1:9">
      <c r="D337" s="1319"/>
      <c r="E337" s="1319"/>
      <c r="F337" s="1319"/>
      <c r="I337" s="489"/>
    </row>
    <row r="338" spans="1:9">
      <c r="D338" s="1319"/>
      <c r="E338" s="1319"/>
      <c r="F338" s="1319"/>
      <c r="I338" s="489"/>
    </row>
    <row r="339" spans="1:9">
      <c r="D339" s="1319"/>
      <c r="E339" s="1319"/>
      <c r="F339" s="1319"/>
      <c r="I339" s="489"/>
    </row>
    <row r="340" spans="1:9">
      <c r="D340" s="1319"/>
      <c r="E340" s="1319"/>
      <c r="F340" s="1319"/>
      <c r="I340" s="489"/>
    </row>
    <row r="341" spans="1:9">
      <c r="D341" s="1319"/>
      <c r="E341" s="1319"/>
      <c r="F341" s="1319"/>
      <c r="I341" s="489"/>
    </row>
    <row r="342" spans="1:9">
      <c r="D342" s="1319"/>
      <c r="E342" s="1319"/>
      <c r="F342" s="1319"/>
      <c r="I342" s="489"/>
    </row>
    <row r="343" spans="1:9">
      <c r="D343" s="445"/>
      <c r="E343" s="445"/>
      <c r="F343" s="445"/>
      <c r="I343" s="489"/>
    </row>
    <row r="344" spans="1:9" ht="14.25" customHeight="1">
      <c r="A344" s="483"/>
      <c r="B344" s="484" t="s">
        <v>2753</v>
      </c>
      <c r="D344" s="1319" t="s">
        <v>1874</v>
      </c>
      <c r="E344" s="1319"/>
      <c r="F344" s="1319"/>
      <c r="I344" s="489"/>
    </row>
    <row r="345" spans="1:9">
      <c r="D345" s="1319"/>
      <c r="E345" s="1319"/>
      <c r="F345" s="1319"/>
      <c r="I345" s="489"/>
    </row>
    <row r="346" spans="1:9">
      <c r="D346" s="1319"/>
      <c r="E346" s="1319"/>
      <c r="F346" s="1319"/>
      <c r="I346" s="489"/>
    </row>
    <row r="347" spans="1:9">
      <c r="D347" s="1319"/>
      <c r="E347" s="1319"/>
      <c r="F347" s="1319"/>
      <c r="I347" s="489"/>
    </row>
    <row r="348" spans="1:9">
      <c r="D348" s="385" t="s">
        <v>1873</v>
      </c>
      <c r="E348" s="384"/>
      <c r="F348" s="384"/>
      <c r="I348" s="489"/>
    </row>
    <row r="349" spans="1:9">
      <c r="D349" s="384"/>
      <c r="E349" s="96" t="s">
        <v>1870</v>
      </c>
      <c r="G349" s="96"/>
      <c r="I349" s="489"/>
    </row>
    <row r="350" spans="1:9">
      <c r="D350" s="444"/>
      <c r="E350" s="444"/>
      <c r="F350" s="444"/>
      <c r="I350" s="489"/>
    </row>
    <row r="351" spans="1:9" ht="13.5" thickBot="1">
      <c r="A351" s="1016"/>
      <c r="B351" s="1016"/>
      <c r="C351" s="1016"/>
      <c r="D351" s="1330" t="s">
        <v>977</v>
      </c>
      <c r="E351" s="1330"/>
      <c r="F351" s="1330"/>
      <c r="G351" s="1021"/>
      <c r="H351" s="1021"/>
      <c r="I351" s="1149"/>
    </row>
    <row r="352" spans="1:9" ht="13.5" thickTop="1">
      <c r="D352" s="1340" t="s">
        <v>2197</v>
      </c>
      <c r="E352" s="1340"/>
      <c r="F352" s="1340"/>
      <c r="I352" s="489"/>
    </row>
    <row r="353" spans="1:9">
      <c r="D353" s="445"/>
      <c r="E353" s="445"/>
      <c r="F353" s="445"/>
      <c r="I353" s="489"/>
    </row>
    <row r="354" spans="1:9">
      <c r="A354" s="475"/>
      <c r="B354" s="475"/>
      <c r="C354" s="475"/>
      <c r="D354" s="446"/>
      <c r="E354" s="446"/>
      <c r="F354" s="445"/>
      <c r="I354" s="489"/>
    </row>
    <row r="355" spans="1:9" ht="14.25">
      <c r="A355" s="483"/>
      <c r="B355" s="484" t="s">
        <v>2753</v>
      </c>
      <c r="C355" s="486"/>
      <c r="D355" s="1321" t="s">
        <v>1872</v>
      </c>
      <c r="E355" s="1321"/>
      <c r="F355" s="1321"/>
      <c r="I355" s="489"/>
    </row>
    <row r="356" spans="1:9" ht="12.75" customHeight="1">
      <c r="D356" s="1031"/>
      <c r="E356" s="96" t="s">
        <v>1871</v>
      </c>
      <c r="F356" s="1031"/>
      <c r="I356" s="489"/>
    </row>
    <row r="357" spans="1:9">
      <c r="D357" s="1319" t="s">
        <v>1237</v>
      </c>
      <c r="E357" s="1319"/>
      <c r="F357" s="1319"/>
      <c r="I357" s="489"/>
    </row>
    <row r="358" spans="1:9">
      <c r="D358" s="1319"/>
      <c r="E358" s="1319"/>
      <c r="F358" s="1319"/>
      <c r="I358" s="489"/>
    </row>
    <row r="359" spans="1:9">
      <c r="D359" s="1319"/>
      <c r="E359" s="1319"/>
      <c r="F359" s="1319"/>
      <c r="I359" s="489"/>
    </row>
    <row r="360" spans="1:9" ht="14.25">
      <c r="A360" s="483"/>
      <c r="B360" s="484" t="s">
        <v>2753</v>
      </c>
      <c r="C360" s="475"/>
      <c r="D360" s="1329" t="s">
        <v>2014</v>
      </c>
      <c r="E360" s="1329"/>
      <c r="F360" s="1329"/>
      <c r="I360" s="479"/>
    </row>
    <row r="361" spans="1:9">
      <c r="A361" s="475"/>
      <c r="B361" s="475"/>
      <c r="C361" s="475"/>
      <c r="D361" s="446"/>
      <c r="E361" s="446"/>
      <c r="F361" s="445"/>
      <c r="I361" s="489"/>
    </row>
    <row r="362" spans="1:9">
      <c r="A362" s="475"/>
      <c r="B362" s="484" t="s">
        <v>2753</v>
      </c>
      <c r="C362" s="475"/>
      <c r="D362" s="1291" t="s">
        <v>2015</v>
      </c>
      <c r="E362" s="1291"/>
      <c r="F362" s="1291"/>
      <c r="I362" s="489"/>
    </row>
    <row r="363" spans="1:9">
      <c r="A363" s="475"/>
      <c r="B363" s="475"/>
      <c r="C363" s="475"/>
      <c r="D363" s="1291"/>
      <c r="E363" s="1291"/>
      <c r="F363" s="1291"/>
      <c r="I363" s="489"/>
    </row>
    <row r="364" spans="1:9">
      <c r="A364" s="475"/>
      <c r="B364" s="475"/>
      <c r="C364" s="475"/>
      <c r="D364" s="1291"/>
      <c r="E364" s="1291"/>
      <c r="F364" s="1291"/>
      <c r="I364" s="489"/>
    </row>
    <row r="365" spans="1:9">
      <c r="A365" s="475"/>
      <c r="B365" s="475"/>
      <c r="C365" s="475"/>
      <c r="D365" s="1291"/>
      <c r="E365" s="1291"/>
      <c r="F365" s="1291"/>
      <c r="I365" s="489"/>
    </row>
    <row r="366" spans="1:9">
      <c r="A366" s="475"/>
      <c r="B366" s="475"/>
      <c r="C366" s="475"/>
      <c r="D366" s="1291"/>
      <c r="E366" s="1291"/>
      <c r="F366" s="1291"/>
      <c r="I366" s="489"/>
    </row>
    <row r="367" spans="1:9">
      <c r="A367" s="475"/>
      <c r="B367" s="475"/>
      <c r="C367" s="475"/>
      <c r="D367" s="1291"/>
      <c r="E367" s="1291"/>
      <c r="F367" s="1291"/>
      <c r="I367" s="489"/>
    </row>
    <row r="368" spans="1:9">
      <c r="A368" s="475"/>
      <c r="B368" s="475"/>
      <c r="C368" s="475"/>
      <c r="D368" s="1291"/>
      <c r="E368" s="1291"/>
      <c r="F368" s="1291"/>
      <c r="I368" s="489"/>
    </row>
    <row r="369" spans="1:9">
      <c r="A369" s="475"/>
      <c r="B369" s="475"/>
      <c r="C369" s="475"/>
      <c r="D369" s="1291"/>
      <c r="E369" s="1291"/>
      <c r="F369" s="1291"/>
      <c r="I369" s="489"/>
    </row>
    <row r="370" spans="1:9">
      <c r="A370" s="475"/>
      <c r="B370" s="475"/>
      <c r="C370" s="475"/>
      <c r="D370" s="1291"/>
      <c r="E370" s="1291"/>
      <c r="F370" s="1291"/>
      <c r="I370" s="489"/>
    </row>
    <row r="371" spans="1:9">
      <c r="A371" s="475"/>
      <c r="B371" s="475"/>
      <c r="C371" s="475"/>
      <c r="D371" s="1291"/>
      <c r="E371" s="1291"/>
      <c r="F371" s="1291"/>
      <c r="I371" s="489"/>
    </row>
    <row r="372" spans="1:9">
      <c r="A372" s="475"/>
      <c r="B372" s="475"/>
      <c r="C372" s="475"/>
      <c r="D372" s="1291"/>
      <c r="E372" s="1291"/>
      <c r="F372" s="1291"/>
      <c r="I372" s="489"/>
    </row>
    <row r="373" spans="1:9">
      <c r="A373" s="475"/>
      <c r="B373" s="475"/>
      <c r="C373" s="475"/>
      <c r="D373" s="1291"/>
      <c r="E373" s="1291"/>
      <c r="F373" s="1291"/>
      <c r="I373" s="489"/>
    </row>
    <row r="374" spans="1:9">
      <c r="A374" s="475"/>
      <c r="B374" s="475"/>
      <c r="C374" s="475"/>
      <c r="D374" s="450"/>
      <c r="E374" s="450"/>
      <c r="F374" s="450"/>
      <c r="I374" s="489"/>
    </row>
    <row r="375" spans="1:9" ht="12.4" customHeight="1">
      <c r="A375" s="475"/>
      <c r="B375" s="484" t="s">
        <v>2753</v>
      </c>
      <c r="C375" s="475"/>
      <c r="D375" s="1299" t="s">
        <v>1219</v>
      </c>
      <c r="E375" s="1299"/>
      <c r="F375" s="1299"/>
      <c r="I375" s="489"/>
    </row>
    <row r="376" spans="1:9">
      <c r="A376" s="475"/>
      <c r="B376" s="475"/>
      <c r="C376" s="475"/>
      <c r="D376" s="1299"/>
      <c r="E376" s="1299"/>
      <c r="F376" s="1299"/>
      <c r="I376" s="489"/>
    </row>
    <row r="377" spans="1:9">
      <c r="A377" s="475"/>
      <c r="B377" s="475"/>
      <c r="C377" s="475"/>
      <c r="D377" s="1299"/>
      <c r="E377" s="1299"/>
      <c r="F377" s="1299"/>
      <c r="I377" s="489"/>
    </row>
    <row r="378" spans="1:9">
      <c r="A378" s="475"/>
      <c r="B378" s="475"/>
      <c r="C378" s="475"/>
      <c r="D378" s="1299"/>
      <c r="E378" s="1299"/>
      <c r="F378" s="1299"/>
      <c r="I378" s="489"/>
    </row>
    <row r="379" spans="1:9">
      <c r="A379" s="475"/>
      <c r="B379" s="475"/>
      <c r="C379" s="475"/>
      <c r="D379" s="523"/>
      <c r="E379" s="523"/>
      <c r="F379" s="523"/>
      <c r="I379" s="489"/>
    </row>
    <row r="380" spans="1:9">
      <c r="A380" s="475"/>
      <c r="B380" s="484" t="s">
        <v>2753</v>
      </c>
      <c r="C380" s="475"/>
      <c r="D380" s="401" t="s">
        <v>1809</v>
      </c>
      <c r="E380" s="523"/>
      <c r="F380" s="523"/>
      <c r="I380" s="489"/>
    </row>
    <row r="381" spans="1:9">
      <c r="A381" s="475"/>
      <c r="B381" s="475"/>
      <c r="C381" s="475"/>
      <c r="D381" s="401" t="s">
        <v>1810</v>
      </c>
      <c r="E381" s="523"/>
      <c r="F381" s="523"/>
      <c r="I381" s="489"/>
    </row>
    <row r="382" spans="1:9">
      <c r="A382" s="475"/>
      <c r="B382" s="475"/>
      <c r="C382" s="475"/>
      <c r="D382" s="401" t="s">
        <v>1811</v>
      </c>
      <c r="E382" s="523"/>
      <c r="F382" s="523"/>
      <c r="I382" s="489"/>
    </row>
    <row r="383" spans="1:9">
      <c r="A383" s="475"/>
      <c r="B383" s="475"/>
      <c r="C383" s="475"/>
      <c r="D383" s="401" t="s">
        <v>1812</v>
      </c>
      <c r="E383" s="523"/>
      <c r="F383" s="523"/>
      <c r="I383" s="489"/>
    </row>
    <row r="384" spans="1:9">
      <c r="A384" s="475"/>
      <c r="B384" s="475"/>
      <c r="C384" s="475"/>
      <c r="D384" s="401" t="s">
        <v>1813</v>
      </c>
      <c r="E384" s="523"/>
      <c r="F384" s="523"/>
      <c r="I384" s="489"/>
    </row>
    <row r="385" spans="1:9">
      <c r="A385" s="475"/>
      <c r="B385" s="475"/>
      <c r="C385" s="475"/>
      <c r="D385" s="401" t="s">
        <v>1814</v>
      </c>
      <c r="E385" s="523"/>
      <c r="F385" s="523"/>
      <c r="I385" s="489"/>
    </row>
    <row r="386" spans="1:9">
      <c r="A386" s="475"/>
      <c r="B386" s="475"/>
      <c r="C386" s="475"/>
      <c r="E386" s="446"/>
      <c r="F386" s="445"/>
      <c r="I386" s="489"/>
    </row>
    <row r="387" spans="1:9" ht="14.25">
      <c r="A387" s="483"/>
      <c r="B387" s="484" t="s">
        <v>2753</v>
      </c>
      <c r="C387" s="475"/>
      <c r="D387" s="1291" t="s">
        <v>1131</v>
      </c>
      <c r="E387" s="1291"/>
      <c r="F387" s="1291"/>
      <c r="I387" s="489"/>
    </row>
    <row r="388" spans="1:9">
      <c r="A388" s="475"/>
      <c r="B388" s="475"/>
      <c r="C388" s="475"/>
      <c r="D388" s="1291"/>
      <c r="E388" s="1291"/>
      <c r="F388" s="1291"/>
      <c r="I388" s="489"/>
    </row>
    <row r="389" spans="1:9">
      <c r="A389" s="475"/>
      <c r="B389" s="475"/>
      <c r="C389" s="475"/>
      <c r="D389" s="1291"/>
      <c r="E389" s="1291"/>
      <c r="F389" s="1291"/>
      <c r="I389" s="489"/>
    </row>
    <row r="390" spans="1:9">
      <c r="A390" s="475"/>
      <c r="B390" s="475"/>
      <c r="C390" s="475"/>
      <c r="D390" s="1291"/>
      <c r="E390" s="1291"/>
      <c r="F390" s="1291"/>
      <c r="I390" s="489"/>
    </row>
    <row r="391" spans="1:9">
      <c r="A391" s="475"/>
      <c r="B391" s="475"/>
      <c r="C391" s="475"/>
      <c r="D391" s="446"/>
      <c r="E391" s="446"/>
      <c r="F391" s="445"/>
      <c r="I391" s="489"/>
    </row>
    <row r="392" spans="1:9">
      <c r="A392" s="475"/>
      <c r="B392" s="475"/>
      <c r="C392" s="475"/>
      <c r="D392" s="1291" t="s">
        <v>1132</v>
      </c>
      <c r="E392" s="1291"/>
      <c r="F392" s="1291"/>
      <c r="I392" s="489"/>
    </row>
    <row r="393" spans="1:9">
      <c r="A393" s="475"/>
      <c r="B393" s="475"/>
      <c r="C393" s="475"/>
      <c r="D393" s="1291"/>
      <c r="E393" s="1291"/>
      <c r="F393" s="1291"/>
      <c r="I393" s="489"/>
    </row>
    <row r="394" spans="1:9">
      <c r="A394" s="475"/>
      <c r="B394" s="475"/>
      <c r="C394" s="475"/>
      <c r="D394" s="1291"/>
      <c r="E394" s="1291"/>
      <c r="F394" s="1291"/>
      <c r="I394" s="489"/>
    </row>
    <row r="395" spans="1:9">
      <c r="A395" s="475"/>
      <c r="B395" s="475"/>
      <c r="C395" s="475"/>
      <c r="D395" s="1291"/>
      <c r="E395" s="1291"/>
      <c r="F395" s="1291"/>
      <c r="I395" s="489"/>
    </row>
    <row r="396" spans="1:9" ht="18" customHeight="1">
      <c r="A396" s="475"/>
      <c r="B396" s="475"/>
      <c r="C396" s="475"/>
      <c r="D396" s="1291"/>
      <c r="E396" s="1291"/>
      <c r="F396" s="1291"/>
      <c r="I396" s="489"/>
    </row>
    <row r="397" spans="1:9">
      <c r="A397" s="475"/>
      <c r="B397" s="475"/>
      <c r="C397" s="475"/>
      <c r="D397" s="1291"/>
      <c r="E397" s="1291"/>
      <c r="F397" s="1291"/>
      <c r="I397" s="489"/>
    </row>
    <row r="398" spans="1:9">
      <c r="A398" s="475"/>
      <c r="B398" s="475"/>
      <c r="C398" s="475"/>
      <c r="D398" s="1291"/>
      <c r="E398" s="1291"/>
      <c r="F398" s="1291"/>
      <c r="I398" s="489"/>
    </row>
    <row r="399" spans="1:9">
      <c r="A399" s="475"/>
      <c r="B399" s="475"/>
      <c r="C399" s="475"/>
      <c r="D399" s="1291"/>
      <c r="E399" s="1291"/>
      <c r="F399" s="1291"/>
      <c r="I399" s="489"/>
    </row>
    <row r="400" spans="1:9" ht="8.25" customHeight="1">
      <c r="A400" s="475"/>
      <c r="B400" s="475"/>
      <c r="C400" s="475"/>
      <c r="D400" s="1291"/>
      <c r="E400" s="1291"/>
      <c r="F400" s="1291"/>
      <c r="I400" s="489"/>
    </row>
    <row r="401" spans="1:9" ht="13.7" customHeight="1">
      <c r="A401" s="475"/>
      <c r="B401" s="475"/>
      <c r="C401" s="475"/>
      <c r="D401" s="1291" t="s">
        <v>1133</v>
      </c>
      <c r="E401" s="1291"/>
      <c r="F401" s="1291"/>
      <c r="I401" s="489"/>
    </row>
    <row r="402" spans="1:9">
      <c r="A402" s="475"/>
      <c r="B402" s="475"/>
      <c r="C402" s="475"/>
      <c r="D402" s="1291"/>
      <c r="E402" s="1291"/>
      <c r="F402" s="1291"/>
      <c r="I402" s="489"/>
    </row>
    <row r="403" spans="1:9">
      <c r="A403" s="475"/>
      <c r="B403" s="475"/>
      <c r="C403" s="475"/>
      <c r="D403" s="1291"/>
      <c r="E403" s="1291"/>
      <c r="F403" s="1291"/>
      <c r="I403" s="489"/>
    </row>
    <row r="404" spans="1:9">
      <c r="A404" s="475"/>
      <c r="B404" s="475"/>
      <c r="C404" s="475"/>
      <c r="D404" s="1291"/>
      <c r="E404" s="1291"/>
      <c r="F404" s="1291"/>
      <c r="I404" s="489"/>
    </row>
    <row r="405" spans="1:9">
      <c r="A405" s="475"/>
      <c r="B405" s="475"/>
      <c r="C405" s="475"/>
      <c r="D405" s="1291"/>
      <c r="E405" s="1291"/>
      <c r="F405" s="1291"/>
      <c r="I405" s="489"/>
    </row>
    <row r="406" spans="1:9">
      <c r="A406" s="475"/>
      <c r="B406" s="475"/>
      <c r="C406" s="475"/>
      <c r="D406" s="1291"/>
      <c r="E406" s="1291"/>
      <c r="F406" s="1291"/>
      <c r="I406" s="489"/>
    </row>
    <row r="407" spans="1:9">
      <c r="A407" s="475"/>
      <c r="B407" s="475"/>
      <c r="C407" s="475"/>
      <c r="D407" s="1291"/>
      <c r="E407" s="1291"/>
      <c r="F407" s="1291"/>
      <c r="I407" s="489"/>
    </row>
    <row r="408" spans="1:9">
      <c r="A408" s="475"/>
      <c r="B408" s="475"/>
      <c r="C408" s="475"/>
      <c r="D408" s="1291"/>
      <c r="E408" s="1291"/>
      <c r="F408" s="1291"/>
      <c r="I408" s="489"/>
    </row>
    <row r="409" spans="1:9">
      <c r="A409" s="475"/>
      <c r="B409" s="475"/>
      <c r="C409" s="475"/>
      <c r="D409" s="1291"/>
      <c r="E409" s="1291"/>
      <c r="F409" s="1291"/>
      <c r="I409" s="489"/>
    </row>
    <row r="410" spans="1:9">
      <c r="A410" s="475"/>
      <c r="B410" s="475"/>
      <c r="C410" s="475"/>
      <c r="D410" s="1291"/>
      <c r="E410" s="1291"/>
      <c r="F410" s="1291"/>
      <c r="I410" s="489"/>
    </row>
    <row r="411" spans="1:9">
      <c r="A411" s="475"/>
      <c r="B411" s="475"/>
      <c r="C411" s="475"/>
      <c r="D411" s="1291"/>
      <c r="E411" s="1291"/>
      <c r="F411" s="1291"/>
      <c r="I411" s="489"/>
    </row>
    <row r="412" spans="1:9">
      <c r="A412" s="475"/>
      <c r="B412" s="475"/>
      <c r="C412" s="475"/>
      <c r="D412" s="1291"/>
      <c r="E412" s="1291"/>
      <c r="F412" s="1291"/>
      <c r="I412" s="489"/>
    </row>
    <row r="413" spans="1:9">
      <c r="A413" s="475"/>
      <c r="B413" s="475"/>
      <c r="C413" s="495"/>
      <c r="D413" s="1291"/>
      <c r="E413" s="1291"/>
      <c r="F413" s="1291"/>
      <c r="I413" s="489"/>
    </row>
    <row r="414" spans="1:9">
      <c r="A414" s="475"/>
      <c r="B414" s="475"/>
      <c r="C414" s="495"/>
      <c r="D414" s="1291"/>
      <c r="E414" s="1291"/>
      <c r="F414" s="1291"/>
      <c r="I414" s="489"/>
    </row>
    <row r="415" spans="1:9">
      <c r="A415" s="475"/>
      <c r="B415" s="475"/>
      <c r="C415" s="475"/>
      <c r="D415" s="1291"/>
      <c r="E415" s="1291"/>
      <c r="F415" s="1291"/>
      <c r="I415" s="489"/>
    </row>
    <row r="416" spans="1:9">
      <c r="A416" s="475"/>
      <c r="B416" s="475"/>
      <c r="C416" s="495"/>
      <c r="D416" s="1291"/>
      <c r="E416" s="1291"/>
      <c r="F416" s="1291"/>
      <c r="I416" s="489"/>
    </row>
    <row r="417" spans="1:9">
      <c r="A417" s="475"/>
      <c r="B417" s="475"/>
      <c r="C417" s="495"/>
      <c r="D417" s="1291"/>
      <c r="E417" s="1291"/>
      <c r="F417" s="1291"/>
      <c r="I417" s="489"/>
    </row>
    <row r="418" spans="1:9">
      <c r="A418" s="475"/>
      <c r="B418" s="475"/>
      <c r="C418" s="495"/>
      <c r="D418" s="1291"/>
      <c r="E418" s="1291"/>
      <c r="F418" s="1291"/>
      <c r="I418" s="489"/>
    </row>
    <row r="419" spans="1:9">
      <c r="A419" s="475"/>
      <c r="B419" s="475"/>
      <c r="C419" s="475"/>
      <c r="D419" s="446"/>
      <c r="E419" s="446"/>
      <c r="F419" s="445"/>
      <c r="I419" s="489"/>
    </row>
    <row r="420" spans="1:9">
      <c r="A420" s="475"/>
      <c r="B420" s="484" t="s">
        <v>2753</v>
      </c>
      <c r="C420" s="475"/>
      <c r="D420" s="1291" t="s">
        <v>1134</v>
      </c>
      <c r="E420" s="1291"/>
      <c r="F420" s="1291"/>
      <c r="I420" s="489"/>
    </row>
    <row r="421" spans="1:9">
      <c r="A421" s="475"/>
      <c r="B421" s="475"/>
      <c r="C421" s="475"/>
      <c r="D421" s="1291"/>
      <c r="E421" s="1291"/>
      <c r="F421" s="1291"/>
      <c r="I421" s="489"/>
    </row>
    <row r="422" spans="1:9">
      <c r="A422" s="475"/>
      <c r="B422" s="475"/>
      <c r="C422" s="475"/>
      <c r="D422" s="450"/>
      <c r="E422" s="450"/>
      <c r="F422" s="450"/>
      <c r="I422" s="489"/>
    </row>
    <row r="423" spans="1:9" ht="14.45" customHeight="1">
      <c r="A423" s="483"/>
      <c r="B423" s="484" t="s">
        <v>2753</v>
      </c>
      <c r="D423" s="1291" t="s">
        <v>1854</v>
      </c>
      <c r="E423" s="1291"/>
      <c r="F423" s="1291"/>
      <c r="I423" s="489"/>
    </row>
    <row r="424" spans="1:9" ht="14.45" customHeight="1">
      <c r="A424" s="483"/>
      <c r="D424" s="1291"/>
      <c r="E424" s="1291"/>
      <c r="F424" s="1291"/>
      <c r="I424" s="489"/>
    </row>
    <row r="425" spans="1:9" ht="14.45" customHeight="1">
      <c r="A425" s="483"/>
      <c r="D425" s="1291"/>
      <c r="E425" s="1291"/>
      <c r="F425" s="1291"/>
      <c r="I425" s="489"/>
    </row>
    <row r="426" spans="1:9" ht="14.45" customHeight="1">
      <c r="A426" s="483"/>
      <c r="D426" s="1291"/>
      <c r="E426" s="1291"/>
      <c r="F426" s="1291"/>
      <c r="I426" s="489"/>
    </row>
    <row r="427" spans="1:9" ht="14.45" customHeight="1">
      <c r="A427" s="483"/>
      <c r="D427" s="1291"/>
      <c r="E427" s="1291"/>
      <c r="F427" s="1291"/>
      <c r="I427" s="489"/>
    </row>
    <row r="428" spans="1:9" ht="14.45" customHeight="1">
      <c r="A428" s="483"/>
      <c r="D428" s="384"/>
      <c r="E428" s="384"/>
      <c r="F428" s="384"/>
      <c r="I428" s="489"/>
    </row>
    <row r="429" spans="1:9" ht="13.7" customHeight="1">
      <c r="A429" s="483"/>
      <c r="B429" s="484" t="s">
        <v>2753</v>
      </c>
      <c r="C429" s="475"/>
      <c r="D429" s="1291" t="s">
        <v>1238</v>
      </c>
      <c r="E429" s="1291"/>
      <c r="F429" s="1291"/>
      <c r="I429" s="489"/>
    </row>
    <row r="430" spans="1:9" ht="14.25">
      <c r="A430" s="496"/>
      <c r="B430" s="496"/>
      <c r="C430" s="475"/>
      <c r="D430" s="1291"/>
      <c r="E430" s="1291"/>
      <c r="F430" s="1291"/>
      <c r="I430" s="489"/>
    </row>
    <row r="431" spans="1:9" ht="14.25">
      <c r="A431" s="496"/>
      <c r="B431" s="496"/>
      <c r="C431" s="475"/>
      <c r="D431" s="1291"/>
      <c r="E431" s="1291"/>
      <c r="F431" s="1291"/>
      <c r="I431" s="489"/>
    </row>
    <row r="432" spans="1:9" ht="14.25">
      <c r="A432" s="496"/>
      <c r="B432" s="496"/>
      <c r="C432" s="475"/>
      <c r="D432" s="1291"/>
      <c r="E432" s="1291"/>
      <c r="F432" s="1291"/>
      <c r="I432" s="489"/>
    </row>
    <row r="433" spans="1:9" ht="15.75" customHeight="1">
      <c r="A433" s="496"/>
      <c r="B433" s="496"/>
      <c r="C433" s="475"/>
      <c r="D433" s="1350" t="s">
        <v>2610</v>
      </c>
      <c r="E433" s="1291"/>
      <c r="F433" s="1291"/>
      <c r="I433" s="489"/>
    </row>
    <row r="434" spans="1:9">
      <c r="D434" s="445"/>
      <c r="E434" s="445"/>
      <c r="F434" s="445"/>
      <c r="I434" s="489"/>
    </row>
    <row r="435" spans="1:9" ht="14.25">
      <c r="A435" s="483"/>
      <c r="B435" s="484" t="s">
        <v>2753</v>
      </c>
      <c r="C435" s="486"/>
      <c r="D435" s="1319" t="s">
        <v>2016</v>
      </c>
      <c r="E435" s="1319"/>
      <c r="F435" s="1319"/>
      <c r="I435" s="489"/>
    </row>
    <row r="436" spans="1:9" ht="14.25">
      <c r="A436" s="483"/>
      <c r="B436" s="483"/>
      <c r="D436" s="1319"/>
      <c r="E436" s="1319"/>
      <c r="F436" s="1319"/>
      <c r="I436" s="489"/>
    </row>
    <row r="437" spans="1:9">
      <c r="D437" s="1319"/>
      <c r="E437" s="1319"/>
      <c r="F437" s="1319"/>
      <c r="I437" s="489"/>
    </row>
    <row r="438" spans="1:9">
      <c r="D438" s="1319"/>
      <c r="E438" s="1319"/>
      <c r="F438" s="1319"/>
      <c r="I438" s="489"/>
    </row>
    <row r="439" spans="1:9">
      <c r="D439" s="1319"/>
      <c r="E439" s="1319"/>
      <c r="F439" s="1319"/>
      <c r="I439" s="489"/>
    </row>
    <row r="440" spans="1:9">
      <c r="D440" s="1319"/>
      <c r="E440" s="1319"/>
      <c r="F440" s="1319"/>
      <c r="I440" s="489"/>
    </row>
    <row r="441" spans="1:9">
      <c r="D441" s="1319"/>
      <c r="E441" s="1319"/>
      <c r="F441" s="1319"/>
      <c r="I441" s="489"/>
    </row>
    <row r="442" spans="1:9">
      <c r="D442" s="1319"/>
      <c r="E442" s="1319"/>
      <c r="F442" s="1319"/>
      <c r="I442" s="489"/>
    </row>
    <row r="443" spans="1:9">
      <c r="D443" s="1319"/>
      <c r="E443" s="1319"/>
      <c r="F443" s="1319"/>
      <c r="I443" s="489"/>
    </row>
    <row r="444" spans="1:9">
      <c r="D444" s="1319"/>
      <c r="E444" s="1319"/>
      <c r="F444" s="1319"/>
      <c r="I444" s="489"/>
    </row>
    <row r="445" spans="1:9">
      <c r="D445" s="1319"/>
      <c r="E445" s="1319"/>
      <c r="F445" s="1319"/>
      <c r="I445" s="489"/>
    </row>
    <row r="446" spans="1:9">
      <c r="D446" s="1319"/>
      <c r="E446" s="1319"/>
      <c r="F446" s="1319"/>
      <c r="I446" s="489"/>
    </row>
    <row r="447" spans="1:9">
      <c r="D447" s="1319"/>
      <c r="E447" s="1319"/>
      <c r="F447" s="1319"/>
      <c r="I447" s="489"/>
    </row>
    <row r="448" spans="1:9">
      <c r="A448" s="401"/>
      <c r="B448" s="401"/>
      <c r="C448" s="401"/>
      <c r="D448" s="1319"/>
      <c r="E448" s="1319"/>
      <c r="F448" s="1319"/>
      <c r="I448" s="489"/>
    </row>
    <row r="449" spans="1:9">
      <c r="A449" s="401"/>
      <c r="B449" s="401"/>
      <c r="C449" s="401"/>
      <c r="D449" s="1319"/>
      <c r="E449" s="1319"/>
      <c r="F449" s="1319"/>
      <c r="I449" s="489"/>
    </row>
    <row r="450" spans="1:9">
      <c r="A450" s="401"/>
      <c r="B450" s="401"/>
      <c r="C450" s="401"/>
      <c r="D450" s="1319"/>
      <c r="E450" s="1319"/>
      <c r="F450" s="1319"/>
      <c r="I450" s="489"/>
    </row>
    <row r="451" spans="1:9">
      <c r="A451" s="401"/>
      <c r="B451" s="401"/>
      <c r="C451" s="401"/>
      <c r="D451" s="1319"/>
      <c r="E451" s="1319"/>
      <c r="F451" s="1319"/>
      <c r="I451" s="489"/>
    </row>
    <row r="452" spans="1:9">
      <c r="A452" s="401"/>
      <c r="B452" s="401"/>
      <c r="C452" s="401"/>
      <c r="D452" s="1319"/>
      <c r="E452" s="1319"/>
      <c r="F452" s="1319"/>
      <c r="I452" s="489"/>
    </row>
    <row r="453" spans="1:9">
      <c r="A453" s="401"/>
      <c r="B453" s="401"/>
      <c r="C453" s="401"/>
      <c r="D453" s="1319"/>
      <c r="E453" s="1319"/>
      <c r="F453" s="1319"/>
      <c r="I453" s="489"/>
    </row>
    <row r="454" spans="1:9">
      <c r="A454" s="401"/>
      <c r="B454" s="401"/>
      <c r="C454" s="401"/>
      <c r="D454" s="1319"/>
      <c r="E454" s="1319"/>
      <c r="F454" s="1319"/>
      <c r="I454" s="489"/>
    </row>
    <row r="455" spans="1:9">
      <c r="A455" s="401"/>
      <c r="B455" s="401"/>
      <c r="C455" s="401"/>
      <c r="D455" s="1319"/>
      <c r="E455" s="1319"/>
      <c r="F455" s="1319"/>
      <c r="I455" s="489"/>
    </row>
    <row r="456" spans="1:9">
      <c r="A456" s="401"/>
      <c r="B456" s="401"/>
      <c r="C456" s="401"/>
      <c r="D456" s="1319"/>
      <c r="E456" s="1319"/>
      <c r="F456" s="1319"/>
      <c r="I456" s="489"/>
    </row>
    <row r="457" spans="1:9">
      <c r="A457" s="401"/>
      <c r="B457" s="401"/>
      <c r="C457" s="401"/>
      <c r="D457" s="1319"/>
      <c r="E457" s="1319"/>
      <c r="F457" s="1319"/>
      <c r="I457" s="489"/>
    </row>
    <row r="458" spans="1:9">
      <c r="A458" s="401"/>
      <c r="B458" s="401"/>
      <c r="C458" s="401"/>
      <c r="D458" s="1319"/>
      <c r="E458" s="1319"/>
      <c r="F458" s="1319"/>
      <c r="I458" s="489"/>
    </row>
    <row r="459" spans="1:9">
      <c r="A459" s="401"/>
      <c r="B459" s="401"/>
      <c r="C459" s="401"/>
      <c r="D459" s="1319"/>
      <c r="E459" s="1319"/>
      <c r="F459" s="1319"/>
      <c r="I459" s="489"/>
    </row>
    <row r="460" spans="1:9">
      <c r="A460" s="401"/>
      <c r="B460" s="401"/>
      <c r="C460" s="401"/>
      <c r="D460" s="1319"/>
      <c r="E460" s="1319"/>
      <c r="F460" s="1319"/>
      <c r="I460" s="489"/>
    </row>
    <row r="461" spans="1:9">
      <c r="A461" s="401"/>
      <c r="B461" s="401"/>
      <c r="C461" s="401"/>
      <c r="D461" s="1319"/>
      <c r="E461" s="1319"/>
      <c r="F461" s="1319"/>
      <c r="I461" s="489"/>
    </row>
    <row r="462" spans="1:9">
      <c r="A462" s="401"/>
      <c r="B462" s="401"/>
      <c r="C462" s="401"/>
      <c r="D462" s="1319"/>
      <c r="E462" s="1319"/>
      <c r="F462" s="1319"/>
      <c r="I462" s="489"/>
    </row>
    <row r="463" spans="1:9">
      <c r="A463" s="401"/>
      <c r="B463" s="401"/>
      <c r="C463" s="401"/>
      <c r="D463" s="1319"/>
      <c r="E463" s="1319"/>
      <c r="F463" s="1319"/>
      <c r="I463" s="489"/>
    </row>
    <row r="464" spans="1:9">
      <c r="D464" s="1319"/>
      <c r="E464" s="1319"/>
      <c r="F464" s="1319"/>
      <c r="I464" s="489"/>
    </row>
    <row r="465" spans="1:9" ht="40.700000000000003" customHeight="1">
      <c r="D465" s="1319"/>
      <c r="E465" s="1319"/>
      <c r="F465" s="1319"/>
      <c r="I465" s="489"/>
    </row>
    <row r="466" spans="1:9">
      <c r="D466" s="445"/>
      <c r="E466" s="445"/>
      <c r="F466" s="445"/>
      <c r="I466" s="489"/>
    </row>
    <row r="467" spans="1:9" ht="14.25">
      <c r="A467" s="483"/>
      <c r="B467" s="484" t="s">
        <v>2753</v>
      </c>
      <c r="C467" s="486"/>
      <c r="D467" s="1319" t="s">
        <v>1135</v>
      </c>
      <c r="E467" s="1319"/>
      <c r="F467" s="1319"/>
      <c r="I467" s="489"/>
    </row>
    <row r="468" spans="1:9">
      <c r="D468" s="1319"/>
      <c r="E468" s="1319"/>
      <c r="F468" s="1319"/>
      <c r="I468" s="489"/>
    </row>
    <row r="469" spans="1:9">
      <c r="D469" s="1319"/>
      <c r="E469" s="1319"/>
      <c r="F469" s="1319"/>
      <c r="I469" s="489"/>
    </row>
    <row r="470" spans="1:9">
      <c r="D470" s="444"/>
      <c r="E470" s="444"/>
      <c r="F470" s="444"/>
      <c r="I470" s="489"/>
    </row>
    <row r="471" spans="1:9" ht="14.25">
      <c r="B471" s="484" t="s">
        <v>2753</v>
      </c>
      <c r="C471" s="483"/>
      <c r="D471" s="1319" t="s">
        <v>1195</v>
      </c>
      <c r="E471" s="1319"/>
      <c r="F471" s="1319"/>
      <c r="I471" s="489"/>
    </row>
    <row r="472" spans="1:9">
      <c r="D472" s="1319"/>
      <c r="E472" s="1319"/>
      <c r="F472" s="1319"/>
      <c r="I472" s="489"/>
    </row>
    <row r="473" spans="1:9">
      <c r="D473" s="445"/>
      <c r="E473" s="445"/>
      <c r="F473" s="445"/>
      <c r="I473" s="489"/>
    </row>
    <row r="474" spans="1:9" ht="14.25">
      <c r="B474" s="484" t="s">
        <v>2753</v>
      </c>
      <c r="C474" s="483"/>
      <c r="D474" s="1319" t="s">
        <v>1136</v>
      </c>
      <c r="E474" s="1319"/>
      <c r="F474" s="1319"/>
      <c r="I474" s="489"/>
    </row>
    <row r="475" spans="1:9">
      <c r="D475" s="1319"/>
      <c r="E475" s="1319"/>
      <c r="F475" s="1319"/>
      <c r="I475" s="489"/>
    </row>
    <row r="476" spans="1:9">
      <c r="D476" s="1319"/>
      <c r="E476" s="1319"/>
      <c r="F476" s="1319"/>
      <c r="I476" s="489"/>
    </row>
    <row r="477" spans="1:9">
      <c r="D477" s="1319"/>
      <c r="E477" s="1319"/>
      <c r="F477" s="1319"/>
      <c r="I477" s="489"/>
    </row>
    <row r="478" spans="1:9">
      <c r="B478" s="484" t="s">
        <v>2753</v>
      </c>
      <c r="D478" s="1319"/>
      <c r="E478" s="1319"/>
      <c r="F478" s="1319"/>
      <c r="I478" s="489"/>
    </row>
    <row r="479" spans="1:9">
      <c r="A479" s="401"/>
      <c r="B479" s="401"/>
      <c r="C479" s="401"/>
      <c r="D479" s="1319"/>
      <c r="E479" s="1319"/>
      <c r="F479" s="1319"/>
      <c r="I479" s="489"/>
    </row>
    <row r="480" spans="1:9">
      <c r="A480" s="401"/>
      <c r="C480" s="401"/>
      <c r="D480" s="1319"/>
      <c r="E480" s="1319"/>
      <c r="F480" s="1319"/>
      <c r="I480" s="489"/>
    </row>
    <row r="481" spans="1:9">
      <c r="A481" s="401"/>
      <c r="B481" s="484" t="s">
        <v>2753</v>
      </c>
      <c r="C481" s="401"/>
      <c r="D481" s="1319"/>
      <c r="E481" s="1319"/>
      <c r="F481" s="1319"/>
      <c r="I481" s="489"/>
    </row>
    <row r="482" spans="1:9">
      <c r="A482" s="401"/>
      <c r="B482" s="401"/>
      <c r="C482" s="401"/>
      <c r="D482" s="1319"/>
      <c r="E482" s="1319"/>
      <c r="F482" s="1319"/>
      <c r="I482" s="489"/>
    </row>
    <row r="483" spans="1:9">
      <c r="A483" s="401"/>
      <c r="C483" s="401"/>
      <c r="D483" s="1319"/>
      <c r="E483" s="1319"/>
      <c r="F483" s="1319"/>
      <c r="I483" s="489"/>
    </row>
    <row r="484" spans="1:9">
      <c r="A484" s="401"/>
      <c r="C484" s="401"/>
      <c r="D484" s="1319"/>
      <c r="E484" s="1319"/>
      <c r="F484" s="1319"/>
      <c r="I484" s="489"/>
    </row>
    <row r="485" spans="1:9">
      <c r="A485" s="401"/>
      <c r="C485" s="401"/>
      <c r="D485" s="1319"/>
      <c r="E485" s="1319"/>
      <c r="F485" s="1319"/>
      <c r="I485" s="489"/>
    </row>
    <row r="486" spans="1:9">
      <c r="A486" s="401"/>
      <c r="B486" s="484" t="s">
        <v>2753</v>
      </c>
      <c r="C486" s="401"/>
      <c r="D486" s="1319"/>
      <c r="E486" s="1319"/>
      <c r="F486" s="1319"/>
      <c r="I486" s="489"/>
    </row>
    <row r="487" spans="1:9">
      <c r="A487" s="401"/>
      <c r="C487" s="401"/>
      <c r="D487" s="1319"/>
      <c r="E487" s="1319"/>
      <c r="F487" s="1319"/>
      <c r="I487" s="489"/>
    </row>
    <row r="488" spans="1:9">
      <c r="A488" s="401"/>
      <c r="B488" s="484" t="s">
        <v>2753</v>
      </c>
      <c r="C488" s="401"/>
      <c r="D488" s="1319" t="s">
        <v>1137</v>
      </c>
      <c r="E488" s="1319"/>
      <c r="F488" s="1319"/>
      <c r="I488" s="489"/>
    </row>
    <row r="489" spans="1:9">
      <c r="A489" s="401"/>
      <c r="B489" s="401"/>
      <c r="C489" s="401"/>
      <c r="D489" s="1319"/>
      <c r="E489" s="1319"/>
      <c r="F489" s="1319"/>
      <c r="I489" s="489"/>
    </row>
    <row r="490" spans="1:9">
      <c r="A490" s="401"/>
      <c r="B490" s="401"/>
      <c r="C490" s="401"/>
      <c r="D490" s="1319"/>
      <c r="E490" s="1319"/>
      <c r="F490" s="1319"/>
      <c r="I490" s="489"/>
    </row>
    <row r="491" spans="1:9">
      <c r="A491" s="401"/>
      <c r="B491" s="401"/>
      <c r="C491" s="401"/>
      <c r="D491" s="1319"/>
      <c r="E491" s="1319"/>
      <c r="F491" s="1319"/>
      <c r="I491" s="489"/>
    </row>
    <row r="492" spans="1:9">
      <c r="D492" s="1319"/>
      <c r="E492" s="1319"/>
      <c r="F492" s="1319"/>
      <c r="I492" s="489"/>
    </row>
    <row r="493" spans="1:9">
      <c r="D493" s="445"/>
      <c r="E493" s="445"/>
      <c r="F493" s="445"/>
      <c r="I493" s="489"/>
    </row>
    <row r="494" spans="1:9">
      <c r="B494" s="484" t="s">
        <v>2753</v>
      </c>
      <c r="D494" s="1321" t="s">
        <v>1138</v>
      </c>
      <c r="E494" s="1321"/>
      <c r="F494" s="1321"/>
      <c r="I494" s="489"/>
    </row>
    <row r="495" spans="1:9">
      <c r="A495" s="445"/>
      <c r="B495" s="445"/>
      <c r="I495" s="489"/>
    </row>
    <row r="496" spans="1:9">
      <c r="A496" s="1320" t="s">
        <v>1048</v>
      </c>
      <c r="B496" s="1320"/>
      <c r="C496" s="1320"/>
      <c r="D496" s="1320"/>
      <c r="E496" s="1320"/>
      <c r="F496" s="1320"/>
      <c r="G496" s="1320"/>
      <c r="H496" s="1022"/>
      <c r="I496" s="1146"/>
    </row>
    <row r="497" spans="1:9">
      <c r="A497" s="445"/>
      <c r="B497" s="445"/>
      <c r="I497" s="489"/>
    </row>
    <row r="498" spans="1:9">
      <c r="D498" s="1349" t="s">
        <v>881</v>
      </c>
      <c r="E498" s="1349"/>
      <c r="F498" s="1349"/>
      <c r="I498" s="489"/>
    </row>
    <row r="499" spans="1:9" ht="14.25">
      <c r="A499" s="483"/>
      <c r="B499" s="483"/>
      <c r="D499" s="1329" t="s">
        <v>1139</v>
      </c>
      <c r="E499" s="1329"/>
      <c r="F499" s="1329"/>
      <c r="I499" s="489"/>
    </row>
    <row r="500" spans="1:9" ht="14.25">
      <c r="A500" s="483"/>
      <c r="B500" s="483"/>
      <c r="D500" s="446"/>
      <c r="I500" s="489"/>
    </row>
    <row r="501" spans="1:9" ht="14.25">
      <c r="A501" s="483"/>
      <c r="B501" s="484" t="s">
        <v>2753</v>
      </c>
      <c r="D501" s="1291" t="s">
        <v>1140</v>
      </c>
      <c r="E501" s="1291"/>
      <c r="F501" s="1291"/>
      <c r="I501" s="489"/>
    </row>
    <row r="502" spans="1:9" ht="14.25">
      <c r="A502" s="483"/>
      <c r="B502" s="483"/>
      <c r="D502" s="1291"/>
      <c r="E502" s="1291"/>
      <c r="F502" s="1291"/>
      <c r="I502" s="489"/>
    </row>
    <row r="503" spans="1:9" ht="14.25">
      <c r="A503" s="483"/>
      <c r="B503" s="483"/>
      <c r="D503" s="445"/>
      <c r="I503" s="489"/>
    </row>
    <row r="504" spans="1:9" ht="12.75" customHeight="1">
      <c r="B504" s="484" t="s">
        <v>2753</v>
      </c>
      <c r="D504" s="1335" t="s">
        <v>1271</v>
      </c>
      <c r="E504" s="1335"/>
      <c r="F504" s="1335"/>
      <c r="I504" s="489"/>
    </row>
    <row r="505" spans="1:9" ht="14.25">
      <c r="A505" s="483"/>
      <c r="D505" s="1335"/>
      <c r="E505" s="1335"/>
      <c r="F505" s="1335"/>
      <c r="I505" s="489"/>
    </row>
    <row r="506" spans="1:9" ht="14.25">
      <c r="A506" s="483"/>
      <c r="B506" s="483"/>
      <c r="D506" s="1335"/>
      <c r="E506" s="1335"/>
      <c r="F506" s="1335"/>
      <c r="I506" s="489"/>
    </row>
    <row r="507" spans="1:9" ht="14.25">
      <c r="A507" s="483"/>
      <c r="B507" s="483"/>
      <c r="D507" s="1335"/>
      <c r="E507" s="1335"/>
      <c r="F507" s="1335"/>
      <c r="I507" s="489"/>
    </row>
    <row r="508" spans="1:9" ht="14.25">
      <c r="A508" s="483"/>
      <c r="D508" s="519"/>
      <c r="E508" s="519"/>
      <c r="F508" s="519"/>
      <c r="I508" s="489"/>
    </row>
    <row r="509" spans="1:9" ht="14.25">
      <c r="A509" s="483"/>
      <c r="B509" s="484" t="s">
        <v>2753</v>
      </c>
      <c r="D509" s="1321" t="s">
        <v>1141</v>
      </c>
      <c r="E509" s="1321"/>
      <c r="F509" s="1321"/>
      <c r="I509" s="489"/>
    </row>
    <row r="510" spans="1:9" ht="14.25">
      <c r="A510" s="483"/>
      <c r="B510" s="483"/>
      <c r="D510" s="445"/>
      <c r="I510" s="489"/>
    </row>
    <row r="511" spans="1:9" ht="14.25">
      <c r="A511" s="483"/>
      <c r="B511" s="484" t="s">
        <v>2753</v>
      </c>
      <c r="D511" s="1319" t="s">
        <v>1142</v>
      </c>
      <c r="E511" s="1319"/>
      <c r="F511" s="1319"/>
      <c r="I511" s="489"/>
    </row>
    <row r="512" spans="1:9" ht="14.25">
      <c r="A512" s="483"/>
      <c r="D512" s="1319"/>
      <c r="E512" s="1319"/>
      <c r="F512" s="1319"/>
      <c r="I512" s="489"/>
    </row>
    <row r="513" spans="1:9">
      <c r="A513" s="489"/>
      <c r="B513" s="489"/>
      <c r="D513" s="446"/>
      <c r="I513" s="489"/>
    </row>
    <row r="514" spans="1:9">
      <c r="A514" s="489"/>
      <c r="B514" s="484" t="s">
        <v>2753</v>
      </c>
      <c r="D514" s="1321" t="s">
        <v>1143</v>
      </c>
      <c r="E514" s="1321"/>
      <c r="F514" s="1321"/>
      <c r="I514" s="489"/>
    </row>
    <row r="515" spans="1:9">
      <c r="D515" s="445"/>
      <c r="E515" s="445"/>
      <c r="F515" s="445"/>
      <c r="I515" s="489"/>
    </row>
    <row r="516" spans="1:9">
      <c r="B516" s="484" t="s">
        <v>2753</v>
      </c>
      <c r="D516" s="1319" t="s">
        <v>2219</v>
      </c>
      <c r="E516" s="1319"/>
      <c r="F516" s="1319"/>
      <c r="I516" s="489"/>
    </row>
    <row r="517" spans="1:9">
      <c r="D517" s="1319"/>
      <c r="E517" s="1319"/>
      <c r="F517" s="1319"/>
      <c r="I517" s="489"/>
    </row>
    <row r="518" spans="1:9">
      <c r="D518" s="1319"/>
      <c r="E518" s="1319"/>
      <c r="F518" s="1319"/>
      <c r="I518" s="489"/>
    </row>
    <row r="519" spans="1:9">
      <c r="D519" s="445"/>
      <c r="E519" s="445"/>
      <c r="F519" s="445"/>
      <c r="I519" s="489"/>
    </row>
    <row r="520" spans="1:9" ht="14.25">
      <c r="A520" s="483"/>
      <c r="B520" s="483"/>
      <c r="D520" s="445"/>
      <c r="I520" s="489"/>
    </row>
    <row r="521" spans="1:9">
      <c r="A521" s="1320" t="s">
        <v>1049</v>
      </c>
      <c r="B521" s="1320"/>
      <c r="C521" s="1320"/>
      <c r="D521" s="1320"/>
      <c r="E521" s="1320"/>
      <c r="F521" s="1320"/>
      <c r="G521" s="1320"/>
      <c r="H521" s="1022"/>
      <c r="I521" s="1146"/>
    </row>
    <row r="522" spans="1:9" ht="12" customHeight="1">
      <c r="A522" s="483"/>
      <c r="B522" s="483"/>
      <c r="D522" s="445"/>
      <c r="I522" s="489"/>
    </row>
    <row r="523" spans="1:9">
      <c r="C523" s="481"/>
      <c r="D523" s="1322" t="s">
        <v>791</v>
      </c>
      <c r="E523" s="1322"/>
      <c r="F523" s="1322"/>
      <c r="I523" s="489"/>
    </row>
    <row r="524" spans="1:9">
      <c r="C524" s="481"/>
      <c r="D524" s="505" t="s">
        <v>1197</v>
      </c>
      <c r="E524" s="505"/>
      <c r="F524" s="505"/>
      <c r="I524" s="489"/>
    </row>
    <row r="525" spans="1:9">
      <c r="C525" s="481"/>
      <c r="D525" s="505" t="s">
        <v>1198</v>
      </c>
      <c r="E525" s="505"/>
      <c r="F525" s="505"/>
      <c r="I525" s="489"/>
    </row>
    <row r="526" spans="1:9">
      <c r="C526" s="481"/>
      <c r="D526" s="480"/>
      <c r="E526" s="480"/>
      <c r="F526" s="480"/>
      <c r="I526" s="489"/>
    </row>
    <row r="527" spans="1:9" ht="13.7" customHeight="1">
      <c r="A527" s="482"/>
      <c r="B527" s="484" t="s">
        <v>2752</v>
      </c>
      <c r="C527" s="482"/>
      <c r="D527" s="1291" t="s">
        <v>2017</v>
      </c>
      <c r="E527" s="1291"/>
      <c r="F527" s="1291"/>
      <c r="I527" s="489"/>
    </row>
    <row r="528" spans="1:9">
      <c r="A528" s="482"/>
      <c r="B528" s="482"/>
      <c r="C528" s="482"/>
      <c r="D528" s="1291"/>
      <c r="E528" s="1291"/>
      <c r="F528" s="1291"/>
      <c r="I528" s="489"/>
    </row>
    <row r="529" spans="1:9">
      <c r="A529" s="482"/>
      <c r="B529" s="482"/>
      <c r="C529" s="482"/>
      <c r="D529" s="450"/>
      <c r="E529" s="450"/>
      <c r="F529" s="450"/>
      <c r="I529" s="479"/>
    </row>
    <row r="530" spans="1:9" ht="12.75" customHeight="1">
      <c r="A530" s="482"/>
      <c r="B530" s="484" t="s">
        <v>2753</v>
      </c>
      <c r="D530" s="385" t="s">
        <v>1875</v>
      </c>
      <c r="E530" s="384"/>
      <c r="F530" s="384"/>
      <c r="I530" s="489"/>
    </row>
    <row r="531" spans="1:9">
      <c r="A531" s="482"/>
      <c r="B531" s="482"/>
      <c r="C531" s="482"/>
      <c r="D531" s="384"/>
      <c r="E531" s="96" t="s">
        <v>1876</v>
      </c>
      <c r="I531" s="489"/>
    </row>
    <row r="532" spans="1:9">
      <c r="A532" s="482"/>
      <c r="B532" s="482"/>
      <c r="D532" s="1299" t="s">
        <v>2018</v>
      </c>
      <c r="E532" s="1299"/>
      <c r="F532" s="1299"/>
      <c r="I532" s="489"/>
    </row>
    <row r="533" spans="1:9">
      <c r="A533" s="482"/>
      <c r="B533" s="482"/>
      <c r="D533" s="1299"/>
      <c r="E533" s="1299"/>
      <c r="F533" s="1299"/>
      <c r="I533" s="489"/>
    </row>
    <row r="534" spans="1:9">
      <c r="A534" s="482"/>
      <c r="B534" s="482"/>
      <c r="C534" s="482"/>
      <c r="D534" s="1299"/>
      <c r="E534" s="1299"/>
      <c r="F534" s="1299"/>
      <c r="I534" s="489"/>
    </row>
    <row r="535" spans="1:9">
      <c r="A535" s="482"/>
      <c r="B535" s="482"/>
      <c r="C535" s="482"/>
      <c r="D535" s="497"/>
      <c r="F535" s="445"/>
      <c r="I535" s="489"/>
    </row>
    <row r="536" spans="1:9" ht="13.15" customHeight="1">
      <c r="A536" s="482"/>
      <c r="B536" s="484" t="s">
        <v>2752</v>
      </c>
      <c r="C536" s="482"/>
      <c r="D536" s="1319" t="s">
        <v>2634</v>
      </c>
      <c r="E536" s="1319"/>
      <c r="F536" s="1319"/>
      <c r="I536" s="489"/>
    </row>
    <row r="537" spans="1:9" ht="13.15" customHeight="1">
      <c r="A537" s="482"/>
      <c r="B537" s="482"/>
      <c r="C537" s="482"/>
      <c r="D537" s="1319"/>
      <c r="E537" s="1319"/>
      <c r="F537" s="1319"/>
      <c r="I537" s="489"/>
    </row>
    <row r="538" spans="1:9">
      <c r="A538" s="482"/>
      <c r="B538" s="482"/>
      <c r="C538" s="482"/>
      <c r="D538" s="1319"/>
      <c r="E538" s="1319"/>
      <c r="F538" s="1319"/>
      <c r="I538" s="489"/>
    </row>
    <row r="539" spans="1:9" ht="12" customHeight="1">
      <c r="A539" s="445"/>
      <c r="B539" s="445"/>
      <c r="C539" s="486"/>
      <c r="D539" s="445"/>
      <c r="F539" s="447"/>
      <c r="I539" s="489"/>
    </row>
    <row r="540" spans="1:9">
      <c r="A540" s="1320" t="s">
        <v>1050</v>
      </c>
      <c r="B540" s="1320"/>
      <c r="C540" s="1320"/>
      <c r="D540" s="1320"/>
      <c r="E540" s="1320"/>
      <c r="F540" s="1320"/>
      <c r="G540" s="1320"/>
      <c r="H540" s="1022"/>
      <c r="I540" s="1146"/>
    </row>
    <row r="541" spans="1:9">
      <c r="A541" s="445"/>
      <c r="B541" s="445"/>
      <c r="C541" s="486"/>
      <c r="F541" s="447"/>
      <c r="I541" s="489"/>
    </row>
    <row r="542" spans="1:9">
      <c r="B542" s="1325" t="s">
        <v>444</v>
      </c>
      <c r="C542" s="1325"/>
      <c r="D542" s="1325"/>
      <c r="E542" s="1325"/>
      <c r="F542" s="1325"/>
      <c r="I542" s="489"/>
    </row>
    <row r="543" spans="1:9">
      <c r="A543" s="445"/>
      <c r="B543" s="445"/>
      <c r="C543" s="486"/>
      <c r="D543" s="445"/>
      <c r="F543" s="445"/>
      <c r="I543" s="489"/>
    </row>
    <row r="544" spans="1:9">
      <c r="A544" s="1323" t="s">
        <v>1051</v>
      </c>
      <c r="B544" s="1323"/>
      <c r="C544" s="1323"/>
      <c r="D544" s="1323"/>
      <c r="E544" s="1323"/>
      <c r="F544" s="1323"/>
      <c r="G544" s="1323"/>
      <c r="H544" s="1022"/>
      <c r="I544" s="1146"/>
    </row>
    <row r="545" spans="1:9">
      <c r="A545" s="445"/>
      <c r="B545" s="445"/>
      <c r="C545" s="486"/>
      <c r="D545" s="445"/>
      <c r="F545" s="445"/>
      <c r="I545" s="489"/>
    </row>
    <row r="546" spans="1:9">
      <c r="C546" s="486"/>
      <c r="D546" s="1322" t="s">
        <v>681</v>
      </c>
      <c r="E546" s="1322"/>
      <c r="F546" s="1322"/>
      <c r="I546" s="489"/>
    </row>
    <row r="547" spans="1:9">
      <c r="C547" s="486"/>
      <c r="D547" s="1321" t="s">
        <v>1079</v>
      </c>
      <c r="E547" s="1321"/>
      <c r="F547" s="1321"/>
      <c r="I547" s="489"/>
    </row>
    <row r="548" spans="1:9">
      <c r="C548" s="486"/>
      <c r="D548" s="445"/>
      <c r="E548" s="445"/>
      <c r="F548" s="445"/>
      <c r="I548" s="489"/>
    </row>
    <row r="549" spans="1:9" ht="13.7" customHeight="1">
      <c r="A549" s="483"/>
      <c r="B549" s="484" t="s">
        <v>2752</v>
      </c>
      <c r="C549" s="486"/>
      <c r="D549" s="1321" t="s">
        <v>882</v>
      </c>
      <c r="E549" s="1321"/>
      <c r="F549" s="1321"/>
      <c r="I549" s="489"/>
    </row>
    <row r="550" spans="1:9" ht="13.7" customHeight="1">
      <c r="A550" s="486"/>
      <c r="B550" s="486"/>
      <c r="C550" s="486"/>
      <c r="D550" s="445"/>
      <c r="I550" s="489"/>
    </row>
    <row r="551" spans="1:9" ht="14.25">
      <c r="A551" s="483"/>
      <c r="B551" s="484" t="s">
        <v>2752</v>
      </c>
      <c r="C551" s="486"/>
      <c r="D551" s="1319" t="s">
        <v>1080</v>
      </c>
      <c r="E551" s="1319"/>
      <c r="F551" s="1319"/>
      <c r="I551" s="489"/>
    </row>
    <row r="552" spans="1:9">
      <c r="A552" s="486"/>
      <c r="B552" s="486"/>
      <c r="C552" s="486"/>
      <c r="D552" s="1319"/>
      <c r="E552" s="1319"/>
      <c r="F552" s="1319"/>
      <c r="I552" s="489"/>
    </row>
    <row r="553" spans="1:9">
      <c r="A553" s="486"/>
      <c r="B553" s="486"/>
      <c r="C553" s="486"/>
      <c r="D553" s="445"/>
      <c r="E553" s="445"/>
      <c r="F553" s="445"/>
      <c r="I553" s="489"/>
    </row>
    <row r="554" spans="1:9" ht="14.25">
      <c r="A554" s="483"/>
      <c r="B554" s="484" t="s">
        <v>2752</v>
      </c>
      <c r="C554" s="486"/>
      <c r="D554" s="1319" t="s">
        <v>1081</v>
      </c>
      <c r="E554" s="1319"/>
      <c r="F554" s="1319"/>
      <c r="I554" s="489"/>
    </row>
    <row r="555" spans="1:9">
      <c r="A555" s="486"/>
      <c r="B555" s="486"/>
      <c r="C555" s="486"/>
      <c r="D555" s="1319"/>
      <c r="E555" s="1319"/>
      <c r="F555" s="1319"/>
      <c r="I555" s="489"/>
    </row>
    <row r="556" spans="1:9">
      <c r="A556" s="486"/>
      <c r="B556" s="486"/>
      <c r="C556" s="486"/>
      <c r="D556" s="445"/>
      <c r="E556" s="445"/>
      <c r="F556" s="445"/>
      <c r="I556" s="489"/>
    </row>
    <row r="557" spans="1:9" ht="14.25">
      <c r="A557" s="483"/>
      <c r="B557" s="484" t="s">
        <v>2752</v>
      </c>
      <c r="C557" s="486"/>
      <c r="D557" s="1319" t="s">
        <v>1082</v>
      </c>
      <c r="E557" s="1319"/>
      <c r="F557" s="1319"/>
      <c r="I557" s="489"/>
    </row>
    <row r="558" spans="1:9">
      <c r="A558" s="486"/>
      <c r="B558" s="486"/>
      <c r="C558" s="486"/>
      <c r="D558" s="1319"/>
      <c r="E558" s="1319"/>
      <c r="F558" s="1319"/>
      <c r="I558" s="489"/>
    </row>
    <row r="559" spans="1:9">
      <c r="A559" s="486"/>
      <c r="B559" s="486"/>
      <c r="C559" s="486"/>
      <c r="D559" s="445"/>
      <c r="E559" s="445"/>
      <c r="F559" s="445"/>
      <c r="I559" s="489"/>
    </row>
    <row r="560" spans="1:9" ht="14.25">
      <c r="A560" s="483"/>
      <c r="B560" s="484" t="s">
        <v>2752</v>
      </c>
      <c r="C560" s="486"/>
      <c r="D560" s="1319" t="s">
        <v>1083</v>
      </c>
      <c r="E560" s="1319"/>
      <c r="F560" s="1319"/>
      <c r="I560" s="489"/>
    </row>
    <row r="561" spans="1:9">
      <c r="A561" s="486"/>
      <c r="B561" s="486"/>
      <c r="C561" s="486"/>
      <c r="D561" s="1319"/>
      <c r="E561" s="1319"/>
      <c r="F561" s="1319"/>
      <c r="I561" s="489"/>
    </row>
    <row r="562" spans="1:9">
      <c r="A562" s="486"/>
      <c r="B562" s="486"/>
      <c r="C562" s="486"/>
      <c r="D562" s="1319"/>
      <c r="E562" s="1319"/>
      <c r="F562" s="1319"/>
      <c r="I562" s="489"/>
    </row>
    <row r="563" spans="1:9">
      <c r="A563" s="486"/>
      <c r="B563" s="486"/>
      <c r="C563" s="486"/>
      <c r="D563" s="445"/>
      <c r="E563" s="445"/>
      <c r="F563" s="445"/>
      <c r="I563" s="489"/>
    </row>
    <row r="564" spans="1:9" ht="14.25">
      <c r="A564" s="483"/>
      <c r="B564" s="484" t="s">
        <v>2753</v>
      </c>
      <c r="C564" s="486"/>
      <c r="D564" s="1319" t="s">
        <v>2198</v>
      </c>
      <c r="E564" s="1319"/>
      <c r="F564" s="1319"/>
      <c r="I564" s="489"/>
    </row>
    <row r="565" spans="1:9">
      <c r="A565" s="486"/>
      <c r="B565" s="486"/>
      <c r="C565" s="486"/>
      <c r="D565" s="1319"/>
      <c r="E565" s="1319"/>
      <c r="F565" s="1319"/>
      <c r="I565" s="489"/>
    </row>
    <row r="566" spans="1:9">
      <c r="A566" s="486"/>
      <c r="B566" s="486"/>
      <c r="C566" s="486"/>
      <c r="D566" s="445"/>
      <c r="E566" s="445"/>
      <c r="F566" s="445"/>
      <c r="I566" s="489"/>
    </row>
    <row r="567" spans="1:9" ht="14.25">
      <c r="A567" s="483"/>
      <c r="B567" s="484" t="s">
        <v>2752</v>
      </c>
      <c r="C567" s="486"/>
      <c r="D567" s="1319" t="s">
        <v>1084</v>
      </c>
      <c r="E567" s="1319"/>
      <c r="F567" s="1319"/>
      <c r="I567" s="489"/>
    </row>
    <row r="568" spans="1:9">
      <c r="A568" s="486"/>
      <c r="B568" s="486"/>
      <c r="C568" s="486"/>
      <c r="D568" s="1319"/>
      <c r="E568" s="1319"/>
      <c r="F568" s="1319"/>
      <c r="I568" s="489"/>
    </row>
    <row r="569" spans="1:9">
      <c r="A569" s="486"/>
      <c r="B569" s="486"/>
      <c r="C569" s="486"/>
      <c r="D569" s="445"/>
      <c r="E569" s="445"/>
      <c r="F569" s="445"/>
      <c r="I569" s="489"/>
    </row>
    <row r="570" spans="1:9" ht="14.25">
      <c r="A570" s="483"/>
      <c r="B570" s="484" t="s">
        <v>2752</v>
      </c>
      <c r="C570" s="486"/>
      <c r="D570" s="1321" t="s">
        <v>1085</v>
      </c>
      <c r="E570" s="1321"/>
      <c r="F570" s="1321"/>
      <c r="I570" s="489"/>
    </row>
    <row r="571" spans="1:9">
      <c r="A571" s="489"/>
      <c r="B571" s="489"/>
      <c r="C571" s="486"/>
      <c r="D571" s="1321" t="s">
        <v>1878</v>
      </c>
      <c r="E571" s="1321"/>
      <c r="F571" s="1321"/>
      <c r="I571" s="489"/>
    </row>
    <row r="572" spans="1:9">
      <c r="A572" s="489"/>
      <c r="B572" s="489"/>
      <c r="C572" s="486"/>
      <c r="E572" s="96" t="s">
        <v>1877</v>
      </c>
      <c r="F572" s="403"/>
      <c r="I572" s="489"/>
    </row>
    <row r="573" spans="1:9" ht="14.25">
      <c r="A573" s="483"/>
      <c r="B573" s="483"/>
      <c r="C573" s="486"/>
      <c r="E573" s="445"/>
      <c r="F573" s="445"/>
      <c r="I573" s="489"/>
    </row>
    <row r="574" spans="1:9" ht="14.25">
      <c r="A574" s="483"/>
      <c r="B574" s="484" t="s">
        <v>2752</v>
      </c>
      <c r="C574" s="486"/>
      <c r="D574" s="1321" t="s">
        <v>1086</v>
      </c>
      <c r="E574" s="1321"/>
      <c r="F574" s="1321"/>
      <c r="I574" s="489"/>
    </row>
    <row r="575" spans="1:9">
      <c r="C575" s="486"/>
      <c r="D575" s="1319" t="s">
        <v>1087</v>
      </c>
      <c r="E575" s="1319"/>
      <c r="F575" s="1319"/>
      <c r="I575" s="489"/>
    </row>
    <row r="576" spans="1:9">
      <c r="A576" s="486"/>
      <c r="B576" s="486"/>
      <c r="C576" s="486"/>
      <c r="D576" s="1319"/>
      <c r="E576" s="1319"/>
      <c r="F576" s="1319"/>
      <c r="I576" s="489"/>
    </row>
    <row r="577" spans="1:9">
      <c r="A577" s="486"/>
      <c r="B577" s="486"/>
      <c r="C577" s="486"/>
      <c r="D577" s="1319"/>
      <c r="E577" s="1319"/>
      <c r="F577" s="1319"/>
      <c r="I577" s="489"/>
    </row>
    <row r="578" spans="1:9">
      <c r="A578" s="486"/>
      <c r="B578" s="486"/>
      <c r="C578" s="486"/>
      <c r="D578" s="445"/>
      <c r="E578" s="445"/>
      <c r="F578" s="445"/>
      <c r="I578" s="489"/>
    </row>
    <row r="579" spans="1:9" ht="14.25">
      <c r="A579" s="483"/>
      <c r="B579" s="484" t="s">
        <v>2752</v>
      </c>
      <c r="C579" s="486"/>
      <c r="D579" s="1319" t="s">
        <v>2019</v>
      </c>
      <c r="E579" s="1319"/>
      <c r="F579" s="1319"/>
      <c r="I579" s="489"/>
    </row>
    <row r="580" spans="1:9" ht="14.25">
      <c r="A580" s="483"/>
      <c r="B580" s="483"/>
      <c r="C580" s="486"/>
      <c r="D580" s="1319"/>
      <c r="E580" s="1319"/>
      <c r="F580" s="1319"/>
      <c r="I580" s="489"/>
    </row>
    <row r="581" spans="1:9" ht="14.25">
      <c r="A581" s="483"/>
      <c r="B581" s="483"/>
      <c r="C581" s="486"/>
      <c r="D581" s="1319"/>
      <c r="E581" s="1319"/>
      <c r="F581" s="1319"/>
      <c r="I581" s="489"/>
    </row>
    <row r="582" spans="1:9" ht="14.25">
      <c r="A582" s="483"/>
      <c r="B582" s="483"/>
      <c r="C582" s="486"/>
      <c r="D582" s="1319"/>
      <c r="E582" s="1319"/>
      <c r="F582" s="1319"/>
      <c r="I582" s="489"/>
    </row>
    <row r="583" spans="1:9" ht="14.25">
      <c r="A583" s="483"/>
      <c r="B583" s="483"/>
      <c r="C583" s="486"/>
      <c r="D583" s="445"/>
      <c r="E583" s="445"/>
      <c r="F583" s="445"/>
      <c r="I583" s="489"/>
    </row>
    <row r="584" spans="1:9">
      <c r="A584" s="1320" t="s">
        <v>1052</v>
      </c>
      <c r="B584" s="1320"/>
      <c r="C584" s="1320"/>
      <c r="D584" s="1320"/>
      <c r="E584" s="1320"/>
      <c r="F584" s="1320"/>
      <c r="G584" s="1320"/>
      <c r="H584" s="1022"/>
      <c r="I584" s="1146"/>
    </row>
    <row r="585" spans="1:9">
      <c r="A585" s="486"/>
      <c r="B585" s="486"/>
      <c r="C585" s="486"/>
      <c r="E585" s="445"/>
      <c r="F585" s="445"/>
      <c r="I585" s="489"/>
    </row>
    <row r="586" spans="1:9" ht="12.75" customHeight="1">
      <c r="C586" s="481"/>
      <c r="D586" s="1339" t="s">
        <v>209</v>
      </c>
      <c r="E586" s="1339"/>
      <c r="F586" s="1339"/>
      <c r="I586" s="489"/>
    </row>
    <row r="587" spans="1:9">
      <c r="A587" s="482"/>
      <c r="B587" s="482"/>
      <c r="C587" s="482"/>
      <c r="D587" s="1335" t="s">
        <v>1065</v>
      </c>
      <c r="E587" s="1335"/>
      <c r="F587" s="1335"/>
      <c r="I587" s="489"/>
    </row>
    <row r="588" spans="1:9">
      <c r="A588" s="401"/>
      <c r="B588" s="401"/>
      <c r="C588" s="482"/>
      <c r="D588" s="498"/>
      <c r="I588" s="489"/>
    </row>
    <row r="589" spans="1:9">
      <c r="A589" s="482"/>
      <c r="B589" s="484" t="s">
        <v>2752</v>
      </c>
      <c r="D589" s="1335" t="s">
        <v>886</v>
      </c>
      <c r="E589" s="1335"/>
      <c r="F589" s="1335"/>
      <c r="I589" s="489"/>
    </row>
    <row r="590" spans="1:9">
      <c r="A590" s="489"/>
      <c r="B590" s="489"/>
      <c r="D590" s="475"/>
      <c r="I590" s="489"/>
    </row>
    <row r="591" spans="1:9">
      <c r="A591" s="489"/>
      <c r="B591" s="484" t="s">
        <v>2752</v>
      </c>
      <c r="D591" s="1335" t="s">
        <v>2020</v>
      </c>
      <c r="E591" s="1335"/>
      <c r="F591" s="1335"/>
      <c r="I591" s="489"/>
    </row>
    <row r="592" spans="1:9">
      <c r="A592" s="489"/>
      <c r="B592" s="489"/>
      <c r="D592" s="1335"/>
      <c r="E592" s="1335"/>
      <c r="F592" s="1335"/>
      <c r="I592" s="489"/>
    </row>
    <row r="593" spans="1:9">
      <c r="A593" s="489"/>
      <c r="B593" s="489"/>
      <c r="D593" s="1335"/>
      <c r="E593" s="1335"/>
      <c r="F593" s="1335"/>
      <c r="I593" s="489"/>
    </row>
    <row r="594" spans="1:9">
      <c r="A594" s="489"/>
      <c r="B594" s="489"/>
      <c r="D594" s="1335"/>
      <c r="E594" s="1335"/>
      <c r="F594" s="1335"/>
      <c r="I594" s="489"/>
    </row>
    <row r="595" spans="1:9">
      <c r="A595" s="489"/>
      <c r="B595" s="484" t="s">
        <v>2753</v>
      </c>
      <c r="D595" s="1335" t="s">
        <v>1066</v>
      </c>
      <c r="E595" s="1335"/>
      <c r="F595" s="1335"/>
      <c r="I595" s="489"/>
    </row>
    <row r="596" spans="1:9">
      <c r="A596" s="489"/>
      <c r="B596" s="489"/>
      <c r="D596" s="1335"/>
      <c r="E596" s="1335"/>
      <c r="F596" s="1335"/>
      <c r="I596" s="489"/>
    </row>
    <row r="597" spans="1:9">
      <c r="A597" s="489"/>
      <c r="B597" s="489"/>
      <c r="D597" s="1335"/>
      <c r="E597" s="1335"/>
      <c r="F597" s="1335"/>
      <c r="I597" s="489"/>
    </row>
    <row r="598" spans="1:9">
      <c r="A598" s="489"/>
      <c r="B598" s="489"/>
      <c r="D598" s="1335"/>
      <c r="E598" s="1335"/>
      <c r="F598" s="1335"/>
      <c r="I598" s="489"/>
    </row>
    <row r="599" spans="1:9">
      <c r="A599" s="489"/>
      <c r="B599" s="489"/>
      <c r="D599" s="439"/>
      <c r="E599" s="439"/>
      <c r="F599" s="439"/>
      <c r="I599" s="489"/>
    </row>
    <row r="600" spans="1:9">
      <c r="A600" s="489"/>
      <c r="B600" s="484" t="s">
        <v>2752</v>
      </c>
      <c r="D600" s="1335" t="s">
        <v>2021</v>
      </c>
      <c r="E600" s="1335"/>
      <c r="F600" s="1335"/>
      <c r="I600" s="489"/>
    </row>
    <row r="601" spans="1:9">
      <c r="A601" s="489"/>
      <c r="B601" s="489"/>
      <c r="D601" s="1335"/>
      <c r="E601" s="1335"/>
      <c r="F601" s="1335"/>
      <c r="I601" s="489"/>
    </row>
    <row r="602" spans="1:9">
      <c r="A602" s="489"/>
      <c r="B602" s="489"/>
      <c r="D602" s="498"/>
      <c r="I602" s="489"/>
    </row>
    <row r="603" spans="1:9">
      <c r="A603" s="489"/>
      <c r="B603" s="484" t="s">
        <v>2753</v>
      </c>
      <c r="D603" s="1335" t="s">
        <v>1067</v>
      </c>
      <c r="E603" s="1335"/>
      <c r="F603" s="1335"/>
      <c r="I603" s="489"/>
    </row>
    <row r="604" spans="1:9">
      <c r="A604" s="489"/>
      <c r="B604" s="489"/>
      <c r="D604" s="1335"/>
      <c r="E604" s="1335"/>
      <c r="F604" s="1335"/>
      <c r="I604" s="489"/>
    </row>
    <row r="605" spans="1:9" ht="14.25">
      <c r="A605" s="483"/>
      <c r="B605" s="483"/>
      <c r="D605" s="498"/>
      <c r="I605" s="489"/>
    </row>
    <row r="606" spans="1:9">
      <c r="A606" s="1320" t="s">
        <v>1053</v>
      </c>
      <c r="B606" s="1320"/>
      <c r="C606" s="1320"/>
      <c r="D606" s="1320"/>
      <c r="E606" s="1320"/>
      <c r="F606" s="1320"/>
      <c r="G606" s="1320"/>
      <c r="H606" s="1022"/>
      <c r="I606" s="1146"/>
    </row>
    <row r="607" spans="1:9">
      <c r="I607" s="489"/>
    </row>
    <row r="608" spans="1:9">
      <c r="D608" s="1322" t="s">
        <v>1105</v>
      </c>
      <c r="E608" s="1322"/>
      <c r="F608" s="1322"/>
      <c r="I608" s="489"/>
    </row>
    <row r="609" spans="1:9">
      <c r="D609" s="1301" t="s">
        <v>1106</v>
      </c>
      <c r="E609" s="1301"/>
      <c r="F609" s="1301"/>
      <c r="I609" s="489"/>
    </row>
    <row r="610" spans="1:9">
      <c r="D610" s="443"/>
      <c r="I610" s="489"/>
    </row>
    <row r="611" spans="1:9" ht="14.25" customHeight="1">
      <c r="A611" s="483"/>
      <c r="B611" s="484" t="s">
        <v>2752</v>
      </c>
      <c r="D611" s="1336" t="s">
        <v>1879</v>
      </c>
      <c r="E611" s="1336"/>
      <c r="F611" s="1336"/>
      <c r="I611" s="489"/>
    </row>
    <row r="612" spans="1:9">
      <c r="D612" s="1336"/>
      <c r="E612" s="1336"/>
      <c r="F612" s="1336"/>
      <c r="I612" s="489"/>
    </row>
    <row r="613" spans="1:9">
      <c r="D613" s="384"/>
      <c r="E613" s="1030" t="s">
        <v>1880</v>
      </c>
      <c r="F613" s="384"/>
      <c r="I613" s="489"/>
    </row>
    <row r="614" spans="1:9">
      <c r="I614" s="489"/>
    </row>
    <row r="615" spans="1:9">
      <c r="A615" s="1320" t="s">
        <v>1054</v>
      </c>
      <c r="B615" s="1320"/>
      <c r="C615" s="1320"/>
      <c r="D615" s="1320"/>
      <c r="E615" s="1320"/>
      <c r="F615" s="1320"/>
      <c r="G615" s="1320"/>
      <c r="H615" s="1022"/>
      <c r="I615" s="1146"/>
    </row>
    <row r="616" spans="1:9">
      <c r="A616" s="445"/>
      <c r="B616" s="445"/>
      <c r="I616" s="489"/>
    </row>
    <row r="617" spans="1:9">
      <c r="A617" s="481"/>
      <c r="B617" s="481"/>
      <c r="C617" s="481"/>
      <c r="D617" s="1331" t="s">
        <v>1107</v>
      </c>
      <c r="E617" s="1331"/>
      <c r="F617" s="1331"/>
      <c r="I617" s="489"/>
    </row>
    <row r="618" spans="1:9">
      <c r="A618" s="481"/>
      <c r="B618" s="481"/>
      <c r="C618" s="481"/>
      <c r="D618" s="1331"/>
      <c r="E618" s="1331"/>
      <c r="F618" s="1331"/>
      <c r="I618" s="489"/>
    </row>
    <row r="619" spans="1:9">
      <c r="C619" s="482"/>
      <c r="D619" s="1301" t="s">
        <v>1108</v>
      </c>
      <c r="E619" s="1301"/>
      <c r="F619" s="1301"/>
      <c r="I619" s="489"/>
    </row>
    <row r="620" spans="1:9">
      <c r="C620" s="482"/>
      <c r="D620" s="443"/>
      <c r="E620" s="443"/>
      <c r="F620" s="443"/>
      <c r="I620" s="489"/>
    </row>
    <row r="621" spans="1:9">
      <c r="B621" s="484" t="s">
        <v>2752</v>
      </c>
      <c r="C621" s="482"/>
      <c r="D621" s="1300" t="s">
        <v>2601</v>
      </c>
      <c r="E621" s="1300"/>
      <c r="F621" s="1300"/>
      <c r="I621" s="489"/>
    </row>
    <row r="622" spans="1:9">
      <c r="C622" s="482"/>
      <c r="D622" s="443"/>
      <c r="E622" s="443"/>
      <c r="F622" s="443"/>
      <c r="I622" s="489"/>
    </row>
    <row r="623" spans="1:9" ht="12.75" customHeight="1">
      <c r="A623" s="489"/>
      <c r="B623" s="484" t="s">
        <v>2752</v>
      </c>
      <c r="D623" s="1318" t="s">
        <v>1109</v>
      </c>
      <c r="E623" s="1318"/>
      <c r="F623" s="1318"/>
      <c r="I623" s="489"/>
    </row>
    <row r="624" spans="1:9">
      <c r="D624" s="1318"/>
      <c r="E624" s="1318"/>
      <c r="F624" s="1318"/>
      <c r="I624" s="489"/>
    </row>
    <row r="625" spans="1:9">
      <c r="I625" s="489"/>
    </row>
    <row r="626" spans="1:9">
      <c r="B626" s="484" t="s">
        <v>2752</v>
      </c>
      <c r="D626" s="1318" t="s">
        <v>1110</v>
      </c>
      <c r="E626" s="1318"/>
      <c r="F626" s="1318"/>
      <c r="I626" s="489"/>
    </row>
    <row r="627" spans="1:9">
      <c r="C627" s="499"/>
      <c r="D627" s="1318"/>
      <c r="E627" s="1318"/>
      <c r="F627" s="1318"/>
      <c r="I627" s="489"/>
    </row>
    <row r="628" spans="1:9">
      <c r="C628" s="499"/>
      <c r="I628" s="489"/>
    </row>
    <row r="629" spans="1:9">
      <c r="B629" s="484" t="s">
        <v>2753</v>
      </c>
      <c r="C629" s="499"/>
      <c r="D629" s="1318" t="s">
        <v>1111</v>
      </c>
      <c r="E629" s="1318"/>
      <c r="F629" s="1318"/>
      <c r="I629" s="489"/>
    </row>
    <row r="630" spans="1:9">
      <c r="C630" s="499"/>
      <c r="D630" s="1318"/>
      <c r="E630" s="1318"/>
      <c r="F630" s="1318"/>
      <c r="I630" s="499"/>
    </row>
    <row r="631" spans="1:9">
      <c r="C631" s="499"/>
      <c r="I631" s="489"/>
    </row>
    <row r="632" spans="1:9">
      <c r="B632" s="484" t="s">
        <v>2753</v>
      </c>
      <c r="C632" s="499"/>
      <c r="D632" s="1300" t="s">
        <v>2546</v>
      </c>
      <c r="E632" s="1300"/>
      <c r="F632" s="1300"/>
      <c r="I632" s="489"/>
    </row>
    <row r="633" spans="1:9">
      <c r="C633" s="499"/>
      <c r="I633" s="489"/>
    </row>
    <row r="634" spans="1:9">
      <c r="A634" s="1320" t="s">
        <v>1055</v>
      </c>
      <c r="B634" s="1320"/>
      <c r="C634" s="1320"/>
      <c r="D634" s="1320"/>
      <c r="E634" s="1320"/>
      <c r="F634" s="1320"/>
      <c r="G634" s="1320"/>
      <c r="H634" s="1022"/>
      <c r="I634" s="1146"/>
    </row>
    <row r="635" spans="1:9">
      <c r="A635" s="481"/>
      <c r="B635" s="481"/>
      <c r="C635" s="481"/>
      <c r="I635" s="489"/>
    </row>
    <row r="636" spans="1:9">
      <c r="C636" s="489"/>
      <c r="D636" s="1322" t="s">
        <v>1112</v>
      </c>
      <c r="E636" s="1322"/>
      <c r="F636" s="1322"/>
      <c r="I636" s="489"/>
    </row>
    <row r="637" spans="1:9">
      <c r="A637" s="489"/>
      <c r="B637" s="489"/>
      <c r="D637" s="403"/>
      <c r="I637" s="489"/>
    </row>
    <row r="638" spans="1:9" ht="14.25" customHeight="1">
      <c r="A638" s="483"/>
      <c r="B638" s="484" t="s">
        <v>2752</v>
      </c>
      <c r="D638" s="1336" t="s">
        <v>2022</v>
      </c>
      <c r="E638" s="1336"/>
      <c r="F638" s="1336"/>
      <c r="I638" s="489"/>
    </row>
    <row r="639" spans="1:9">
      <c r="D639" s="1336"/>
      <c r="E639" s="1336"/>
      <c r="F639" s="1336"/>
      <c r="I639" s="489"/>
    </row>
    <row r="640" spans="1:9">
      <c r="D640" s="384"/>
      <c r="E640" s="1030" t="s">
        <v>1882</v>
      </c>
      <c r="F640" s="384"/>
      <c r="I640" s="489"/>
    </row>
    <row r="641" spans="1:9">
      <c r="D641" s="1319" t="s">
        <v>1881</v>
      </c>
      <c r="E641" s="1319"/>
      <c r="F641" s="1319"/>
      <c r="I641" s="489"/>
    </row>
    <row r="642" spans="1:9">
      <c r="D642" s="1319"/>
      <c r="E642" s="1319"/>
      <c r="F642" s="1319"/>
      <c r="I642" s="489"/>
    </row>
    <row r="643" spans="1:9">
      <c r="D643" s="1319"/>
      <c r="E643" s="1319"/>
      <c r="F643" s="1319"/>
      <c r="I643" s="489"/>
    </row>
    <row r="644" spans="1:9">
      <c r="D644" s="444"/>
      <c r="E644" s="444"/>
      <c r="F644" s="444"/>
      <c r="I644" s="489"/>
    </row>
    <row r="645" spans="1:9" ht="14.25">
      <c r="A645" s="483"/>
      <c r="B645" s="484" t="s">
        <v>2753</v>
      </c>
      <c r="D645" s="1319" t="s">
        <v>1113</v>
      </c>
      <c r="E645" s="1319"/>
      <c r="F645" s="1319"/>
      <c r="I645" s="489"/>
    </row>
    <row r="646" spans="1:9">
      <c r="A646" s="486"/>
      <c r="B646" s="486"/>
      <c r="C646" s="486"/>
      <c r="D646" s="1319"/>
      <c r="E646" s="1319"/>
      <c r="F646" s="1319"/>
      <c r="I646" s="489"/>
    </row>
    <row r="647" spans="1:9">
      <c r="A647" s="486"/>
      <c r="B647" s="486"/>
      <c r="C647" s="486"/>
      <c r="D647" s="445"/>
      <c r="E647" s="445"/>
      <c r="F647" s="445"/>
      <c r="I647" s="489"/>
    </row>
    <row r="648" spans="1:9" ht="14.25">
      <c r="A648" s="483"/>
      <c r="B648" s="484" t="s">
        <v>2753</v>
      </c>
      <c r="C648" s="486"/>
      <c r="D648" s="1319" t="s">
        <v>1223</v>
      </c>
      <c r="E648" s="1319"/>
      <c r="F648" s="1319"/>
      <c r="I648" s="489"/>
    </row>
    <row r="649" spans="1:9" ht="14.25">
      <c r="A649" s="483"/>
      <c r="B649" s="483"/>
      <c r="C649" s="486"/>
      <c r="D649" s="1319"/>
      <c r="E649" s="1319"/>
      <c r="F649" s="1319"/>
      <c r="I649" s="489"/>
    </row>
    <row r="650" spans="1:9" ht="14.25">
      <c r="A650" s="483"/>
      <c r="B650" s="483"/>
      <c r="C650" s="486"/>
      <c r="D650" s="1319"/>
      <c r="E650" s="1319"/>
      <c r="F650" s="1319"/>
      <c r="I650" s="489"/>
    </row>
    <row r="651" spans="1:9">
      <c r="A651" s="486"/>
      <c r="B651" s="484" t="s">
        <v>2753</v>
      </c>
      <c r="C651" s="486"/>
      <c r="D651" s="1321" t="s">
        <v>1114</v>
      </c>
      <c r="E651" s="1321"/>
      <c r="F651" s="1321"/>
      <c r="I651" s="489"/>
    </row>
    <row r="652" spans="1:9">
      <c r="A652" s="486"/>
      <c r="B652" s="486"/>
      <c r="C652" s="486"/>
      <c r="D652" s="445"/>
      <c r="E652" s="445"/>
      <c r="F652" s="445"/>
      <c r="I652" s="489"/>
    </row>
    <row r="653" spans="1:9">
      <c r="A653" s="1320" t="s">
        <v>1056</v>
      </c>
      <c r="B653" s="1320"/>
      <c r="C653" s="1320"/>
      <c r="D653" s="1320"/>
      <c r="E653" s="1320"/>
      <c r="F653" s="1320"/>
      <c r="G653" s="1320"/>
      <c r="H653" s="1022"/>
      <c r="I653" s="1146"/>
    </row>
    <row r="654" spans="1:9">
      <c r="A654" s="445"/>
      <c r="B654" s="445"/>
      <c r="C654" s="486"/>
      <c r="D654" s="445"/>
      <c r="E654" s="445"/>
      <c r="F654" s="445"/>
      <c r="I654" s="489"/>
    </row>
    <row r="655" spans="1:9">
      <c r="C655" s="481"/>
      <c r="D655" s="1322" t="s">
        <v>1144</v>
      </c>
      <c r="E655" s="1322"/>
      <c r="F655" s="1322"/>
      <c r="I655" s="489"/>
    </row>
    <row r="656" spans="1:9">
      <c r="A656" s="482"/>
      <c r="B656" s="482"/>
      <c r="C656" s="482"/>
      <c r="D656" s="1321" t="s">
        <v>1145</v>
      </c>
      <c r="E656" s="1321"/>
      <c r="F656" s="1321"/>
      <c r="I656" s="489"/>
    </row>
    <row r="657" spans="1:9">
      <c r="A657" s="482"/>
      <c r="B657" s="482"/>
      <c r="C657" s="482"/>
      <c r="D657" s="445"/>
      <c r="E657" s="445"/>
      <c r="F657" s="445"/>
      <c r="I657" s="489"/>
    </row>
    <row r="658" spans="1:9" ht="12.75" customHeight="1">
      <c r="B658" s="484" t="s">
        <v>2752</v>
      </c>
      <c r="C658" s="486"/>
      <c r="D658" s="1319" t="s">
        <v>1279</v>
      </c>
      <c r="E658" s="1319"/>
      <c r="F658" s="1319"/>
      <c r="I658" s="489"/>
    </row>
    <row r="659" spans="1:9">
      <c r="D659" s="1319"/>
      <c r="E659" s="1319"/>
      <c r="F659" s="1319"/>
      <c r="I659" s="489"/>
    </row>
    <row r="660" spans="1:9">
      <c r="D660" s="1319"/>
      <c r="E660" s="1319"/>
      <c r="F660" s="1319"/>
      <c r="I660" s="489"/>
    </row>
    <row r="661" spans="1:9">
      <c r="D661" s="1319"/>
      <c r="E661" s="1319"/>
      <c r="F661" s="1319"/>
      <c r="I661" s="489"/>
    </row>
    <row r="662" spans="1:9" ht="14.45" customHeight="1">
      <c r="A662" s="483"/>
      <c r="B662" s="483"/>
      <c r="C662" s="486"/>
      <c r="D662" s="384"/>
      <c r="E662" s="384"/>
      <c r="F662" s="384"/>
      <c r="I662" s="489"/>
    </row>
    <row r="663" spans="1:9" ht="12.75" customHeight="1">
      <c r="A663" s="482"/>
      <c r="B663" s="484" t="s">
        <v>2752</v>
      </c>
      <c r="C663" s="486"/>
      <c r="D663" s="1319" t="s">
        <v>1281</v>
      </c>
      <c r="E663" s="1319"/>
      <c r="F663" s="1319"/>
      <c r="I663" s="489"/>
    </row>
    <row r="664" spans="1:9" ht="14.25">
      <c r="A664" s="482"/>
      <c r="B664" s="483"/>
      <c r="C664" s="486"/>
      <c r="D664" s="1319"/>
      <c r="E664" s="1319"/>
      <c r="F664" s="1319"/>
      <c r="I664" s="489"/>
    </row>
    <row r="665" spans="1:9" ht="14.25">
      <c r="A665" s="482"/>
      <c r="B665" s="483"/>
      <c r="C665" s="486"/>
      <c r="D665" s="1319"/>
      <c r="E665" s="1319"/>
      <c r="F665" s="1319"/>
      <c r="I665" s="489"/>
    </row>
    <row r="666" spans="1:9" ht="14.25">
      <c r="A666" s="482"/>
      <c r="B666" s="483"/>
      <c r="C666" s="486"/>
      <c r="D666" s="1319"/>
      <c r="E666" s="1319"/>
      <c r="F666" s="1319"/>
      <c r="I666" s="489"/>
    </row>
    <row r="667" spans="1:9" ht="14.25">
      <c r="A667" s="482"/>
      <c r="B667" s="483"/>
      <c r="C667" s="486"/>
      <c r="D667" s="1319"/>
      <c r="E667" s="1319"/>
      <c r="F667" s="1319"/>
      <c r="I667" s="489"/>
    </row>
    <row r="668" spans="1:9" ht="14.25" customHeight="1">
      <c r="A668" s="482"/>
      <c r="B668" s="483"/>
      <c r="C668" s="486"/>
      <c r="F668" s="385"/>
      <c r="I668" s="489"/>
    </row>
    <row r="669" spans="1:9" ht="12.75" customHeight="1">
      <c r="A669" s="482"/>
      <c r="B669" s="484" t="s">
        <v>2752</v>
      </c>
      <c r="C669" s="486"/>
      <c r="D669" s="1319" t="s">
        <v>1280</v>
      </c>
      <c r="E669" s="1319"/>
      <c r="F669" s="1319"/>
      <c r="I669" s="489"/>
    </row>
    <row r="670" spans="1:9" ht="14.25">
      <c r="A670" s="482"/>
      <c r="B670" s="483"/>
      <c r="C670" s="486"/>
      <c r="D670" s="1319"/>
      <c r="E670" s="1319"/>
      <c r="F670" s="1319"/>
      <c r="I670" s="489"/>
    </row>
    <row r="671" spans="1:9" ht="14.25">
      <c r="A671" s="483"/>
      <c r="B671" s="483"/>
      <c r="C671" s="486"/>
      <c r="D671" s="1319"/>
      <c r="E671" s="1319"/>
      <c r="F671" s="1319"/>
      <c r="I671" s="489"/>
    </row>
    <row r="672" spans="1:9" ht="14.25">
      <c r="A672" s="483"/>
      <c r="B672" s="483"/>
      <c r="C672" s="486"/>
      <c r="D672" s="1319"/>
      <c r="E672" s="1319"/>
      <c r="F672" s="1319"/>
      <c r="I672" s="489"/>
    </row>
    <row r="673" spans="1:11" ht="14.25">
      <c r="A673" s="483"/>
      <c r="B673" s="483"/>
      <c r="C673" s="486"/>
      <c r="D673" s="444"/>
      <c r="E673" s="444"/>
      <c r="F673" s="444"/>
      <c r="I673" s="489"/>
    </row>
    <row r="674" spans="1:11" ht="12.75" customHeight="1">
      <c r="A674" s="482"/>
      <c r="B674" s="484" t="s">
        <v>2753</v>
      </c>
      <c r="C674" s="486"/>
      <c r="D674" s="1319" t="s">
        <v>2023</v>
      </c>
      <c r="E674" s="1319"/>
      <c r="F674" s="1319"/>
      <c r="I674" s="489"/>
    </row>
    <row r="675" spans="1:11" ht="12.75" customHeight="1">
      <c r="A675" s="482"/>
      <c r="B675" s="483"/>
      <c r="C675" s="486"/>
      <c r="D675" s="1319"/>
      <c r="E675" s="1319"/>
      <c r="F675" s="1319"/>
      <c r="I675" s="489"/>
    </row>
    <row r="676" spans="1:11" ht="12.75" customHeight="1">
      <c r="A676" s="482"/>
      <c r="B676" s="483"/>
      <c r="C676" s="486"/>
      <c r="D676" s="1319"/>
      <c r="E676" s="1319"/>
      <c r="F676" s="1319"/>
      <c r="I676" s="489"/>
    </row>
    <row r="677" spans="1:11" ht="12.75" customHeight="1">
      <c r="A677" s="482"/>
      <c r="B677" s="483"/>
      <c r="C677" s="486"/>
      <c r="D677" s="1319"/>
      <c r="E677" s="1319"/>
      <c r="F677" s="1319"/>
      <c r="I677" s="489"/>
    </row>
    <row r="678" spans="1:11" ht="12.75" customHeight="1">
      <c r="A678" s="482"/>
      <c r="B678" s="483"/>
      <c r="C678" s="486"/>
      <c r="D678" s="1319"/>
      <c r="E678" s="1319"/>
      <c r="F678" s="1319"/>
      <c r="I678" s="489"/>
    </row>
    <row r="679" spans="1:11" ht="12.75" customHeight="1">
      <c r="A679" s="482"/>
      <c r="B679" s="483"/>
      <c r="C679" s="486"/>
      <c r="D679" s="1319"/>
      <c r="E679" s="1319"/>
      <c r="F679" s="1319"/>
      <c r="I679" s="489"/>
    </row>
    <row r="680" spans="1:11" ht="12.75" customHeight="1">
      <c r="A680" s="482"/>
      <c r="B680" s="483"/>
      <c r="C680" s="486"/>
      <c r="D680" s="1319"/>
      <c r="E680" s="1319"/>
      <c r="F680" s="1319"/>
      <c r="I680" s="489"/>
    </row>
    <row r="681" spans="1:11" ht="12.75" customHeight="1">
      <c r="A681" s="482"/>
      <c r="B681" s="483"/>
      <c r="C681" s="486"/>
      <c r="D681" s="1319"/>
      <c r="E681" s="1319"/>
      <c r="F681" s="1319"/>
      <c r="I681" s="489"/>
    </row>
    <row r="682" spans="1:11" ht="12.75" customHeight="1">
      <c r="A682" s="482"/>
      <c r="B682" s="483"/>
      <c r="C682" s="486"/>
      <c r="D682" s="1319"/>
      <c r="E682" s="1319"/>
      <c r="F682" s="1319"/>
      <c r="I682" s="489"/>
    </row>
    <row r="683" spans="1:11">
      <c r="A683" s="486"/>
      <c r="B683" s="486"/>
      <c r="C683" s="486"/>
      <c r="D683" s="445"/>
      <c r="E683" s="445"/>
      <c r="F683" s="445"/>
      <c r="I683" s="489"/>
    </row>
    <row r="684" spans="1:11">
      <c r="A684" s="1320" t="s">
        <v>1057</v>
      </c>
      <c r="B684" s="1320"/>
      <c r="C684" s="1320"/>
      <c r="D684" s="1320"/>
      <c r="E684" s="1320"/>
      <c r="F684" s="1320"/>
      <c r="G684" s="1320"/>
      <c r="H684" s="1024"/>
      <c r="I684" s="1150"/>
      <c r="J684" s="500"/>
      <c r="K684" s="500"/>
    </row>
    <row r="685" spans="1:11">
      <c r="A685" s="447"/>
      <c r="B685" s="447"/>
      <c r="C685" s="447"/>
      <c r="D685" s="447"/>
      <c r="E685" s="447"/>
      <c r="F685" s="447"/>
      <c r="G685" s="447"/>
      <c r="H685" s="500"/>
      <c r="I685" s="482"/>
      <c r="J685" s="500"/>
      <c r="K685" s="500"/>
    </row>
    <row r="686" spans="1:11">
      <c r="C686" s="481"/>
      <c r="D686" s="1322" t="s">
        <v>99</v>
      </c>
      <c r="E686" s="1322"/>
      <c r="F686" s="1322"/>
      <c r="H686" s="500"/>
      <c r="I686" s="482"/>
      <c r="J686" s="500"/>
      <c r="K686" s="500"/>
    </row>
    <row r="687" spans="1:11">
      <c r="A687" s="481"/>
      <c r="B687" s="481"/>
      <c r="C687" s="481"/>
      <c r="D687" s="1322" t="s">
        <v>123</v>
      </c>
      <c r="E687" s="1322"/>
      <c r="F687" s="1322"/>
      <c r="H687" s="500"/>
      <c r="I687" s="482"/>
      <c r="J687" s="500"/>
      <c r="K687" s="500"/>
    </row>
    <row r="688" spans="1:11">
      <c r="A688" s="482"/>
      <c r="B688" s="482"/>
      <c r="C688" s="482"/>
      <c r="D688" s="1321" t="s">
        <v>1074</v>
      </c>
      <c r="E688" s="1321"/>
      <c r="F688" s="1321"/>
      <c r="H688" s="500"/>
      <c r="I688" s="482"/>
      <c r="J688" s="500"/>
      <c r="K688" s="500"/>
    </row>
    <row r="689" spans="1:11">
      <c r="A689" s="482"/>
      <c r="B689" s="482"/>
      <c r="C689" s="482"/>
      <c r="H689" s="500"/>
      <c r="I689" s="482"/>
      <c r="J689" s="500"/>
      <c r="K689" s="500"/>
    </row>
    <row r="690" spans="1:11" ht="14.25">
      <c r="A690" s="483"/>
      <c r="B690" s="484" t="s">
        <v>2753</v>
      </c>
      <c r="C690" s="482"/>
      <c r="D690" s="1321" t="s">
        <v>883</v>
      </c>
      <c r="E690" s="1321"/>
      <c r="F690" s="1321"/>
      <c r="H690" s="500"/>
      <c r="I690" s="482"/>
      <c r="J690" s="500"/>
      <c r="K690" s="500"/>
    </row>
    <row r="691" spans="1:11">
      <c r="A691" s="482"/>
      <c r="B691" s="482"/>
      <c r="C691" s="482"/>
      <c r="D691" s="1321" t="s">
        <v>892</v>
      </c>
      <c r="E691" s="1321"/>
      <c r="F691" s="1321"/>
      <c r="H691" s="500"/>
      <c r="I691" s="482"/>
      <c r="J691" s="500"/>
      <c r="K691" s="500"/>
    </row>
    <row r="692" spans="1:11" ht="12.75" customHeight="1">
      <c r="A692" s="482"/>
      <c r="B692" s="482"/>
      <c r="C692" s="482"/>
      <c r="E692" s="1030" t="s">
        <v>1884</v>
      </c>
      <c r="F692" s="419"/>
      <c r="H692" s="500"/>
      <c r="I692" s="482"/>
      <c r="J692" s="500"/>
      <c r="K692" s="500"/>
    </row>
    <row r="693" spans="1:11">
      <c r="A693" s="482"/>
      <c r="B693" s="482"/>
      <c r="C693" s="482"/>
      <c r="E693" s="500" t="s">
        <v>1883</v>
      </c>
      <c r="F693" s="419"/>
      <c r="I693" s="482"/>
      <c r="J693" s="500"/>
      <c r="K693" s="500"/>
    </row>
    <row r="694" spans="1:11">
      <c r="A694" s="482"/>
      <c r="B694" s="482"/>
      <c r="C694" s="482"/>
      <c r="D694" s="501"/>
      <c r="E694" s="445"/>
      <c r="H694" s="500"/>
      <c r="I694" s="482"/>
      <c r="J694" s="500"/>
      <c r="K694" s="500"/>
    </row>
    <row r="695" spans="1:11" ht="14.25">
      <c r="A695" s="483"/>
      <c r="B695" s="484" t="s">
        <v>2752</v>
      </c>
      <c r="C695" s="482"/>
      <c r="D695" s="1319" t="s">
        <v>2024</v>
      </c>
      <c r="E695" s="1319"/>
      <c r="F695" s="1319"/>
      <c r="H695" s="500"/>
      <c r="I695" s="482"/>
      <c r="J695" s="500"/>
      <c r="K695" s="500"/>
    </row>
    <row r="696" spans="1:11">
      <c r="A696" s="489"/>
      <c r="B696" s="489"/>
      <c r="C696" s="482"/>
      <c r="D696" s="1319"/>
      <c r="E696" s="1319"/>
      <c r="F696" s="1319"/>
      <c r="H696" s="500"/>
      <c r="I696" s="482"/>
      <c r="J696" s="500"/>
      <c r="K696" s="500"/>
    </row>
    <row r="697" spans="1:11">
      <c r="A697" s="482"/>
      <c r="B697" s="482"/>
      <c r="C697" s="482"/>
      <c r="D697" s="1319"/>
      <c r="E697" s="1319"/>
      <c r="F697" s="1319"/>
      <c r="H697" s="500"/>
      <c r="I697" s="482"/>
      <c r="J697" s="500"/>
      <c r="K697" s="500"/>
    </row>
    <row r="698" spans="1:11">
      <c r="A698" s="482"/>
      <c r="B698" s="482"/>
      <c r="C698" s="482"/>
      <c r="H698" s="500"/>
      <c r="J698" s="500"/>
      <c r="K698" s="500"/>
    </row>
    <row r="699" spans="1:11" ht="14.25">
      <c r="A699" s="483"/>
      <c r="B699" s="484" t="s">
        <v>2752</v>
      </c>
      <c r="C699" s="482"/>
      <c r="D699" s="1321" t="s">
        <v>915</v>
      </c>
      <c r="E699" s="1321"/>
      <c r="F699" s="1321"/>
      <c r="H699" s="500"/>
      <c r="I699" s="482"/>
      <c r="J699" s="500"/>
      <c r="K699" s="500"/>
    </row>
    <row r="700" spans="1:11" ht="14.25">
      <c r="A700" s="483"/>
      <c r="B700" s="483"/>
      <c r="C700" s="482"/>
      <c r="D700" s="1321" t="s">
        <v>892</v>
      </c>
      <c r="E700" s="1321"/>
      <c r="F700" s="1321"/>
      <c r="H700" s="500"/>
      <c r="I700" s="482"/>
      <c r="J700" s="500"/>
      <c r="K700" s="500"/>
    </row>
    <row r="701" spans="1:11">
      <c r="A701" s="482"/>
      <c r="B701" s="482"/>
      <c r="C701" s="482"/>
      <c r="E701" s="1030" t="s">
        <v>1885</v>
      </c>
      <c r="F701" s="403"/>
      <c r="H701" s="500"/>
      <c r="I701" s="482"/>
      <c r="J701" s="500"/>
      <c r="K701" s="500"/>
    </row>
    <row r="702" spans="1:11">
      <c r="A702" s="482"/>
      <c r="B702" s="482"/>
      <c r="C702" s="482"/>
      <c r="D702" s="403"/>
      <c r="H702" s="500"/>
      <c r="I702" s="482"/>
      <c r="J702" s="500"/>
      <c r="K702" s="500"/>
    </row>
    <row r="703" spans="1:11" ht="14.25">
      <c r="A703" s="483"/>
      <c r="B703" s="484" t="s">
        <v>2753</v>
      </c>
      <c r="C703" s="482"/>
      <c r="D703" s="1321" t="s">
        <v>2397</v>
      </c>
      <c r="E703" s="1321"/>
      <c r="F703" s="1321"/>
      <c r="H703" s="500"/>
      <c r="I703" s="482"/>
      <c r="J703" s="500"/>
      <c r="K703" s="500"/>
    </row>
    <row r="704" spans="1:11" ht="14.25">
      <c r="A704" s="483"/>
      <c r="B704" s="483"/>
      <c r="C704" s="482"/>
      <c r="D704" s="1321" t="s">
        <v>892</v>
      </c>
      <c r="E704" s="1321"/>
      <c r="F704" s="1321"/>
      <c r="H704" s="500"/>
      <c r="I704" s="482"/>
      <c r="J704" s="500"/>
      <c r="K704" s="500"/>
    </row>
    <row r="705" spans="1:11">
      <c r="A705" s="482"/>
      <c r="B705" s="482"/>
      <c r="C705" s="482"/>
      <c r="E705" s="1030" t="s">
        <v>2398</v>
      </c>
      <c r="F705" s="403"/>
      <c r="H705" s="500"/>
      <c r="I705" s="482"/>
      <c r="J705" s="500"/>
      <c r="K705" s="500"/>
    </row>
    <row r="706" spans="1:11">
      <c r="A706" s="482"/>
      <c r="B706" s="482"/>
      <c r="C706" s="482"/>
      <c r="D706" s="403"/>
      <c r="H706" s="500"/>
      <c r="I706" s="482"/>
      <c r="J706" s="500"/>
      <c r="K706" s="500"/>
    </row>
    <row r="707" spans="1:11" ht="14.25">
      <c r="A707" s="483"/>
      <c r="B707" s="484" t="s">
        <v>2752</v>
      </c>
      <c r="C707" s="482"/>
      <c r="D707" s="1319" t="s">
        <v>2195</v>
      </c>
      <c r="E707" s="1319"/>
      <c r="F707" s="1319"/>
      <c r="H707" s="500"/>
      <c r="I707" s="482"/>
      <c r="J707" s="500"/>
      <c r="K707" s="500"/>
    </row>
    <row r="708" spans="1:11">
      <c r="A708" s="482"/>
      <c r="B708" s="482"/>
      <c r="C708" s="482"/>
      <c r="D708" s="1319"/>
      <c r="E708" s="1319"/>
      <c r="F708" s="1319"/>
      <c r="H708" s="500"/>
      <c r="I708" s="482"/>
      <c r="J708" s="500"/>
      <c r="K708" s="500"/>
    </row>
    <row r="709" spans="1:11">
      <c r="A709" s="482"/>
      <c r="B709" s="482"/>
      <c r="C709" s="482"/>
      <c r="D709" s="1319"/>
      <c r="E709" s="1319"/>
      <c r="F709" s="1319"/>
      <c r="H709" s="500"/>
      <c r="I709" s="482"/>
      <c r="J709" s="500"/>
      <c r="K709" s="500"/>
    </row>
    <row r="710" spans="1:11">
      <c r="A710" s="482"/>
      <c r="B710" s="482"/>
      <c r="C710" s="482"/>
      <c r="D710" s="1319"/>
      <c r="E710" s="1319"/>
      <c r="F710" s="1319"/>
      <c r="H710" s="500"/>
      <c r="I710" s="482"/>
      <c r="J710" s="500"/>
      <c r="K710" s="500"/>
    </row>
    <row r="711" spans="1:11">
      <c r="A711" s="482"/>
      <c r="B711" s="482"/>
      <c r="C711" s="482"/>
      <c r="D711" s="1319"/>
      <c r="E711" s="1319"/>
      <c r="F711" s="1319"/>
      <c r="H711" s="500"/>
      <c r="I711" s="482"/>
      <c r="J711" s="500"/>
      <c r="K711" s="500"/>
    </row>
    <row r="712" spans="1:11">
      <c r="A712" s="482"/>
      <c r="B712" s="482"/>
      <c r="C712" s="482"/>
      <c r="D712" s="1319"/>
      <c r="E712" s="1319"/>
      <c r="F712" s="1319"/>
      <c r="H712" s="500"/>
      <c r="I712" s="482"/>
      <c r="J712" s="500"/>
      <c r="K712" s="500"/>
    </row>
    <row r="713" spans="1:11">
      <c r="A713" s="482"/>
      <c r="B713" s="482"/>
      <c r="C713" s="482"/>
      <c r="D713" s="444"/>
      <c r="E713" s="444"/>
      <c r="F713" s="444"/>
      <c r="H713" s="500"/>
      <c r="I713" s="482"/>
      <c r="J713" s="500"/>
      <c r="K713" s="500"/>
    </row>
    <row r="714" spans="1:11">
      <c r="A714" s="482"/>
      <c r="B714" s="484" t="s">
        <v>2752</v>
      </c>
      <c r="C714" s="482"/>
      <c r="D714" s="1319" t="s">
        <v>1199</v>
      </c>
      <c r="E714" s="1319"/>
      <c r="F714" s="1319"/>
      <c r="H714" s="500"/>
      <c r="I714" s="482"/>
      <c r="J714" s="500"/>
      <c r="K714" s="500"/>
    </row>
    <row r="715" spans="1:11">
      <c r="A715" s="482"/>
      <c r="B715" s="482"/>
      <c r="C715" s="482"/>
      <c r="D715" s="1319"/>
      <c r="E715" s="1319"/>
      <c r="F715" s="1319"/>
      <c r="H715" s="500"/>
      <c r="I715" s="482"/>
      <c r="J715" s="500"/>
      <c r="K715" s="500"/>
    </row>
    <row r="716" spans="1:11">
      <c r="A716" s="482"/>
      <c r="B716" s="482"/>
      <c r="C716" s="482"/>
      <c r="D716" s="444"/>
      <c r="E716" s="444"/>
      <c r="F716" s="444"/>
      <c r="H716" s="500"/>
      <c r="I716" s="482"/>
      <c r="J716" s="500"/>
      <c r="K716" s="500"/>
    </row>
    <row r="717" spans="1:11" ht="14.25">
      <c r="A717" s="483"/>
      <c r="B717" s="484" t="s">
        <v>2752</v>
      </c>
      <c r="C717" s="482"/>
      <c r="D717" s="1319" t="s">
        <v>1075</v>
      </c>
      <c r="E717" s="1319"/>
      <c r="F717" s="1319"/>
      <c r="H717" s="500"/>
      <c r="I717" s="482"/>
      <c r="J717" s="500"/>
      <c r="K717" s="500"/>
    </row>
    <row r="718" spans="1:11">
      <c r="A718" s="482"/>
      <c r="B718" s="482"/>
      <c r="C718" s="482"/>
      <c r="D718" s="1319"/>
      <c r="E718" s="1319"/>
      <c r="F718" s="1319"/>
      <c r="H718" s="500"/>
      <c r="I718" s="482"/>
      <c r="J718" s="500"/>
      <c r="K718" s="500"/>
    </row>
    <row r="719" spans="1:11">
      <c r="A719" s="482"/>
      <c r="B719" s="482"/>
      <c r="C719" s="482"/>
      <c r="D719" s="1319"/>
      <c r="E719" s="1319"/>
      <c r="F719" s="1319"/>
      <c r="H719" s="500"/>
      <c r="I719" s="482"/>
      <c r="J719" s="500"/>
      <c r="K719" s="500"/>
    </row>
    <row r="720" spans="1:11" ht="15" customHeight="1">
      <c r="A720" s="482"/>
      <c r="B720" s="482"/>
      <c r="C720" s="482"/>
      <c r="D720" s="1319"/>
      <c r="E720" s="1319"/>
      <c r="F720" s="1319"/>
      <c r="H720" s="500"/>
      <c r="I720" s="482"/>
      <c r="J720" s="500"/>
      <c r="K720" s="500"/>
    </row>
    <row r="721" spans="1:11" ht="15" customHeight="1">
      <c r="A721" s="482"/>
      <c r="B721" s="482"/>
      <c r="C721" s="482"/>
      <c r="D721" s="1319"/>
      <c r="E721" s="1319"/>
      <c r="F721" s="1319"/>
      <c r="H721" s="500"/>
      <c r="I721" s="482"/>
      <c r="J721" s="500"/>
      <c r="K721" s="500"/>
    </row>
    <row r="722" spans="1:11">
      <c r="A722" s="482"/>
      <c r="B722" s="482"/>
      <c r="C722" s="482"/>
      <c r="D722" s="1319"/>
      <c r="E722" s="1319"/>
      <c r="F722" s="1319"/>
      <c r="H722" s="500"/>
      <c r="I722" s="482"/>
      <c r="J722" s="500"/>
      <c r="K722" s="500"/>
    </row>
    <row r="723" spans="1:11">
      <c r="A723" s="482"/>
      <c r="B723" s="482"/>
      <c r="C723" s="482"/>
      <c r="D723" s="1319"/>
      <c r="E723" s="1319"/>
      <c r="F723" s="1319"/>
      <c r="H723" s="500"/>
      <c r="I723" s="482"/>
      <c r="J723" s="500"/>
      <c r="K723" s="500"/>
    </row>
    <row r="724" spans="1:11">
      <c r="A724" s="482"/>
      <c r="B724" s="482"/>
      <c r="C724" s="482"/>
      <c r="D724" s="1319"/>
      <c r="E724" s="1319"/>
      <c r="F724" s="1319"/>
      <c r="H724" s="500"/>
      <c r="I724" s="482"/>
      <c r="J724" s="500"/>
      <c r="K724" s="500"/>
    </row>
    <row r="725" spans="1:11" ht="15" customHeight="1">
      <c r="A725" s="482"/>
      <c r="B725" s="482"/>
      <c r="C725" s="482"/>
      <c r="D725" s="1319"/>
      <c r="E725" s="1319"/>
      <c r="F725" s="1319"/>
      <c r="H725" s="500"/>
      <c r="I725" s="482"/>
      <c r="J725" s="500"/>
      <c r="K725" s="500"/>
    </row>
    <row r="726" spans="1:11">
      <c r="A726" s="482"/>
      <c r="B726" s="482"/>
      <c r="C726" s="482"/>
      <c r="D726" s="1319"/>
      <c r="E726" s="1319"/>
      <c r="F726" s="1319"/>
      <c r="H726" s="500"/>
      <c r="I726" s="482"/>
      <c r="J726" s="500"/>
      <c r="K726" s="500"/>
    </row>
    <row r="727" spans="1:11">
      <c r="A727" s="482"/>
      <c r="B727" s="482"/>
      <c r="C727" s="482"/>
      <c r="D727" s="1319"/>
      <c r="E727" s="1319"/>
      <c r="F727" s="1319"/>
      <c r="H727" s="500"/>
      <c r="I727" s="482"/>
      <c r="J727" s="500"/>
      <c r="K727" s="500"/>
    </row>
    <row r="728" spans="1:11">
      <c r="A728" s="482"/>
      <c r="B728" s="482"/>
      <c r="C728" s="482"/>
      <c r="D728" s="1319"/>
      <c r="E728" s="1319"/>
      <c r="F728" s="1319"/>
      <c r="H728" s="500"/>
      <c r="I728" s="482"/>
      <c r="J728" s="500"/>
      <c r="K728" s="500"/>
    </row>
    <row r="729" spans="1:11">
      <c r="A729" s="482"/>
      <c r="B729" s="482"/>
      <c r="C729" s="482"/>
      <c r="D729" s="1319"/>
      <c r="E729" s="1319"/>
      <c r="F729" s="1319"/>
      <c r="H729" s="500"/>
      <c r="I729" s="482"/>
      <c r="J729" s="500"/>
      <c r="K729" s="500"/>
    </row>
    <row r="730" spans="1:11">
      <c r="A730" s="482"/>
      <c r="B730" s="484" t="s">
        <v>2753</v>
      </c>
      <c r="C730" s="482"/>
      <c r="D730" s="1319" t="s">
        <v>2390</v>
      </c>
      <c r="E730" s="1319"/>
      <c r="F730" s="1319"/>
      <c r="H730" s="500"/>
      <c r="I730" s="482"/>
      <c r="J730" s="500"/>
      <c r="K730" s="500"/>
    </row>
    <row r="731" spans="1:11">
      <c r="A731" s="482"/>
      <c r="B731" s="482"/>
      <c r="C731" s="482"/>
      <c r="D731" s="1319"/>
      <c r="E731" s="1319"/>
      <c r="F731" s="1319"/>
      <c r="H731" s="500"/>
      <c r="I731" s="482"/>
      <c r="J731" s="500"/>
      <c r="K731" s="500"/>
    </row>
    <row r="732" spans="1:11">
      <c r="A732" s="482"/>
      <c r="B732" s="482"/>
      <c r="C732" s="482"/>
      <c r="D732" s="1319"/>
      <c r="E732" s="1319"/>
      <c r="F732" s="1319"/>
      <c r="H732" s="500"/>
      <c r="I732" s="482"/>
      <c r="J732" s="500"/>
      <c r="K732" s="500"/>
    </row>
    <row r="733" spans="1:11">
      <c r="A733" s="482"/>
      <c r="B733" s="482"/>
      <c r="C733" s="482"/>
      <c r="D733" s="444"/>
      <c r="E733" s="444"/>
      <c r="F733" s="444"/>
      <c r="H733" s="500"/>
      <c r="I733" s="482"/>
      <c r="J733" s="500"/>
      <c r="K733" s="500"/>
    </row>
    <row r="734" spans="1:11">
      <c r="A734" s="482"/>
      <c r="B734" s="484" t="s">
        <v>2753</v>
      </c>
      <c r="C734" s="482"/>
      <c r="D734" s="1319" t="s">
        <v>2389</v>
      </c>
      <c r="E734" s="1319"/>
      <c r="F734" s="1319"/>
      <c r="H734" s="500"/>
      <c r="I734" s="482"/>
      <c r="J734" s="500"/>
      <c r="K734" s="500"/>
    </row>
    <row r="735" spans="1:11">
      <c r="A735" s="482"/>
      <c r="B735" s="482"/>
      <c r="C735" s="482"/>
      <c r="D735" s="1319"/>
      <c r="E735" s="1319"/>
      <c r="F735" s="1319"/>
      <c r="H735" s="500"/>
      <c r="I735" s="482"/>
      <c r="J735" s="500"/>
      <c r="K735" s="500"/>
    </row>
    <row r="736" spans="1:11">
      <c r="A736" s="482"/>
      <c r="B736" s="482"/>
      <c r="C736" s="482"/>
      <c r="D736" s="1319"/>
      <c r="E736" s="1319"/>
      <c r="F736" s="1319"/>
      <c r="H736" s="500"/>
      <c r="I736" s="482"/>
      <c r="J736" s="500"/>
      <c r="K736" s="500"/>
    </row>
    <row r="737" spans="1:11">
      <c r="A737" s="482"/>
      <c r="B737" s="482"/>
      <c r="C737" s="482"/>
      <c r="H737" s="500"/>
      <c r="I737" s="482"/>
      <c r="J737" s="500"/>
      <c r="K737" s="500"/>
    </row>
    <row r="738" spans="1:11">
      <c r="A738" s="482"/>
      <c r="B738" s="484" t="s">
        <v>2753</v>
      </c>
      <c r="C738" s="482"/>
      <c r="D738" s="1319" t="s">
        <v>2388</v>
      </c>
      <c r="E738" s="1319"/>
      <c r="F738" s="1319"/>
      <c r="H738" s="500"/>
      <c r="I738" s="482"/>
      <c r="J738" s="500"/>
      <c r="K738" s="500"/>
    </row>
    <row r="739" spans="1:11">
      <c r="A739" s="482"/>
      <c r="B739" s="482"/>
      <c r="C739" s="482"/>
      <c r="D739" s="1319"/>
      <c r="E739" s="1319"/>
      <c r="F739" s="1319"/>
      <c r="H739" s="500"/>
      <c r="I739" s="482"/>
      <c r="J739" s="500"/>
      <c r="K739" s="500"/>
    </row>
    <row r="740" spans="1:11">
      <c r="A740" s="482"/>
      <c r="B740" s="482"/>
      <c r="C740" s="482"/>
      <c r="D740" s="1319"/>
      <c r="E740" s="1319"/>
      <c r="F740" s="1319"/>
      <c r="H740" s="500"/>
      <c r="I740" s="482"/>
      <c r="J740" s="500"/>
      <c r="K740" s="500"/>
    </row>
    <row r="741" spans="1:11">
      <c r="A741" s="482"/>
      <c r="B741" s="482"/>
      <c r="C741" s="482"/>
      <c r="D741" s="1319"/>
      <c r="E741" s="1319"/>
      <c r="F741" s="1319"/>
      <c r="H741" s="500"/>
      <c r="I741" s="482"/>
      <c r="J741" s="500"/>
      <c r="K741" s="500"/>
    </row>
    <row r="742" spans="1:11">
      <c r="A742" s="482"/>
      <c r="B742" s="482"/>
      <c r="C742" s="482"/>
      <c r="H742" s="500"/>
      <c r="I742" s="482"/>
      <c r="J742" s="500"/>
      <c r="K742" s="500"/>
    </row>
    <row r="743" spans="1:11" ht="14.25">
      <c r="A743" s="483"/>
      <c r="B743" s="484" t="s">
        <v>2753</v>
      </c>
      <c r="C743" s="482"/>
      <c r="D743" s="1319" t="s">
        <v>1076</v>
      </c>
      <c r="E743" s="1319"/>
      <c r="F743" s="1319"/>
      <c r="H743" s="500"/>
      <c r="I743" s="482"/>
      <c r="J743" s="500"/>
      <c r="K743" s="500"/>
    </row>
    <row r="744" spans="1:11">
      <c r="A744" s="482"/>
      <c r="B744" s="482"/>
      <c r="C744" s="482"/>
      <c r="D744" s="1319"/>
      <c r="E744" s="1319"/>
      <c r="F744" s="1319"/>
      <c r="H744" s="500"/>
      <c r="I744" s="482"/>
      <c r="J744" s="500"/>
      <c r="K744" s="500"/>
    </row>
    <row r="745" spans="1:11">
      <c r="A745" s="482"/>
      <c r="B745" s="482"/>
      <c r="C745" s="482"/>
      <c r="D745" s="1319"/>
      <c r="E745" s="1319"/>
      <c r="F745" s="1319"/>
      <c r="H745" s="500"/>
      <c r="I745" s="482"/>
      <c r="J745" s="500"/>
      <c r="K745" s="500"/>
    </row>
    <row r="746" spans="1:11">
      <c r="A746" s="482"/>
      <c r="B746" s="482"/>
      <c r="C746" s="482"/>
      <c r="D746" s="1319"/>
      <c r="E746" s="1319"/>
      <c r="F746" s="1319"/>
      <c r="H746" s="500"/>
      <c r="I746" s="482"/>
      <c r="J746" s="500"/>
      <c r="K746" s="500"/>
    </row>
    <row r="747" spans="1:11">
      <c r="A747" s="482"/>
      <c r="B747" s="482"/>
      <c r="C747" s="482"/>
      <c r="D747" s="1319"/>
      <c r="E747" s="1319"/>
      <c r="F747" s="1319"/>
      <c r="H747" s="500"/>
      <c r="I747" s="482"/>
      <c r="J747" s="500"/>
      <c r="K747" s="500"/>
    </row>
    <row r="748" spans="1:11">
      <c r="A748" s="482"/>
      <c r="B748" s="482"/>
      <c r="C748" s="482"/>
      <c r="D748" s="491"/>
      <c r="H748" s="500"/>
      <c r="I748" s="482"/>
      <c r="J748" s="500"/>
      <c r="K748" s="500"/>
    </row>
    <row r="749" spans="1:11" ht="14.25">
      <c r="A749" s="483"/>
      <c r="B749" s="484" t="s">
        <v>2753</v>
      </c>
      <c r="C749" s="482"/>
      <c r="D749" s="1319" t="s">
        <v>2098</v>
      </c>
      <c r="E749" s="1319"/>
      <c r="F749" s="1319"/>
      <c r="H749" s="500"/>
      <c r="I749" s="482"/>
      <c r="J749" s="500"/>
      <c r="K749" s="500"/>
    </row>
    <row r="750" spans="1:11">
      <c r="A750" s="482"/>
      <c r="B750" s="482"/>
      <c r="C750" s="482"/>
      <c r="D750" s="1319"/>
      <c r="E750" s="1319"/>
      <c r="F750" s="1319"/>
      <c r="H750" s="500"/>
      <c r="I750" s="482"/>
      <c r="J750" s="500"/>
      <c r="K750" s="500"/>
    </row>
    <row r="751" spans="1:11">
      <c r="A751" s="482"/>
      <c r="B751" s="482"/>
      <c r="C751" s="482"/>
      <c r="D751" s="1319"/>
      <c r="E751" s="1319"/>
      <c r="F751" s="1319"/>
      <c r="H751" s="500"/>
      <c r="I751" s="482"/>
      <c r="J751" s="500"/>
      <c r="K751" s="500"/>
    </row>
    <row r="752" spans="1:11">
      <c r="A752" s="482"/>
      <c r="B752" s="482"/>
      <c r="C752" s="482"/>
      <c r="D752" s="1319"/>
      <c r="E752" s="1319"/>
      <c r="F752" s="1319"/>
      <c r="H752" s="500"/>
      <c r="I752" s="482"/>
      <c r="J752" s="500"/>
      <c r="K752" s="500"/>
    </row>
    <row r="753" spans="1:11">
      <c r="A753" s="482"/>
      <c r="B753" s="482"/>
      <c r="C753" s="482"/>
      <c r="D753" s="1319"/>
      <c r="E753" s="1319"/>
      <c r="F753" s="1319"/>
      <c r="H753" s="500"/>
      <c r="I753" s="482"/>
      <c r="J753" s="500"/>
      <c r="K753" s="500"/>
    </row>
    <row r="754" spans="1:11">
      <c r="A754" s="482"/>
      <c r="B754" s="482"/>
      <c r="C754" s="482"/>
      <c r="D754" s="1319"/>
      <c r="E754" s="1319"/>
      <c r="F754" s="1319"/>
      <c r="H754" s="500"/>
      <c r="I754" s="482"/>
      <c r="J754" s="500"/>
      <c r="K754" s="500"/>
    </row>
    <row r="755" spans="1:11">
      <c r="A755" s="482"/>
      <c r="B755" s="482"/>
      <c r="C755" s="482"/>
      <c r="D755" s="1319"/>
      <c r="E755" s="1319"/>
      <c r="F755" s="1319"/>
      <c r="H755" s="500"/>
      <c r="I755" s="482"/>
      <c r="J755" s="500"/>
      <c r="K755" s="500"/>
    </row>
    <row r="756" spans="1:11">
      <c r="A756" s="482"/>
      <c r="B756" s="482"/>
      <c r="C756" s="482"/>
      <c r="D756" s="1324" t="s">
        <v>2611</v>
      </c>
      <c r="E756" s="1324"/>
      <c r="F756" s="1324"/>
      <c r="H756" s="500"/>
      <c r="I756" s="482"/>
      <c r="J756" s="500"/>
      <c r="K756" s="500"/>
    </row>
    <row r="757" spans="1:11">
      <c r="A757" s="482"/>
      <c r="B757" s="482"/>
      <c r="C757" s="482"/>
      <c r="D757" s="340"/>
      <c r="H757" s="500"/>
      <c r="I757" s="482"/>
      <c r="J757" s="500"/>
      <c r="K757" s="500"/>
    </row>
    <row r="758" spans="1:11">
      <c r="A758" s="1323" t="s">
        <v>1058</v>
      </c>
      <c r="B758" s="1323"/>
      <c r="C758" s="1323"/>
      <c r="D758" s="1323"/>
      <c r="E758" s="1323"/>
      <c r="F758" s="1323"/>
      <c r="G758" s="1323"/>
      <c r="H758" s="1024"/>
      <c r="I758" s="1150"/>
      <c r="J758" s="500"/>
      <c r="K758" s="500"/>
    </row>
    <row r="759" spans="1:11">
      <c r="A759" s="482"/>
      <c r="B759" s="482"/>
      <c r="C759" s="482"/>
      <c r="D759" s="491"/>
      <c r="G759" s="500"/>
      <c r="H759" s="500"/>
      <c r="I759" s="482"/>
      <c r="J759" s="500"/>
      <c r="K759" s="500"/>
    </row>
    <row r="760" spans="1:11" ht="13.7" customHeight="1">
      <c r="C760" s="482"/>
      <c r="D760" s="1339" t="s">
        <v>1068</v>
      </c>
      <c r="E760" s="1339"/>
      <c r="F760" s="1339"/>
      <c r="G760" s="500"/>
      <c r="H760" s="500"/>
      <c r="I760" s="482"/>
      <c r="J760" s="500"/>
      <c r="K760" s="500"/>
    </row>
    <row r="761" spans="1:11">
      <c r="A761" s="482"/>
      <c r="B761" s="482"/>
      <c r="C761" s="482"/>
      <c r="D761" s="1325" t="s">
        <v>1069</v>
      </c>
      <c r="E761" s="1325"/>
      <c r="F761" s="1325"/>
      <c r="G761" s="500"/>
      <c r="H761" s="500"/>
      <c r="I761" s="482"/>
      <c r="J761" s="500"/>
      <c r="K761" s="500"/>
    </row>
    <row r="762" spans="1:11">
      <c r="A762" s="482"/>
      <c r="B762" s="482"/>
      <c r="C762" s="482"/>
      <c r="G762" s="500"/>
      <c r="H762" s="500"/>
      <c r="I762" s="482"/>
      <c r="J762" s="500"/>
      <c r="K762" s="500"/>
    </row>
    <row r="763" spans="1:11" ht="14.25">
      <c r="A763" s="483"/>
      <c r="B763" s="484" t="s">
        <v>2752</v>
      </c>
      <c r="D763" s="1319" t="s">
        <v>1070</v>
      </c>
      <c r="E763" s="1319"/>
      <c r="F763" s="1319"/>
      <c r="G763" s="500"/>
      <c r="H763" s="500"/>
      <c r="I763" s="482"/>
      <c r="J763" s="500"/>
      <c r="K763" s="500"/>
    </row>
    <row r="764" spans="1:11" ht="10.5" customHeight="1">
      <c r="D764" s="1319"/>
      <c r="E764" s="1319"/>
      <c r="F764" s="1319"/>
      <c r="G764" s="500"/>
      <c r="H764" s="500"/>
      <c r="I764" s="482"/>
      <c r="J764" s="500"/>
      <c r="K764" s="500"/>
    </row>
    <row r="765" spans="1:11">
      <c r="D765" s="1319"/>
      <c r="E765" s="1319"/>
      <c r="F765" s="1319"/>
      <c r="G765" s="500"/>
      <c r="H765" s="500"/>
      <c r="I765" s="482"/>
      <c r="J765" s="500"/>
      <c r="K765" s="500"/>
    </row>
    <row r="766" spans="1:11">
      <c r="D766" s="1319"/>
      <c r="E766" s="1319"/>
      <c r="F766" s="1319"/>
      <c r="G766" s="500"/>
      <c r="H766" s="500"/>
      <c r="I766" s="482"/>
      <c r="J766" s="500"/>
      <c r="K766" s="500"/>
    </row>
    <row r="767" spans="1:11">
      <c r="D767" s="1319"/>
      <c r="E767" s="1319"/>
      <c r="F767" s="1319"/>
      <c r="G767" s="500"/>
      <c r="H767" s="500"/>
      <c r="I767" s="482"/>
      <c r="J767" s="500"/>
      <c r="K767" s="500"/>
    </row>
    <row r="768" spans="1:11" ht="15.6" customHeight="1">
      <c r="D768" s="1319"/>
      <c r="E768" s="1319"/>
      <c r="F768" s="1319"/>
      <c r="G768" s="500"/>
      <c r="H768" s="500"/>
      <c r="I768" s="482"/>
      <c r="J768" s="500"/>
      <c r="K768" s="500"/>
    </row>
    <row r="769" spans="1:11">
      <c r="D769" s="498"/>
      <c r="E769" s="445"/>
      <c r="F769" s="445"/>
      <c r="G769" s="500"/>
      <c r="H769" s="500"/>
      <c r="I769" s="482"/>
      <c r="J769" s="500"/>
      <c r="K769" s="500"/>
    </row>
    <row r="770" spans="1:11" s="504" customFormat="1" ht="14.25">
      <c r="A770" s="502"/>
      <c r="B770" s="484" t="s">
        <v>2753</v>
      </c>
      <c r="C770" s="503"/>
      <c r="D770" s="1319" t="s">
        <v>1239</v>
      </c>
      <c r="E770" s="1319"/>
      <c r="F770" s="1319"/>
      <c r="I770" s="1151"/>
    </row>
    <row r="771" spans="1:11" s="504" customFormat="1">
      <c r="A771" s="503"/>
      <c r="B771" s="503"/>
      <c r="C771" s="503"/>
      <c r="D771" s="1319"/>
      <c r="E771" s="1319"/>
      <c r="F771" s="1319"/>
      <c r="I771" s="1151"/>
    </row>
    <row r="772" spans="1:11" s="504" customFormat="1">
      <c r="A772" s="503"/>
      <c r="B772" s="503"/>
      <c r="C772" s="503"/>
      <c r="D772" s="1319"/>
      <c r="E772" s="1319"/>
      <c r="F772" s="1319"/>
      <c r="I772" s="1151"/>
    </row>
    <row r="773" spans="1:11" s="504" customFormat="1">
      <c r="A773" s="503"/>
      <c r="B773" s="503"/>
      <c r="C773" s="503"/>
      <c r="D773" s="1319"/>
      <c r="E773" s="1319"/>
      <c r="F773" s="1319"/>
      <c r="I773" s="1151"/>
    </row>
    <row r="774" spans="1:11" s="504" customFormat="1">
      <c r="A774" s="503"/>
      <c r="B774" s="503"/>
      <c r="C774" s="503"/>
      <c r="D774" s="498"/>
      <c r="I774" s="1151"/>
    </row>
    <row r="775" spans="1:11" s="504" customFormat="1" ht="14.25">
      <c r="A775" s="483"/>
      <c r="B775" s="484" t="s">
        <v>2752</v>
      </c>
      <c r="C775" s="503"/>
      <c r="D775" s="1318" t="s">
        <v>1240</v>
      </c>
      <c r="E775" s="1318"/>
      <c r="F775" s="1318"/>
      <c r="I775" s="1151"/>
    </row>
    <row r="776" spans="1:11" s="504" customFormat="1">
      <c r="A776" s="503"/>
      <c r="B776" s="503"/>
      <c r="C776" s="503"/>
      <c r="D776" s="1318"/>
      <c r="E776" s="1318"/>
      <c r="F776" s="1318"/>
      <c r="I776" s="1151"/>
    </row>
    <row r="777" spans="1:11" s="504" customFormat="1">
      <c r="A777" s="503"/>
      <c r="B777" s="503"/>
      <c r="C777" s="503"/>
      <c r="D777" s="1318"/>
      <c r="E777" s="1318"/>
      <c r="F777" s="1318"/>
      <c r="I777" s="1151"/>
    </row>
    <row r="778" spans="1:11">
      <c r="D778" s="498"/>
      <c r="E778" s="445"/>
      <c r="F778" s="445"/>
      <c r="G778" s="500"/>
      <c r="H778" s="500"/>
      <c r="I778" s="482"/>
      <c r="J778" s="500"/>
      <c r="K778" s="500"/>
    </row>
    <row r="779" spans="1:11" ht="14.25">
      <c r="A779" s="483"/>
      <c r="B779" s="484" t="s">
        <v>2753</v>
      </c>
      <c r="D779" s="1319" t="s">
        <v>1196</v>
      </c>
      <c r="E779" s="1319"/>
      <c r="F779" s="1319"/>
      <c r="G779" s="500"/>
      <c r="H779" s="500"/>
      <c r="I779" s="482"/>
      <c r="J779" s="500"/>
      <c r="K779" s="500"/>
    </row>
    <row r="780" spans="1:11">
      <c r="D780" s="1319"/>
      <c r="E780" s="1319"/>
      <c r="F780" s="1319"/>
      <c r="G780" s="500"/>
      <c r="H780" s="500"/>
      <c r="I780" s="482"/>
      <c r="J780" s="500"/>
      <c r="K780" s="500"/>
    </row>
    <row r="781" spans="1:11">
      <c r="D781" s="444"/>
      <c r="E781" s="444"/>
      <c r="F781" s="444"/>
      <c r="G781" s="500"/>
      <c r="H781" s="500"/>
      <c r="I781" s="482"/>
      <c r="J781" s="500"/>
      <c r="K781" s="500"/>
    </row>
    <row r="782" spans="1:11">
      <c r="B782" s="484" t="s">
        <v>2753</v>
      </c>
      <c r="D782" s="1319" t="s">
        <v>1213</v>
      </c>
      <c r="E782" s="1319"/>
      <c r="F782" s="1319"/>
      <c r="G782" s="500"/>
      <c r="H782" s="500"/>
      <c r="I782" s="482"/>
      <c r="J782" s="500"/>
      <c r="K782" s="500"/>
    </row>
    <row r="783" spans="1:11">
      <c r="D783" s="1319"/>
      <c r="E783" s="1319"/>
      <c r="F783" s="1319"/>
      <c r="G783" s="500"/>
      <c r="H783" s="500"/>
      <c r="I783" s="482"/>
      <c r="J783" s="500"/>
      <c r="K783" s="500"/>
    </row>
    <row r="784" spans="1:11">
      <c r="D784" s="1319"/>
      <c r="E784" s="1319"/>
      <c r="F784" s="1319"/>
      <c r="G784" s="500"/>
      <c r="H784" s="500"/>
      <c r="I784" s="482"/>
      <c r="J784" s="500"/>
      <c r="K784" s="500"/>
    </row>
    <row r="785" spans="1:11">
      <c r="D785" s="444"/>
      <c r="E785" s="444"/>
      <c r="F785" s="444"/>
      <c r="G785" s="500"/>
      <c r="H785" s="500"/>
      <c r="I785" s="482"/>
      <c r="J785" s="500"/>
      <c r="K785" s="500"/>
    </row>
    <row r="786" spans="1:11" hidden="1">
      <c r="A786" s="1338" t="s">
        <v>1788</v>
      </c>
      <c r="B786" s="1338"/>
      <c r="C786" s="1338"/>
      <c r="D786" s="1338"/>
      <c r="E786" s="1338"/>
      <c r="F786" s="1338"/>
      <c r="G786" s="1338"/>
      <c r="H786" s="1022"/>
      <c r="I786" s="1146"/>
    </row>
    <row r="787" spans="1:11" hidden="1">
      <c r="A787" s="57"/>
      <c r="B787" s="57"/>
      <c r="C787" s="353"/>
      <c r="D787" s="3"/>
      <c r="E787" s="3"/>
      <c r="F787" s="3"/>
      <c r="G787" s="3"/>
      <c r="I787" s="489"/>
    </row>
    <row r="788" spans="1:11" hidden="1">
      <c r="A788" s="57"/>
      <c r="B788" s="57"/>
      <c r="C788" s="353"/>
      <c r="D788" s="1337" t="s">
        <v>1828</v>
      </c>
      <c r="E788" s="1337"/>
      <c r="F788" s="1337"/>
      <c r="G788" s="3"/>
      <c r="I788" s="489"/>
    </row>
    <row r="789" spans="1:11" hidden="1">
      <c r="A789" s="57"/>
      <c r="B789" s="57"/>
      <c r="C789" s="353"/>
      <c r="D789" s="1329" t="s">
        <v>1742</v>
      </c>
      <c r="E789" s="1329"/>
      <c r="F789" s="1329"/>
      <c r="G789" s="3"/>
      <c r="I789" s="489"/>
    </row>
    <row r="790" spans="1:11" hidden="1">
      <c r="A790" s="57"/>
      <c r="B790" s="57"/>
      <c r="C790" s="353"/>
      <c r="D790" s="446"/>
      <c r="E790" s="446"/>
      <c r="F790" s="446"/>
      <c r="G790" s="3"/>
      <c r="I790" s="489"/>
    </row>
    <row r="791" spans="1:11" hidden="1">
      <c r="A791" s="57"/>
      <c r="B791" s="484" t="s">
        <v>306</v>
      </c>
      <c r="C791" s="353"/>
      <c r="D791" s="1311" t="s">
        <v>1743</v>
      </c>
      <c r="E791" s="1311"/>
      <c r="F791" s="1311"/>
      <c r="G791" s="3"/>
      <c r="I791" s="482"/>
    </row>
    <row r="792" spans="1:11" hidden="1">
      <c r="A792" s="57"/>
      <c r="B792" s="57"/>
      <c r="C792" s="353"/>
      <c r="D792" s="1311"/>
      <c r="E792" s="1311"/>
      <c r="F792" s="1311"/>
      <c r="G792" s="3"/>
      <c r="I792" s="489"/>
    </row>
    <row r="793" spans="1:11" hidden="1">
      <c r="A793" s="174"/>
      <c r="B793" s="174"/>
      <c r="C793" s="174"/>
      <c r="D793" s="1311"/>
      <c r="E793" s="1311"/>
      <c r="F793" s="1311"/>
      <c r="G793" s="118"/>
      <c r="I793" s="489"/>
    </row>
    <row r="794" spans="1:11" hidden="1">
      <c r="A794" s="353"/>
      <c r="B794" s="353"/>
      <c r="C794" s="353"/>
      <c r="D794" s="173"/>
      <c r="E794" s="3"/>
      <c r="F794" s="3"/>
      <c r="G794" s="3"/>
      <c r="I794" s="489"/>
    </row>
    <row r="795" spans="1:11" hidden="1">
      <c r="A795" s="172"/>
      <c r="B795" s="484" t="s">
        <v>306</v>
      </c>
      <c r="C795" s="172"/>
      <c r="D795" s="1311" t="s">
        <v>1744</v>
      </c>
      <c r="E795" s="1311"/>
      <c r="F795" s="1311"/>
      <c r="G795" s="3"/>
      <c r="I795" s="482"/>
    </row>
    <row r="796" spans="1:11" hidden="1">
      <c r="A796" s="172"/>
      <c r="B796" s="172"/>
      <c r="C796" s="172"/>
      <c r="D796" s="1311"/>
      <c r="E796" s="1311"/>
      <c r="F796" s="1311"/>
      <c r="G796" s="3"/>
      <c r="I796" s="489"/>
    </row>
    <row r="797" spans="1:11" hidden="1">
      <c r="A797" s="172"/>
      <c r="B797" s="172"/>
      <c r="C797" s="172"/>
      <c r="D797" s="1311"/>
      <c r="E797" s="1311"/>
      <c r="F797" s="1311"/>
      <c r="G797" s="3"/>
      <c r="I797" s="489"/>
    </row>
    <row r="798" spans="1:11" hidden="1">
      <c r="A798" s="174"/>
      <c r="B798" s="174"/>
      <c r="C798" s="174"/>
      <c r="D798" s="3"/>
      <c r="E798" s="982"/>
      <c r="F798" s="982"/>
      <c r="G798" s="982"/>
      <c r="I798" s="489"/>
    </row>
    <row r="799" spans="1:11" ht="14.25" hidden="1">
      <c r="A799" s="175"/>
      <c r="B799" s="484" t="s">
        <v>306</v>
      </c>
      <c r="C799" s="983"/>
      <c r="D799" s="1311" t="s">
        <v>1745</v>
      </c>
      <c r="E799" s="1311"/>
      <c r="F799" s="1311"/>
      <c r="G799" s="982"/>
      <c r="I799" s="482"/>
    </row>
    <row r="800" spans="1:11" ht="14.25" hidden="1">
      <c r="A800" s="175"/>
      <c r="B800" s="175"/>
      <c r="C800" s="983"/>
      <c r="D800" s="1311"/>
      <c r="E800" s="1311"/>
      <c r="F800" s="1311"/>
      <c r="G800" s="982"/>
      <c r="I800" s="489"/>
    </row>
    <row r="801" spans="1:9" ht="14.25" hidden="1">
      <c r="A801" s="175"/>
      <c r="B801" s="175"/>
      <c r="C801" s="983"/>
      <c r="D801" s="1311"/>
      <c r="E801" s="1311"/>
      <c r="F801" s="1311"/>
      <c r="G801" s="982"/>
      <c r="I801" s="489"/>
    </row>
    <row r="802" spans="1:9" ht="14.25" hidden="1">
      <c r="A802" s="175"/>
      <c r="B802" s="175"/>
      <c r="C802" s="983"/>
      <c r="D802" s="118"/>
      <c r="E802" s="3"/>
      <c r="F802" s="3"/>
      <c r="G802" s="982"/>
      <c r="I802" s="489"/>
    </row>
    <row r="803" spans="1:9" ht="14.25" hidden="1">
      <c r="A803" s="175"/>
      <c r="B803" s="484" t="s">
        <v>306</v>
      </c>
      <c r="C803" s="983"/>
      <c r="D803" s="1311" t="s">
        <v>1746</v>
      </c>
      <c r="E803" s="1311"/>
      <c r="F803" s="1311"/>
      <c r="G803" s="982"/>
      <c r="I803" s="482"/>
    </row>
    <row r="804" spans="1:9" ht="14.25" hidden="1">
      <c r="A804" s="175"/>
      <c r="B804" s="175"/>
      <c r="C804" s="983"/>
      <c r="D804" s="1311"/>
      <c r="E804" s="1311"/>
      <c r="F804" s="1311"/>
      <c r="G804" s="982"/>
      <c r="I804" s="489"/>
    </row>
    <row r="805" spans="1:9" ht="14.25" hidden="1">
      <c r="A805" s="175"/>
      <c r="B805" s="175"/>
      <c r="C805" s="983"/>
      <c r="D805" s="1311"/>
      <c r="E805" s="1311"/>
      <c r="F805" s="1311"/>
      <c r="G805" s="982"/>
      <c r="I805" s="489"/>
    </row>
    <row r="806" spans="1:9" ht="14.25" hidden="1">
      <c r="A806" s="175"/>
      <c r="B806" s="175"/>
      <c r="C806" s="983"/>
      <c r="D806" s="1311"/>
      <c r="E806" s="1311"/>
      <c r="F806" s="1311"/>
      <c r="G806" s="982"/>
      <c r="I806" s="489"/>
    </row>
    <row r="807" spans="1:9" ht="14.25" hidden="1">
      <c r="A807" s="175"/>
      <c r="B807" s="175"/>
      <c r="C807" s="983"/>
      <c r="D807" s="1311"/>
      <c r="E807" s="1311"/>
      <c r="F807" s="1311"/>
      <c r="G807" s="982"/>
      <c r="I807" s="489"/>
    </row>
    <row r="808" spans="1:9" ht="14.25" hidden="1">
      <c r="A808" s="175"/>
      <c r="B808" s="175"/>
      <c r="C808" s="983"/>
      <c r="D808" s="1311"/>
      <c r="E808" s="1311"/>
      <c r="F808" s="1311"/>
      <c r="G808" s="982"/>
      <c r="I808" s="489"/>
    </row>
    <row r="809" spans="1:9" ht="14.25" hidden="1">
      <c r="A809" s="175"/>
      <c r="B809" s="175"/>
      <c r="C809" s="983"/>
      <c r="D809" s="1311" t="s">
        <v>1789</v>
      </c>
      <c r="E809" s="1311"/>
      <c r="F809" s="1311"/>
      <c r="G809" s="982"/>
      <c r="I809" s="489"/>
    </row>
    <row r="810" spans="1:9" ht="14.25" hidden="1">
      <c r="A810" s="175"/>
      <c r="B810" s="175"/>
      <c r="C810" s="983"/>
      <c r="D810" s="1311"/>
      <c r="E810" s="1311"/>
      <c r="F810" s="1311"/>
      <c r="G810" s="982"/>
      <c r="I810" s="489"/>
    </row>
    <row r="811" spans="1:9" ht="14.25" hidden="1">
      <c r="A811" s="175"/>
      <c r="B811" s="175"/>
      <c r="C811" s="983"/>
      <c r="D811" s="1311"/>
      <c r="E811" s="1311"/>
      <c r="F811" s="1311"/>
      <c r="G811" s="982"/>
      <c r="I811" s="489"/>
    </row>
    <row r="812" spans="1:9" ht="14.25" hidden="1">
      <c r="A812" s="175"/>
      <c r="B812" s="353"/>
      <c r="C812" s="983"/>
      <c r="D812" s="984"/>
      <c r="E812" s="984"/>
      <c r="F812" s="984"/>
      <c r="G812" s="982"/>
      <c r="I812" s="489"/>
    </row>
    <row r="813" spans="1:9" ht="14.25" hidden="1">
      <c r="A813" s="175"/>
      <c r="B813" s="484" t="s">
        <v>306</v>
      </c>
      <c r="C813" s="983"/>
      <c r="D813" s="1311" t="s">
        <v>1747</v>
      </c>
      <c r="E813" s="1311"/>
      <c r="F813" s="1311"/>
      <c r="G813" s="982"/>
      <c r="I813" s="482"/>
    </row>
    <row r="814" spans="1:9" ht="14.25" hidden="1">
      <c r="A814" s="175"/>
      <c r="B814" s="175"/>
      <c r="C814" s="983"/>
      <c r="D814" s="1311"/>
      <c r="E814" s="1311"/>
      <c r="F814" s="1311"/>
      <c r="G814" s="982"/>
      <c r="I814" s="489"/>
    </row>
    <row r="815" spans="1:9" ht="14.25" hidden="1">
      <c r="A815" s="175"/>
      <c r="B815" s="175"/>
      <c r="C815" s="983"/>
      <c r="D815" s="1311"/>
      <c r="E815" s="1311"/>
      <c r="F815" s="1311"/>
      <c r="G815" s="982"/>
      <c r="I815" s="489"/>
    </row>
    <row r="816" spans="1:9" ht="14.25" hidden="1">
      <c r="A816" s="175"/>
      <c r="B816" s="175"/>
      <c r="C816" s="983"/>
      <c r="D816" s="1311"/>
      <c r="E816" s="1311"/>
      <c r="F816" s="1311"/>
      <c r="G816" s="982"/>
      <c r="I816" s="489"/>
    </row>
    <row r="817" spans="1:9" ht="14.25" hidden="1">
      <c r="A817" s="175"/>
      <c r="B817" s="175"/>
      <c r="C817" s="983"/>
      <c r="D817" s="1311"/>
      <c r="E817" s="1311"/>
      <c r="F817" s="1311"/>
      <c r="G817" s="982"/>
      <c r="I817" s="489"/>
    </row>
    <row r="818" spans="1:9" ht="14.25" hidden="1">
      <c r="A818" s="175"/>
      <c r="B818" s="175"/>
      <c r="C818" s="983"/>
      <c r="D818" s="1311"/>
      <c r="E818" s="1311"/>
      <c r="F818" s="1311"/>
      <c r="G818" s="982"/>
      <c r="I818" s="489"/>
    </row>
    <row r="819" spans="1:9" ht="14.25" hidden="1">
      <c r="A819" s="175"/>
      <c r="B819" s="175"/>
      <c r="C819" s="983"/>
      <c r="D819" s="976"/>
      <c r="E819" s="976"/>
      <c r="F819" s="976"/>
      <c r="G819" s="982"/>
      <c r="I819" s="489"/>
    </row>
    <row r="820" spans="1:9" ht="14.25" hidden="1">
      <c r="A820" s="175"/>
      <c r="B820" s="484" t="s">
        <v>306</v>
      </c>
      <c r="C820" s="983"/>
      <c r="D820" s="1311" t="s">
        <v>1748</v>
      </c>
      <c r="E820" s="1311"/>
      <c r="F820" s="1311"/>
      <c r="G820" s="982"/>
      <c r="I820" s="482"/>
    </row>
    <row r="821" spans="1:9" ht="14.25" hidden="1">
      <c r="A821" s="175"/>
      <c r="B821" s="175"/>
      <c r="C821" s="983"/>
      <c r="D821" s="1311"/>
      <c r="E821" s="1311"/>
      <c r="F821" s="1311"/>
      <c r="G821" s="982"/>
      <c r="I821" s="489"/>
    </row>
    <row r="822" spans="1:9" ht="14.25" hidden="1">
      <c r="A822" s="175"/>
      <c r="B822" s="175"/>
      <c r="C822" s="983"/>
      <c r="D822" s="1311"/>
      <c r="E822" s="1311"/>
      <c r="F822" s="1311"/>
      <c r="G822" s="982"/>
      <c r="I822" s="489"/>
    </row>
    <row r="823" spans="1:9" ht="14.25" hidden="1">
      <c r="A823" s="175"/>
      <c r="B823" s="175"/>
      <c r="C823" s="983"/>
      <c r="D823" s="1311"/>
      <c r="E823" s="1311"/>
      <c r="F823" s="1311"/>
      <c r="G823" s="982"/>
      <c r="I823" s="489"/>
    </row>
    <row r="824" spans="1:9" ht="14.25" hidden="1">
      <c r="A824" s="175"/>
      <c r="B824" s="175"/>
      <c r="C824" s="983"/>
      <c r="D824" s="1311"/>
      <c r="E824" s="1311"/>
      <c r="F824" s="1311"/>
      <c r="G824" s="982"/>
      <c r="I824" s="489"/>
    </row>
    <row r="825" spans="1:9" ht="14.25" hidden="1">
      <c r="A825" s="175"/>
      <c r="B825" s="175"/>
      <c r="C825" s="983"/>
      <c r="D825" s="1311"/>
      <c r="E825" s="1311"/>
      <c r="F825" s="1311"/>
      <c r="G825" s="982"/>
      <c r="I825" s="489"/>
    </row>
    <row r="826" spans="1:9" ht="14.25" hidden="1">
      <c r="A826" s="175"/>
      <c r="B826" s="175"/>
      <c r="C826" s="983"/>
      <c r="D826" s="976"/>
      <c r="E826" s="976"/>
      <c r="F826" s="976"/>
      <c r="G826" s="982"/>
      <c r="I826" s="489"/>
    </row>
    <row r="827" spans="1:9" ht="14.25" hidden="1">
      <c r="A827" s="175"/>
      <c r="B827" s="484" t="s">
        <v>306</v>
      </c>
      <c r="C827" s="983"/>
      <c r="D827" s="1307" t="s">
        <v>1749</v>
      </c>
      <c r="E827" s="1307"/>
      <c r="F827" s="1307"/>
      <c r="G827" s="982"/>
      <c r="I827" s="482"/>
    </row>
    <row r="828" spans="1:9" ht="14.25" hidden="1">
      <c r="A828" s="175"/>
      <c r="B828" s="175"/>
      <c r="C828" s="983"/>
      <c r="D828" s="1307"/>
      <c r="E828" s="1307"/>
      <c r="F828" s="1307"/>
      <c r="G828" s="982"/>
      <c r="I828" s="489"/>
    </row>
    <row r="829" spans="1:9" hidden="1">
      <c r="A829" s="13"/>
      <c r="B829" s="13"/>
      <c r="C829" s="983"/>
      <c r="D829" s="1307"/>
      <c r="E829" s="1307"/>
      <c r="F829" s="1307"/>
      <c r="G829" s="982"/>
      <c r="I829" s="489"/>
    </row>
    <row r="830" spans="1:9" ht="14.25" hidden="1">
      <c r="A830" s="175"/>
      <c r="B830" s="13"/>
      <c r="C830" s="983"/>
      <c r="D830" s="1307"/>
      <c r="E830" s="1307"/>
      <c r="F830" s="1307"/>
      <c r="G830" s="982"/>
      <c r="I830" s="489"/>
    </row>
    <row r="831" spans="1:9" ht="12.75" hidden="1" customHeight="1">
      <c r="A831" s="175"/>
      <c r="B831" s="13"/>
      <c r="C831" s="983"/>
      <c r="D831" s="1307"/>
      <c r="E831" s="1307"/>
      <c r="F831" s="1307"/>
      <c r="G831" s="982"/>
      <c r="I831" s="489"/>
    </row>
    <row r="832" spans="1:9" ht="12.75" hidden="1" customHeight="1">
      <c r="A832" s="175"/>
      <c r="B832" s="13"/>
      <c r="C832" s="983"/>
      <c r="D832" s="1307"/>
      <c r="E832" s="1307"/>
      <c r="F832" s="1307"/>
      <c r="G832" s="982"/>
      <c r="I832" s="489"/>
    </row>
    <row r="833" spans="1:9" ht="12.75" hidden="1" customHeight="1">
      <c r="A833" s="13"/>
      <c r="B833" s="13"/>
      <c r="C833" s="983"/>
      <c r="D833" s="982"/>
      <c r="E833" s="3"/>
      <c r="F833" s="3"/>
      <c r="G833" s="982"/>
      <c r="I833" s="489"/>
    </row>
    <row r="834" spans="1:9" ht="12.75" customHeight="1">
      <c r="A834" s="1305" t="s">
        <v>1750</v>
      </c>
      <c r="B834" s="1305"/>
      <c r="C834" s="1305"/>
      <c r="D834" s="1305"/>
      <c r="E834" s="1305"/>
      <c r="F834" s="1305"/>
      <c r="G834" s="1305"/>
      <c r="H834" s="1022"/>
      <c r="I834" s="1146"/>
    </row>
    <row r="835" spans="1:9" ht="12.75" customHeight="1">
      <c r="A835" s="172"/>
      <c r="B835" s="172"/>
      <c r="C835" s="983"/>
      <c r="D835" s="982"/>
      <c r="E835" s="982"/>
      <c r="F835" s="982"/>
      <c r="G835" s="982"/>
      <c r="I835" s="489"/>
    </row>
    <row r="836" spans="1:9" ht="12.75" customHeight="1">
      <c r="A836" s="175"/>
      <c r="B836" s="175"/>
      <c r="C836" s="353"/>
      <c r="D836" s="1327" t="s">
        <v>1790</v>
      </c>
      <c r="E836" s="1327"/>
      <c r="F836" s="1327"/>
      <c r="G836" s="3"/>
      <c r="I836" s="489"/>
    </row>
    <row r="837" spans="1:9" ht="14.25" customHeight="1">
      <c r="A837" s="175"/>
      <c r="B837" s="175"/>
      <c r="C837" s="353"/>
      <c r="D837" s="1281" t="s">
        <v>1751</v>
      </c>
      <c r="E837" s="1281"/>
      <c r="F837" s="1281"/>
      <c r="G837" s="3"/>
      <c r="I837" s="489"/>
    </row>
    <row r="838" spans="1:9" ht="12.75" customHeight="1">
      <c r="A838" s="175"/>
      <c r="B838" s="175"/>
      <c r="C838" s="353"/>
      <c r="D838" s="440"/>
      <c r="E838" s="440"/>
      <c r="F838" s="440"/>
      <c r="G838" s="3"/>
      <c r="I838" s="489"/>
    </row>
    <row r="839" spans="1:9" ht="12.75" customHeight="1">
      <c r="A839" s="353"/>
      <c r="B839" s="484" t="s">
        <v>2752</v>
      </c>
      <c r="C839" s="983"/>
      <c r="D839" s="1281" t="s">
        <v>1752</v>
      </c>
      <c r="E839" s="1281"/>
      <c r="F839" s="1281"/>
      <c r="G839" s="3"/>
      <c r="I839" s="489" t="s">
        <v>1852</v>
      </c>
    </row>
    <row r="840" spans="1:9" ht="14.25" customHeight="1">
      <c r="A840" s="13"/>
      <c r="B840" s="13"/>
      <c r="C840" s="983"/>
      <c r="E840" s="1030" t="s">
        <v>1867</v>
      </c>
      <c r="F840" s="1032"/>
      <c r="G840" s="3"/>
      <c r="I840" s="489"/>
    </row>
    <row r="841" spans="1:9" ht="12.75" customHeight="1">
      <c r="A841" s="13"/>
      <c r="B841" s="13"/>
      <c r="C841" s="983"/>
      <c r="D841" s="985"/>
      <c r="E841" s="3"/>
      <c r="F841" s="3"/>
      <c r="G841" s="3"/>
      <c r="I841" s="489"/>
    </row>
    <row r="842" spans="1:9" ht="14.25" hidden="1" customHeight="1">
      <c r="A842" s="13"/>
      <c r="B842" s="484" t="s">
        <v>306</v>
      </c>
      <c r="C842" s="983"/>
      <c r="D842" s="1328" t="s">
        <v>2030</v>
      </c>
      <c r="E842" s="1328"/>
      <c r="F842" s="1328"/>
      <c r="G842" s="3"/>
      <c r="I842" s="489"/>
    </row>
    <row r="843" spans="1:9" ht="12.75" hidden="1" customHeight="1">
      <c r="A843" s="13"/>
      <c r="B843" s="13"/>
      <c r="C843" s="983"/>
      <c r="D843" s="1328"/>
      <c r="E843" s="1328"/>
      <c r="F843" s="1328"/>
      <c r="G843" s="3"/>
      <c r="I843" s="489"/>
    </row>
    <row r="844" spans="1:9" ht="12.75" hidden="1" customHeight="1">
      <c r="A844" s="13"/>
      <c r="B844" s="13"/>
      <c r="C844" s="983"/>
      <c r="D844" s="1328"/>
      <c r="E844" s="1328"/>
      <c r="F844" s="1328"/>
      <c r="G844" s="3"/>
      <c r="I844" s="489"/>
    </row>
    <row r="845" spans="1:9" ht="12.75" hidden="1" customHeight="1">
      <c r="A845" s="13"/>
      <c r="B845" s="13"/>
      <c r="C845" s="983"/>
      <c r="D845" s="1328"/>
      <c r="E845" s="1328"/>
      <c r="F845" s="1328"/>
      <c r="G845" s="3"/>
      <c r="I845" s="489"/>
    </row>
    <row r="846" spans="1:9" ht="12.75" hidden="1" customHeight="1">
      <c r="A846" s="13"/>
      <c r="B846" s="13"/>
      <c r="C846" s="983"/>
      <c r="D846" s="1328"/>
      <c r="E846" s="1328"/>
      <c r="F846" s="1328"/>
      <c r="G846" s="3"/>
      <c r="I846" s="489"/>
    </row>
    <row r="847" spans="1:9" ht="12.75" hidden="1" customHeight="1">
      <c r="A847" s="13"/>
      <c r="B847" s="13"/>
      <c r="C847" s="983"/>
      <c r="D847" s="1328"/>
      <c r="E847" s="1328"/>
      <c r="F847" s="1328"/>
      <c r="G847" s="3"/>
      <c r="I847" s="489"/>
    </row>
    <row r="848" spans="1:9" ht="12.75" hidden="1" customHeight="1">
      <c r="A848" s="13"/>
      <c r="B848" s="13"/>
      <c r="C848" s="983"/>
      <c r="D848" s="1328"/>
      <c r="E848" s="1328"/>
      <c r="F848" s="1328"/>
      <c r="G848" s="3"/>
      <c r="I848" s="489"/>
    </row>
    <row r="849" spans="1:9" ht="12.75" hidden="1" customHeight="1">
      <c r="A849" s="13"/>
      <c r="B849" s="13"/>
      <c r="C849" s="983"/>
      <c r="D849" s="1328"/>
      <c r="E849" s="1328"/>
      <c r="F849" s="1328"/>
      <c r="G849" s="3"/>
      <c r="I849" s="489"/>
    </row>
    <row r="850" spans="1:9" ht="12.75" hidden="1" customHeight="1">
      <c r="A850" s="13"/>
      <c r="B850" s="13"/>
      <c r="C850" s="983"/>
      <c r="D850" s="1328"/>
      <c r="E850" s="1328"/>
      <c r="F850" s="1328"/>
      <c r="G850" s="3"/>
      <c r="I850" s="489"/>
    </row>
    <row r="851" spans="1:9" ht="12.75" hidden="1" customHeight="1">
      <c r="A851" s="13"/>
      <c r="B851" s="13"/>
      <c r="C851" s="983"/>
      <c r="D851" s="1328"/>
      <c r="E851" s="1328"/>
      <c r="F851" s="1328"/>
      <c r="G851" s="3"/>
      <c r="I851" s="489"/>
    </row>
    <row r="852" spans="1:9" ht="12.75" hidden="1" customHeight="1">
      <c r="A852" s="13"/>
      <c r="B852" s="13"/>
      <c r="C852" s="983"/>
      <c r="D852" s="985"/>
      <c r="E852" s="3"/>
      <c r="F852" s="3"/>
      <c r="G852" s="3"/>
      <c r="I852" s="489"/>
    </row>
    <row r="853" spans="1:9" ht="12.75" customHeight="1">
      <c r="A853" s="175"/>
      <c r="B853" s="484" t="s">
        <v>2752</v>
      </c>
      <c r="C853" s="983"/>
      <c r="D853" s="1281" t="s">
        <v>1753</v>
      </c>
      <c r="E853" s="1281"/>
      <c r="F853" s="1281"/>
      <c r="G853" s="3"/>
      <c r="I853" s="489" t="s">
        <v>1855</v>
      </c>
    </row>
    <row r="854" spans="1:9" ht="12.75" customHeight="1">
      <c r="A854" s="175"/>
      <c r="B854" s="175"/>
      <c r="C854" s="983"/>
      <c r="D854" s="1281"/>
      <c r="E854" s="1281"/>
      <c r="F854" s="1281"/>
      <c r="G854" s="3"/>
      <c r="I854" s="489"/>
    </row>
    <row r="855" spans="1:9" ht="12.75" customHeight="1">
      <c r="A855" s="175"/>
      <c r="B855" s="175"/>
      <c r="C855" s="983"/>
      <c r="D855" s="1281"/>
      <c r="E855" s="1281"/>
      <c r="F855" s="1281"/>
      <c r="G855" s="3"/>
      <c r="I855" s="489"/>
    </row>
    <row r="856" spans="1:9" ht="12.75" customHeight="1">
      <c r="A856" s="175"/>
      <c r="B856" s="175"/>
      <c r="C856" s="983"/>
      <c r="D856" s="118"/>
      <c r="E856" s="3"/>
      <c r="F856" s="3"/>
      <c r="G856" s="3"/>
      <c r="I856" s="489"/>
    </row>
    <row r="857" spans="1:9" ht="12.75" customHeight="1">
      <c r="A857" s="986"/>
      <c r="B857" s="484" t="s">
        <v>2753</v>
      </c>
      <c r="C857" s="983"/>
      <c r="D857" s="1327" t="s">
        <v>1754</v>
      </c>
      <c r="E857" s="1327"/>
      <c r="F857" s="1327"/>
      <c r="G857" s="3"/>
      <c r="I857" s="489"/>
    </row>
    <row r="858" spans="1:9" ht="12.75" customHeight="1">
      <c r="A858" s="353"/>
      <c r="B858" s="986"/>
      <c r="C858" s="983"/>
      <c r="D858" s="1327"/>
      <c r="E858" s="1327"/>
      <c r="F858" s="1327"/>
      <c r="G858" s="3"/>
      <c r="I858" s="489"/>
    </row>
    <row r="859" spans="1:9" ht="12.75" customHeight="1">
      <c r="A859" s="175"/>
      <c r="B859" s="353"/>
      <c r="C859" s="983"/>
      <c r="D859" s="1281" t="s">
        <v>2025</v>
      </c>
      <c r="E859" s="1281"/>
      <c r="F859" s="1281"/>
      <c r="G859" s="3"/>
      <c r="I859" s="489"/>
    </row>
    <row r="860" spans="1:9" ht="12.75" customHeight="1">
      <c r="A860" s="175"/>
      <c r="B860" s="175"/>
      <c r="C860" s="983"/>
      <c r="D860" s="1281"/>
      <c r="E860" s="1281"/>
      <c r="F860" s="1281"/>
      <c r="G860" s="3"/>
      <c r="I860" s="489"/>
    </row>
    <row r="861" spans="1:9" ht="12.75" customHeight="1">
      <c r="A861" s="175"/>
      <c r="B861" s="175"/>
      <c r="C861" s="983"/>
      <c r="D861" s="1281"/>
      <c r="E861" s="1281"/>
      <c r="F861" s="1281"/>
      <c r="G861" s="3"/>
      <c r="I861" s="489"/>
    </row>
    <row r="862" spans="1:9" ht="12.75" customHeight="1">
      <c r="A862" s="175"/>
      <c r="B862" s="175"/>
      <c r="C862" s="983"/>
      <c r="D862" s="1281"/>
      <c r="E862" s="1281"/>
      <c r="F862" s="1281"/>
      <c r="G862" s="3"/>
      <c r="I862" s="489"/>
    </row>
    <row r="863" spans="1:9" ht="12.75" customHeight="1">
      <c r="A863" s="175"/>
      <c r="B863" s="175"/>
      <c r="C863" s="983"/>
      <c r="D863" s="1281"/>
      <c r="E863" s="1281"/>
      <c r="F863" s="1281"/>
      <c r="G863" s="3"/>
      <c r="I863" s="489"/>
    </row>
    <row r="864" spans="1:9" ht="12.75" customHeight="1">
      <c r="A864" s="175"/>
      <c r="B864" s="175"/>
      <c r="C864" s="983"/>
      <c r="D864" s="1281"/>
      <c r="E864" s="1281"/>
      <c r="F864" s="1281"/>
      <c r="G864" s="3"/>
      <c r="I864" s="489"/>
    </row>
    <row r="865" spans="1:9" ht="12.75" customHeight="1">
      <c r="A865" s="175"/>
      <c r="B865" s="175"/>
      <c r="C865" s="983"/>
      <c r="D865" s="118"/>
      <c r="E865" s="3"/>
      <c r="F865" s="3"/>
      <c r="G865" s="3"/>
      <c r="I865" s="489"/>
    </row>
    <row r="866" spans="1:9" ht="12.75" customHeight="1">
      <c r="A866" s="175"/>
      <c r="B866" s="484" t="s">
        <v>2753</v>
      </c>
      <c r="C866" s="983"/>
      <c r="D866" s="1281" t="s">
        <v>1755</v>
      </c>
      <c r="E866" s="1281"/>
      <c r="F866" s="1281"/>
      <c r="G866" s="3"/>
      <c r="I866" s="489" t="s">
        <v>1853</v>
      </c>
    </row>
    <row r="867" spans="1:9" ht="12.75" customHeight="1">
      <c r="A867" s="175"/>
      <c r="B867" s="175"/>
      <c r="C867" s="983"/>
      <c r="D867" s="1281" t="s">
        <v>1756</v>
      </c>
      <c r="E867" s="1281"/>
      <c r="F867" s="1281"/>
      <c r="G867" s="3"/>
      <c r="I867" s="489"/>
    </row>
    <row r="868" spans="1:9" ht="12.75" customHeight="1">
      <c r="A868" s="175"/>
      <c r="B868" s="175"/>
      <c r="C868" s="983"/>
      <c r="E868" s="1030" t="s">
        <v>1869</v>
      </c>
      <c r="F868" s="1032"/>
      <c r="G868" s="3"/>
      <c r="I868" s="489"/>
    </row>
    <row r="869" spans="1:9" ht="12.75" customHeight="1">
      <c r="A869" s="175"/>
      <c r="B869" s="175"/>
      <c r="C869" s="983"/>
      <c r="D869" s="118"/>
      <c r="E869" s="3"/>
      <c r="F869" s="3"/>
      <c r="G869" s="3"/>
      <c r="I869" s="489"/>
    </row>
    <row r="870" spans="1:9" ht="12.75" customHeight="1">
      <c r="A870" s="175"/>
      <c r="B870" s="484" t="s">
        <v>2753</v>
      </c>
      <c r="C870" s="983"/>
      <c r="D870" s="1281" t="s">
        <v>1757</v>
      </c>
      <c r="E870" s="1281"/>
      <c r="F870" s="1281"/>
      <c r="G870" s="3"/>
      <c r="I870" s="489" t="s">
        <v>1856</v>
      </c>
    </row>
    <row r="871" spans="1:9" ht="12.75" customHeight="1">
      <c r="A871" s="175"/>
      <c r="B871" s="175"/>
      <c r="C871" s="983"/>
      <c r="D871" s="1281"/>
      <c r="E871" s="1281"/>
      <c r="F871" s="1281"/>
      <c r="G871" s="3"/>
      <c r="I871" s="489"/>
    </row>
    <row r="872" spans="1:9" ht="12.75" customHeight="1">
      <c r="A872" s="175"/>
      <c r="B872" s="175"/>
      <c r="C872" s="983"/>
      <c r="D872" s="1281"/>
      <c r="E872" s="1281"/>
      <c r="F872" s="1281"/>
      <c r="G872" s="3"/>
      <c r="I872" s="489"/>
    </row>
    <row r="873" spans="1:9" ht="12.75" customHeight="1">
      <c r="A873" s="175"/>
      <c r="B873" s="175"/>
      <c r="C873" s="983"/>
      <c r="D873" s="1281"/>
      <c r="E873" s="1281"/>
      <c r="F873" s="1281"/>
      <c r="G873" s="3"/>
      <c r="I873" s="489"/>
    </row>
    <row r="874" spans="1:9" ht="12.75" customHeight="1">
      <c r="A874" s="172"/>
      <c r="B874" s="172"/>
      <c r="C874" s="172"/>
      <c r="D874" s="118"/>
      <c r="E874" s="3"/>
      <c r="F874" s="3"/>
      <c r="G874" s="3"/>
      <c r="I874" s="489"/>
    </row>
    <row r="875" spans="1:9" ht="12.75" customHeight="1">
      <c r="A875" s="977" t="s">
        <v>1758</v>
      </c>
      <c r="B875" s="977"/>
      <c r="C875" s="987"/>
      <c r="D875" s="987"/>
      <c r="E875" s="987"/>
      <c r="F875" s="987"/>
      <c r="G875" s="987"/>
      <c r="H875" s="1022"/>
      <c r="I875" s="1146"/>
    </row>
    <row r="876" spans="1:9" ht="12.75" customHeight="1">
      <c r="A876" s="172"/>
      <c r="B876" s="172"/>
      <c r="C876" s="172"/>
      <c r="D876" s="988"/>
      <c r="E876" s="3"/>
      <c r="F876" s="3"/>
      <c r="G876" s="3"/>
      <c r="I876" s="489"/>
    </row>
    <row r="877" spans="1:9" ht="12.75" customHeight="1">
      <c r="A877" s="353"/>
      <c r="B877" s="353"/>
      <c r="C877" s="174"/>
      <c r="D877" s="1308" t="s">
        <v>1791</v>
      </c>
      <c r="E877" s="1308"/>
      <c r="F877" s="1308"/>
      <c r="G877" s="982"/>
      <c r="I877" s="489"/>
    </row>
    <row r="878" spans="1:9" ht="12.75" customHeight="1">
      <c r="A878" s="353"/>
      <c r="B878" s="353"/>
      <c r="C878" s="174"/>
      <c r="D878" s="1326" t="s">
        <v>1759</v>
      </c>
      <c r="E878" s="1326"/>
      <c r="F878" s="1326"/>
      <c r="G878" s="982"/>
      <c r="I878" s="489"/>
    </row>
    <row r="879" spans="1:9" ht="12.75" customHeight="1">
      <c r="A879" s="353"/>
      <c r="B879" s="353"/>
      <c r="C879" s="174"/>
      <c r="D879" s="989"/>
      <c r="E879" s="989"/>
      <c r="F879" s="989"/>
      <c r="G879" s="982"/>
      <c r="I879" s="489"/>
    </row>
    <row r="880" spans="1:9" ht="12.75" customHeight="1">
      <c r="A880" s="175"/>
      <c r="B880" s="484" t="s">
        <v>2752</v>
      </c>
      <c r="C880" s="353"/>
      <c r="D880" s="1309" t="s">
        <v>1760</v>
      </c>
      <c r="E880" s="1309"/>
      <c r="F880" s="1309"/>
      <c r="G880" s="982"/>
      <c r="I880" s="489" t="s">
        <v>1853</v>
      </c>
    </row>
    <row r="881" spans="1:9" ht="12.75" customHeight="1">
      <c r="A881" s="353"/>
      <c r="B881" s="353"/>
      <c r="C881" s="353"/>
      <c r="D881" s="2" t="s">
        <v>1735</v>
      </c>
      <c r="E881" s="1030" t="s">
        <v>1869</v>
      </c>
      <c r="F881" s="1033"/>
      <c r="G881" s="982"/>
      <c r="I881" s="489"/>
    </row>
    <row r="882" spans="1:9" ht="12.75" customHeight="1">
      <c r="A882" s="353"/>
      <c r="B882" s="353"/>
      <c r="C882" s="353"/>
      <c r="D882" s="118"/>
      <c r="E882" s="982"/>
      <c r="F882" s="982"/>
      <c r="G882" s="982"/>
      <c r="I882" s="489"/>
    </row>
    <row r="883" spans="1:9" ht="12.75" customHeight="1">
      <c r="A883" s="175"/>
      <c r="B883" s="484" t="s">
        <v>2752</v>
      </c>
      <c r="C883" s="353"/>
      <c r="D883" s="1281" t="s">
        <v>1761</v>
      </c>
      <c r="E883" s="1333"/>
      <c r="F883" s="1333"/>
      <c r="G883" s="3"/>
      <c r="I883" s="489" t="s">
        <v>1856</v>
      </c>
    </row>
    <row r="884" spans="1:9" ht="12.75" customHeight="1">
      <c r="A884" s="353"/>
      <c r="B884" s="353"/>
      <c r="C884" s="353"/>
      <c r="D884" s="1333"/>
      <c r="E884" s="1333"/>
      <c r="F884" s="1333"/>
      <c r="G884" s="3"/>
      <c r="I884" s="489"/>
    </row>
    <row r="885" spans="1:9" ht="12.75" customHeight="1">
      <c r="A885" s="353"/>
      <c r="B885" s="353"/>
      <c r="C885" s="353"/>
      <c r="D885" s="118"/>
      <c r="E885" s="3"/>
      <c r="F885" s="3"/>
      <c r="G885" s="3"/>
      <c r="I885" s="489"/>
    </row>
    <row r="886" spans="1:9" ht="12.75" customHeight="1">
      <c r="A886" s="353"/>
      <c r="B886" s="484" t="s">
        <v>2753</v>
      </c>
      <c r="C886" s="353"/>
      <c r="D886" s="1334" t="s">
        <v>1762</v>
      </c>
      <c r="E886" s="1334"/>
      <c r="F886" s="1334"/>
      <c r="G886" s="982"/>
      <c r="I886" s="489"/>
    </row>
    <row r="887" spans="1:9" ht="12.75" customHeight="1">
      <c r="A887" s="353"/>
      <c r="B887" s="990"/>
      <c r="C887" s="353"/>
      <c r="D887" s="1334"/>
      <c r="E887" s="1334"/>
      <c r="F887" s="1334"/>
      <c r="G887" s="982"/>
      <c r="I887" s="489"/>
    </row>
    <row r="888" spans="1:9" ht="12.75" customHeight="1">
      <c r="A888" s="175"/>
      <c r="B888"/>
      <c r="C888" s="353"/>
      <c r="D888" s="1281" t="s">
        <v>2025</v>
      </c>
      <c r="E888" s="1281"/>
      <c r="F888" s="1281"/>
      <c r="G888" s="982"/>
      <c r="I888" s="489"/>
    </row>
    <row r="889" spans="1:9" ht="12.75" customHeight="1">
      <c r="A889" s="175"/>
      <c r="B889" s="175"/>
      <c r="C889" s="353"/>
      <c r="D889" s="1281"/>
      <c r="E889" s="1281"/>
      <c r="F889" s="1281"/>
      <c r="G889" s="982"/>
      <c r="I889" s="489"/>
    </row>
    <row r="890" spans="1:9" ht="12.75" customHeight="1">
      <c r="A890" s="175"/>
      <c r="B890" s="175"/>
      <c r="C890" s="353"/>
      <c r="D890" s="1281"/>
      <c r="E890" s="1281"/>
      <c r="F890" s="1281"/>
      <c r="G890" s="982"/>
      <c r="I890" s="489"/>
    </row>
    <row r="891" spans="1:9" ht="12.75" customHeight="1">
      <c r="A891" s="175"/>
      <c r="B891" s="175"/>
      <c r="C891" s="353"/>
      <c r="D891" s="1281"/>
      <c r="E891" s="1281"/>
      <c r="F891" s="1281"/>
      <c r="G891" s="982"/>
      <c r="I891" s="489"/>
    </row>
    <row r="892" spans="1:9" ht="12.75" customHeight="1">
      <c r="A892" s="175"/>
      <c r="B892" s="175"/>
      <c r="C892" s="353"/>
      <c r="D892" s="1281"/>
      <c r="E892" s="1281"/>
      <c r="F892" s="1281"/>
      <c r="G892" s="982"/>
      <c r="I892" s="489"/>
    </row>
    <row r="893" spans="1:9" ht="12.75" customHeight="1">
      <c r="A893" s="175"/>
      <c r="B893" s="175"/>
      <c r="C893" s="353"/>
      <c r="D893" s="1281"/>
      <c r="E893" s="1281"/>
      <c r="F893" s="1281"/>
      <c r="G893" s="982"/>
      <c r="I893" s="489"/>
    </row>
    <row r="894" spans="1:9" ht="12.75" customHeight="1">
      <c r="A894" s="175"/>
      <c r="B894" s="175"/>
      <c r="C894" s="353"/>
      <c r="D894" s="118"/>
      <c r="E894" s="982"/>
      <c r="F894" s="982"/>
      <c r="G894" s="982"/>
      <c r="I894" s="489"/>
    </row>
    <row r="895" spans="1:9" ht="12.75" customHeight="1">
      <c r="A895" s="175"/>
      <c r="B895" s="484" t="s">
        <v>2753</v>
      </c>
      <c r="C895" s="353"/>
      <c r="D895" s="1300" t="s">
        <v>1755</v>
      </c>
      <c r="E895" s="1300"/>
      <c r="F895" s="1300"/>
      <c r="G895" s="982"/>
      <c r="I895" s="489"/>
    </row>
    <row r="896" spans="1:9" ht="12.75" customHeight="1">
      <c r="A896" s="175"/>
      <c r="B896" s="175"/>
      <c r="C896" s="353"/>
      <c r="D896" s="1300" t="s">
        <v>1756</v>
      </c>
      <c r="E896" s="1300"/>
      <c r="F896" s="1300"/>
      <c r="G896" s="982"/>
      <c r="I896" s="489"/>
    </row>
    <row r="897" spans="1:9" ht="12.75" customHeight="1">
      <c r="A897" s="175"/>
      <c r="B897" s="175"/>
      <c r="C897" s="353"/>
      <c r="D897" s="2" t="s">
        <v>1268</v>
      </c>
      <c r="E897" s="1030" t="s">
        <v>1869</v>
      </c>
      <c r="F897" s="1034"/>
      <c r="G897" s="982"/>
      <c r="I897" s="489"/>
    </row>
    <row r="898" spans="1:9" ht="12.75" customHeight="1">
      <c r="A898" s="175"/>
      <c r="B898" s="175"/>
      <c r="C898" s="353"/>
      <c r="D898" s="118"/>
      <c r="E898" s="982"/>
      <c r="F898" s="982"/>
      <c r="G898" s="982"/>
      <c r="I898" s="489"/>
    </row>
    <row r="899" spans="1:9" ht="12.75" customHeight="1">
      <c r="A899" s="175"/>
      <c r="B899" s="484" t="s">
        <v>2753</v>
      </c>
      <c r="C899" s="353"/>
      <c r="D899" s="1281" t="s">
        <v>1757</v>
      </c>
      <c r="E899" s="1281"/>
      <c r="F899" s="1281"/>
      <c r="G899" s="982"/>
      <c r="I899" s="489"/>
    </row>
    <row r="900" spans="1:9" ht="12.75" customHeight="1">
      <c r="A900" s="175"/>
      <c r="B900" s="175"/>
      <c r="C900" s="353"/>
      <c r="D900" s="1281"/>
      <c r="E900" s="1281"/>
      <c r="F900" s="1281"/>
      <c r="G900" s="982"/>
      <c r="I900" s="489"/>
    </row>
    <row r="901" spans="1:9" ht="12.75" customHeight="1">
      <c r="A901" s="175"/>
      <c r="B901" s="175"/>
      <c r="C901" s="353"/>
      <c r="D901" s="1281"/>
      <c r="E901" s="1281"/>
      <c r="F901" s="1281"/>
      <c r="G901" s="982"/>
      <c r="I901" s="489"/>
    </row>
    <row r="902" spans="1:9" ht="12.75" customHeight="1">
      <c r="A902" s="175"/>
      <c r="B902" s="175"/>
      <c r="C902" s="353"/>
      <c r="D902" s="1281"/>
      <c r="E902" s="1281"/>
      <c r="F902" s="1281"/>
      <c r="G902" s="982"/>
      <c r="I902" s="489"/>
    </row>
    <row r="903" spans="1:9" ht="12.75" customHeight="1">
      <c r="A903" s="118"/>
      <c r="B903" s="118"/>
      <c r="C903" s="983"/>
      <c r="D903" s="982"/>
      <c r="E903" s="982"/>
      <c r="F903" s="982"/>
      <c r="G903" s="982"/>
      <c r="I903" s="489"/>
    </row>
    <row r="904" spans="1:9" ht="12.75" customHeight="1">
      <c r="A904" s="1305" t="s">
        <v>1792</v>
      </c>
      <c r="B904" s="1305"/>
      <c r="C904" s="1305"/>
      <c r="D904" s="1305"/>
      <c r="E904" s="1305"/>
      <c r="F904" s="1305"/>
      <c r="G904" s="1305"/>
      <c r="H904" s="1022"/>
      <c r="I904" s="1146"/>
    </row>
    <row r="905" spans="1:9" ht="12.75" customHeight="1">
      <c r="A905" s="57"/>
      <c r="B905" s="57"/>
      <c r="C905" s="57"/>
      <c r="D905" s="57"/>
      <c r="E905" s="57"/>
      <c r="F905" s="57"/>
      <c r="G905" s="57"/>
      <c r="I905" s="489"/>
    </row>
    <row r="906" spans="1:9" ht="12.75" customHeight="1">
      <c r="A906" s="57"/>
      <c r="B906" s="57"/>
      <c r="C906" s="57"/>
      <c r="D906" s="1303" t="s">
        <v>1798</v>
      </c>
      <c r="E906" s="1303"/>
      <c r="F906" s="1303"/>
      <c r="G906" s="57"/>
      <c r="I906" s="489"/>
    </row>
    <row r="907" spans="1:9" ht="12.75" customHeight="1">
      <c r="A907" s="57"/>
      <c r="B907" s="57"/>
      <c r="C907" s="57"/>
      <c r="D907" s="975"/>
      <c r="E907" s="975"/>
      <c r="F907" s="975"/>
      <c r="G907" s="57"/>
      <c r="I907" s="489"/>
    </row>
    <row r="908" spans="1:9" ht="12.75" customHeight="1">
      <c r="A908" s="57"/>
      <c r="B908" s="484" t="s">
        <v>2753</v>
      </c>
      <c r="C908" s="57"/>
      <c r="D908" s="978" t="s">
        <v>1799</v>
      </c>
      <c r="E908" s="975"/>
      <c r="F908" s="975"/>
      <c r="G908" s="57"/>
      <c r="I908" s="489"/>
    </row>
    <row r="909" spans="1:9" ht="12.75" customHeight="1">
      <c r="A909" s="57"/>
      <c r="B909" s="57"/>
      <c r="C909" s="57"/>
      <c r="D909" s="975"/>
      <c r="E909" s="975"/>
      <c r="F909" s="975"/>
      <c r="G909" s="57"/>
      <c r="I909" s="489"/>
    </row>
    <row r="910" spans="1:9" ht="12.75" customHeight="1">
      <c r="A910" s="353"/>
      <c r="B910" s="353"/>
      <c r="C910" s="983"/>
      <c r="D910" s="1303" t="s">
        <v>1793</v>
      </c>
      <c r="E910" s="1303"/>
      <c r="F910" s="1303"/>
      <c r="G910" s="982"/>
      <c r="I910" s="489"/>
    </row>
    <row r="911" spans="1:9" ht="12.75" customHeight="1">
      <c r="A911" s="172"/>
      <c r="B911" s="172"/>
      <c r="C911" s="172"/>
      <c r="D911" s="1309" t="s">
        <v>1763</v>
      </c>
      <c r="E911" s="1309"/>
      <c r="F911" s="1309"/>
      <c r="G911" s="982"/>
      <c r="I911" s="489"/>
    </row>
    <row r="912" spans="1:9" ht="12.75" customHeight="1">
      <c r="A912" s="983"/>
      <c r="B912" s="983"/>
      <c r="C912" s="983"/>
      <c r="D912" s="2"/>
      <c r="E912" s="982"/>
      <c r="F912" s="982"/>
      <c r="G912" s="982"/>
      <c r="I912" s="489"/>
    </row>
    <row r="913" spans="1:9" ht="12.75" customHeight="1">
      <c r="A913" s="175"/>
      <c r="B913" s="484" t="s">
        <v>2752</v>
      </c>
      <c r="C913" s="353"/>
      <c r="D913" s="1281" t="s">
        <v>1767</v>
      </c>
      <c r="E913" s="1281"/>
      <c r="F913" s="1281"/>
      <c r="G913" s="3"/>
      <c r="I913" s="489"/>
    </row>
    <row r="914" spans="1:9" ht="12.75" customHeight="1">
      <c r="A914" s="353"/>
      <c r="B914" s="353"/>
      <c r="C914" s="353"/>
      <c r="D914" s="1281"/>
      <c r="E914" s="1281"/>
      <c r="F914" s="1281"/>
      <c r="G914" s="3"/>
      <c r="I914" s="489"/>
    </row>
    <row r="915" spans="1:9" ht="12.75" customHeight="1">
      <c r="A915" s="172"/>
      <c r="B915" s="172"/>
      <c r="C915" s="172"/>
      <c r="D915" s="1281" t="s">
        <v>1766</v>
      </c>
      <c r="E915" s="1281"/>
      <c r="F915" s="1281"/>
      <c r="G915" s="982"/>
      <c r="I915" s="489"/>
    </row>
    <row r="916" spans="1:9" ht="12.75" customHeight="1">
      <c r="A916" s="172"/>
      <c r="B916" s="172"/>
      <c r="C916" s="172"/>
      <c r="D916" s="1281"/>
      <c r="E916" s="1281"/>
      <c r="F916" s="1281"/>
      <c r="G916" s="982"/>
      <c r="I916" s="489"/>
    </row>
    <row r="917" spans="1:9" ht="12.75" customHeight="1">
      <c r="A917" s="172"/>
      <c r="B917" s="172"/>
      <c r="C917" s="172"/>
      <c r="D917" s="3"/>
      <c r="E917" s="3"/>
      <c r="F917" s="982"/>
      <c r="G917" s="982"/>
      <c r="I917" s="489"/>
    </row>
    <row r="918" spans="1:9" ht="12.75" customHeight="1">
      <c r="A918" s="175"/>
      <c r="B918" s="484" t="s">
        <v>2752</v>
      </c>
      <c r="C918" s="174"/>
      <c r="D918" s="1292" t="s">
        <v>1764</v>
      </c>
      <c r="E918" s="1292"/>
      <c r="F918" s="1292"/>
      <c r="G918" s="982"/>
      <c r="I918" s="489"/>
    </row>
    <row r="919" spans="1:9" ht="12.75" customHeight="1">
      <c r="A919" s="175"/>
      <c r="B919" s="175"/>
      <c r="C919" s="174"/>
      <c r="D919" s="1292"/>
      <c r="E919" s="1292"/>
      <c r="F919" s="1292"/>
      <c r="G919" s="982"/>
      <c r="I919" s="489"/>
    </row>
    <row r="920" spans="1:9" ht="12.75" customHeight="1">
      <c r="A920" s="175"/>
      <c r="B920" s="175"/>
      <c r="C920" s="174"/>
      <c r="D920" s="1292"/>
      <c r="E920" s="1292"/>
      <c r="F920" s="1292"/>
      <c r="G920" s="982"/>
      <c r="I920" s="489"/>
    </row>
    <row r="921" spans="1:9" ht="12.75" customHeight="1">
      <c r="A921" s="175"/>
      <c r="B921" s="175"/>
      <c r="C921" s="174"/>
      <c r="D921" s="1292"/>
      <c r="E921" s="1292"/>
      <c r="F921" s="1292"/>
      <c r="G921" s="982"/>
      <c r="I921" s="489"/>
    </row>
    <row r="922" spans="1:9" ht="12.75" customHeight="1">
      <c r="A922" s="175"/>
      <c r="B922" s="175"/>
      <c r="C922" s="174"/>
      <c r="D922" s="1292"/>
      <c r="E922" s="1292"/>
      <c r="F922" s="1292"/>
      <c r="G922" s="982"/>
      <c r="I922" s="489"/>
    </row>
    <row r="923" spans="1:9" ht="12.75" customHeight="1">
      <c r="A923" s="174"/>
      <c r="B923" s="174"/>
      <c r="C923" s="174"/>
      <c r="D923" s="1292"/>
      <c r="E923" s="1292"/>
      <c r="F923" s="1292"/>
      <c r="G923" s="982"/>
      <c r="I923" s="489"/>
    </row>
    <row r="924" spans="1:9" ht="12.75" customHeight="1">
      <c r="A924" s="174"/>
      <c r="B924" s="174"/>
      <c r="C924" s="174"/>
      <c r="D924" s="1292"/>
      <c r="E924" s="1292"/>
      <c r="F924" s="1292"/>
      <c r="G924" s="982"/>
      <c r="I924" s="489"/>
    </row>
    <row r="925" spans="1:9" ht="12.75" customHeight="1">
      <c r="A925" s="174"/>
      <c r="B925" s="174"/>
      <c r="C925" s="174"/>
      <c r="D925" s="1292"/>
      <c r="E925" s="1292"/>
      <c r="F925" s="1292"/>
      <c r="G925" s="982"/>
      <c r="I925" s="489"/>
    </row>
    <row r="926" spans="1:9" ht="12.75" customHeight="1">
      <c r="A926" s="174"/>
      <c r="B926" s="174"/>
      <c r="C926" s="174"/>
      <c r="D926" s="334"/>
      <c r="E926" s="334"/>
      <c r="F926" s="334"/>
      <c r="G926" s="982"/>
      <c r="I926" s="489"/>
    </row>
    <row r="927" spans="1:9" ht="12.75" customHeight="1">
      <c r="A927" s="983"/>
      <c r="B927" s="484" t="s">
        <v>2753</v>
      </c>
      <c r="C927" s="983"/>
      <c r="D927" s="1281" t="s">
        <v>1768</v>
      </c>
      <c r="E927" s="1281"/>
      <c r="F927" s="1281"/>
      <c r="G927" s="982"/>
      <c r="I927" s="489"/>
    </row>
    <row r="928" spans="1:9" ht="12.75" customHeight="1">
      <c r="A928" s="983"/>
      <c r="B928" s="983"/>
      <c r="C928" s="983"/>
      <c r="D928" s="1281"/>
      <c r="E928" s="1281"/>
      <c r="F928" s="1281"/>
      <c r="G928" s="982"/>
      <c r="I928" s="489"/>
    </row>
    <row r="929" spans="1:9" ht="12.75" customHeight="1">
      <c r="A929" s="983"/>
      <c r="B929" s="983"/>
      <c r="C929" s="983"/>
      <c r="D929" s="982"/>
      <c r="E929" s="982"/>
      <c r="F929" s="982"/>
      <c r="G929" s="982"/>
      <c r="I929" s="489"/>
    </row>
    <row r="930" spans="1:9" ht="12.75" customHeight="1">
      <c r="A930" s="983"/>
      <c r="B930" s="484" t="s">
        <v>2753</v>
      </c>
      <c r="C930" s="983"/>
      <c r="D930" s="1307" t="s">
        <v>1769</v>
      </c>
      <c r="E930" s="1307"/>
      <c r="F930" s="1307"/>
      <c r="G930" s="982"/>
      <c r="I930" s="489"/>
    </row>
    <row r="931" spans="1:9" ht="12.75" customHeight="1">
      <c r="A931" s="983"/>
      <c r="B931" s="983"/>
      <c r="C931" s="983"/>
      <c r="D931" s="1307"/>
      <c r="E931" s="1307"/>
      <c r="F931" s="1307"/>
      <c r="G931" s="982"/>
      <c r="I931" s="489"/>
    </row>
    <row r="932" spans="1:9" ht="12.75" customHeight="1">
      <c r="A932" s="983"/>
      <c r="B932" s="983"/>
      <c r="C932" s="983"/>
      <c r="D932" s="1307"/>
      <c r="E932" s="1307"/>
      <c r="F932" s="1307"/>
      <c r="G932" s="982"/>
      <c r="I932" s="489"/>
    </row>
    <row r="933" spans="1:9" ht="12.75" customHeight="1">
      <c r="A933" s="983"/>
      <c r="B933" s="983"/>
      <c r="C933" s="983"/>
      <c r="D933" s="1307"/>
      <c r="E933" s="1307"/>
      <c r="F933" s="1307"/>
      <c r="G933" s="982"/>
      <c r="I933" s="489"/>
    </row>
    <row r="934" spans="1:9" ht="12.75" customHeight="1">
      <c r="A934" s="983"/>
      <c r="B934" s="983"/>
      <c r="C934" s="983"/>
      <c r="D934" s="118"/>
      <c r="E934" s="982"/>
      <c r="F934" s="982"/>
      <c r="G934" s="982"/>
      <c r="I934" s="489"/>
    </row>
    <row r="935" spans="1:9" ht="12.75" customHeight="1">
      <c r="A935" s="983"/>
      <c r="B935" s="484" t="s">
        <v>2753</v>
      </c>
      <c r="C935" s="983"/>
      <c r="D935" s="1309" t="s">
        <v>2026</v>
      </c>
      <c r="E935" s="1309"/>
      <c r="F935" s="1309"/>
      <c r="G935" s="982"/>
      <c r="I935" s="489"/>
    </row>
    <row r="936" spans="1:9" ht="12.75" customHeight="1">
      <c r="A936" s="983"/>
      <c r="B936" s="983"/>
      <c r="C936" s="983"/>
      <c r="D936" s="118"/>
      <c r="E936" s="982"/>
      <c r="F936" s="982"/>
      <c r="G936" s="982"/>
      <c r="I936" s="489"/>
    </row>
    <row r="937" spans="1:9" ht="12.75" customHeight="1">
      <c r="A937" s="983"/>
      <c r="B937" s="484" t="s">
        <v>2753</v>
      </c>
      <c r="C937" s="983"/>
      <c r="D937" s="1309" t="s">
        <v>2027</v>
      </c>
      <c r="E937" s="1309"/>
      <c r="F937" s="1309"/>
      <c r="G937" s="982"/>
      <c r="I937" s="489"/>
    </row>
    <row r="938" spans="1:9" ht="12.75" customHeight="1">
      <c r="A938" s="174"/>
      <c r="B938" s="174"/>
      <c r="C938" s="174"/>
      <c r="D938" s="2"/>
      <c r="E938" s="3"/>
      <c r="F938" s="982"/>
      <c r="G938" s="982"/>
      <c r="I938" s="489"/>
    </row>
    <row r="939" spans="1:9" ht="12.75" customHeight="1">
      <c r="A939" s="991"/>
      <c r="B939" s="484" t="s">
        <v>2752</v>
      </c>
      <c r="C939" s="992"/>
      <c r="D939" s="1292" t="s">
        <v>1765</v>
      </c>
      <c r="E939" s="1292"/>
      <c r="F939" s="1292"/>
      <c r="G939" s="993"/>
      <c r="I939" s="489"/>
    </row>
    <row r="940" spans="1:9" ht="12.75" customHeight="1">
      <c r="A940" s="991"/>
      <c r="B940" s="991"/>
      <c r="C940" s="992"/>
      <c r="D940" s="1292"/>
      <c r="E940" s="1292"/>
      <c r="F940" s="1292"/>
      <c r="G940" s="993"/>
      <c r="I940" s="489"/>
    </row>
    <row r="941" spans="1:9" ht="12.75" customHeight="1">
      <c r="A941" s="991"/>
      <c r="B941" s="991"/>
      <c r="C941" s="992"/>
      <c r="D941" s="1292"/>
      <c r="E941" s="1292"/>
      <c r="F941" s="1292"/>
      <c r="G941" s="993"/>
      <c r="I941" s="489"/>
    </row>
    <row r="942" spans="1:9" ht="12.75" customHeight="1">
      <c r="A942" s="991"/>
      <c r="B942" s="991"/>
      <c r="C942" s="992"/>
      <c r="D942" s="1292"/>
      <c r="E942" s="1292"/>
      <c r="F942" s="1292"/>
      <c r="G942" s="993"/>
      <c r="I942" s="489"/>
    </row>
    <row r="943" spans="1:9" ht="12.75" customHeight="1">
      <c r="A943" s="991"/>
      <c r="B943" s="991"/>
      <c r="C943" s="992"/>
      <c r="D943" s="1292"/>
      <c r="E943" s="1292"/>
      <c r="F943" s="1292"/>
      <c r="G943" s="993"/>
      <c r="I943" s="489"/>
    </row>
    <row r="944" spans="1:9" ht="12.75" customHeight="1">
      <c r="A944" s="991"/>
      <c r="B944" s="991"/>
      <c r="C944" s="992"/>
      <c r="D944" s="1292"/>
      <c r="E944" s="1292"/>
      <c r="F944" s="1292"/>
      <c r="G944" s="993"/>
      <c r="I944" s="489"/>
    </row>
    <row r="945" spans="1:9" ht="12.75" customHeight="1">
      <c r="A945" s="991"/>
      <c r="B945" s="991"/>
      <c r="C945" s="992"/>
      <c r="D945" s="1292"/>
      <c r="E945" s="1292"/>
      <c r="F945" s="1292"/>
      <c r="G945" s="993"/>
      <c r="I945" s="489"/>
    </row>
    <row r="946" spans="1:9" ht="12.75" customHeight="1">
      <c r="A946" s="991"/>
      <c r="B946" s="991"/>
      <c r="C946" s="992"/>
      <c r="D946" s="1292"/>
      <c r="E946" s="1292"/>
      <c r="F946" s="1292"/>
      <c r="G946" s="993"/>
      <c r="I946" s="489"/>
    </row>
    <row r="947" spans="1:9" ht="12.75" customHeight="1">
      <c r="A947" s="991"/>
      <c r="B947" s="991"/>
      <c r="C947" s="992"/>
      <c r="D947" s="1292"/>
      <c r="E947" s="1292"/>
      <c r="F947" s="1292"/>
      <c r="G947" s="993"/>
      <c r="I947" s="489"/>
    </row>
    <row r="948" spans="1:9" ht="12.75" customHeight="1">
      <c r="A948" s="174"/>
      <c r="B948" s="174"/>
      <c r="C948" s="174"/>
      <c r="D948" s="2"/>
      <c r="E948" s="3"/>
      <c r="F948" s="982"/>
      <c r="G948" s="982"/>
      <c r="I948" s="489"/>
    </row>
    <row r="949" spans="1:9" ht="12.75" customHeight="1">
      <c r="A949" s="175"/>
      <c r="B949" s="484" t="s">
        <v>2752</v>
      </c>
      <c r="C949" s="174"/>
      <c r="D949" s="1317" t="s">
        <v>1859</v>
      </c>
      <c r="E949" s="1317"/>
      <c r="F949" s="1317"/>
      <c r="G949" s="982"/>
      <c r="I949" s="489"/>
    </row>
    <row r="950" spans="1:9" ht="12.75" customHeight="1">
      <c r="A950" s="175"/>
      <c r="B950" s="175"/>
      <c r="C950" s="174"/>
      <c r="D950" s="1317"/>
      <c r="E950" s="1317"/>
      <c r="F950" s="1317"/>
      <c r="G950" s="982"/>
      <c r="I950" s="489"/>
    </row>
    <row r="951" spans="1:9" ht="12.75" customHeight="1">
      <c r="A951" s="175"/>
      <c r="B951" s="175"/>
      <c r="C951" s="174"/>
      <c r="D951" s="1317"/>
      <c r="E951" s="1317"/>
      <c r="F951" s="1317"/>
      <c r="G951" s="982"/>
      <c r="I951" s="489"/>
    </row>
    <row r="952" spans="1:9" ht="12.75" customHeight="1">
      <c r="A952" s="175"/>
      <c r="B952" s="175"/>
      <c r="C952" s="174"/>
      <c r="D952" s="1317"/>
      <c r="E952" s="1317"/>
      <c r="F952" s="1317"/>
      <c r="G952" s="982"/>
      <c r="I952" s="489"/>
    </row>
    <row r="953" spans="1:9" ht="12.75" customHeight="1">
      <c r="A953" s="175"/>
      <c r="B953" s="175"/>
      <c r="C953" s="174"/>
      <c r="D953" s="1317"/>
      <c r="E953" s="1317"/>
      <c r="F953" s="1317"/>
      <c r="G953" s="982"/>
      <c r="I953" s="489"/>
    </row>
    <row r="954" spans="1:9" ht="12.75" customHeight="1">
      <c r="A954" s="175"/>
      <c r="B954" s="175"/>
      <c r="C954" s="174"/>
      <c r="D954" s="1317"/>
      <c r="E954" s="1317"/>
      <c r="F954" s="1317"/>
      <c r="G954" s="982"/>
      <c r="I954" s="489"/>
    </row>
    <row r="955" spans="1:9" ht="12.75" customHeight="1">
      <c r="A955" s="175"/>
      <c r="B955" s="175"/>
      <c r="C955" s="174"/>
      <c r="D955" s="1317"/>
      <c r="E955" s="1317"/>
      <c r="F955" s="1317"/>
      <c r="G955" s="982"/>
      <c r="I955" s="489"/>
    </row>
    <row r="956" spans="1:9" ht="12.75" customHeight="1">
      <c r="A956" s="175"/>
      <c r="B956" s="175"/>
      <c r="C956" s="174"/>
      <c r="D956" s="1020"/>
      <c r="E956" s="1020"/>
      <c r="F956" s="1020"/>
      <c r="G956" s="982"/>
      <c r="I956" s="489"/>
    </row>
    <row r="957" spans="1:9" ht="12.75" customHeight="1">
      <c r="A957" s="175"/>
      <c r="B957" s="484" t="s">
        <v>2752</v>
      </c>
      <c r="C957" s="174"/>
      <c r="D957" s="1291" t="s">
        <v>2091</v>
      </c>
      <c r="E957" s="1291"/>
      <c r="F957" s="1291"/>
      <c r="G957" s="982"/>
      <c r="I957" s="489"/>
    </row>
    <row r="958" spans="1:9" ht="12.75" customHeight="1">
      <c r="A958" s="175"/>
      <c r="B958" s="175"/>
      <c r="C958" s="174"/>
      <c r="D958" s="1291"/>
      <c r="E958" s="1291"/>
      <c r="F958" s="1291"/>
      <c r="G958" s="982"/>
      <c r="I958" s="489"/>
    </row>
    <row r="959" spans="1:9" ht="12.75" customHeight="1">
      <c r="A959" s="175"/>
      <c r="B959" s="175"/>
      <c r="C959" s="174"/>
      <c r="D959" s="1291"/>
      <c r="E959" s="1291"/>
      <c r="F959" s="1291"/>
      <c r="G959" s="982"/>
      <c r="I959" s="489"/>
    </row>
    <row r="960" spans="1:9" ht="12.75" customHeight="1">
      <c r="A960" s="175"/>
      <c r="B960" s="175"/>
      <c r="C960" s="174"/>
      <c r="D960" s="1291"/>
      <c r="E960" s="1291"/>
      <c r="F960" s="1291"/>
      <c r="G960" s="982"/>
      <c r="I960" s="489"/>
    </row>
    <row r="961" spans="1:9" ht="12.75" customHeight="1">
      <c r="A961" s="175"/>
      <c r="B961" s="175"/>
      <c r="C961" s="174"/>
      <c r="D961" s="1291"/>
      <c r="E961" s="1291"/>
      <c r="F961" s="1291"/>
      <c r="G961" s="982"/>
      <c r="I961" s="489"/>
    </row>
    <row r="962" spans="1:9" ht="12.75" customHeight="1">
      <c r="A962" s="175"/>
      <c r="B962" s="175"/>
      <c r="C962" s="174"/>
      <c r="D962" s="1291"/>
      <c r="E962" s="1291"/>
      <c r="F962" s="1291"/>
      <c r="G962" s="982"/>
      <c r="I962" s="489"/>
    </row>
    <row r="963" spans="1:9" ht="12.75" customHeight="1">
      <c r="A963" s="175"/>
      <c r="B963" s="175"/>
      <c r="C963" s="174"/>
      <c r="D963" s="1020"/>
      <c r="E963" s="1020"/>
      <c r="F963" s="1020"/>
      <c r="G963" s="982"/>
      <c r="I963" s="489"/>
    </row>
    <row r="964" spans="1:9" ht="12.75" customHeight="1">
      <c r="A964" s="983"/>
      <c r="B964" s="484" t="s">
        <v>2753</v>
      </c>
      <c r="C964" s="983"/>
      <c r="D964" s="1307" t="s">
        <v>1770</v>
      </c>
      <c r="E964" s="1307"/>
      <c r="F964" s="1307"/>
      <c r="G964" s="982"/>
      <c r="I964" s="489"/>
    </row>
    <row r="965" spans="1:9" ht="12.75" customHeight="1">
      <c r="A965" s="983"/>
      <c r="B965" s="983"/>
      <c r="C965" s="983"/>
      <c r="D965" s="1307"/>
      <c r="E965" s="1307"/>
      <c r="F965" s="1307"/>
      <c r="G965" s="982"/>
      <c r="I965" s="489"/>
    </row>
    <row r="966" spans="1:9" ht="12.75" customHeight="1">
      <c r="A966" s="983"/>
      <c r="B966" s="983"/>
      <c r="C966" s="983"/>
      <c r="D966" s="1307"/>
      <c r="E966" s="1307"/>
      <c r="F966" s="1307"/>
      <c r="G966" s="982"/>
      <c r="I966" s="489"/>
    </row>
    <row r="967" spans="1:9" ht="12.75" customHeight="1">
      <c r="A967" s="175"/>
      <c r="B967" s="175"/>
      <c r="C967" s="174"/>
      <c r="D967" s="1020"/>
      <c r="E967" s="1020"/>
      <c r="F967" s="1020"/>
      <c r="G967" s="982"/>
      <c r="I967" s="489"/>
    </row>
    <row r="968" spans="1:9" ht="12.75" customHeight="1">
      <c r="A968" s="175"/>
      <c r="B968" s="175"/>
      <c r="C968" s="174"/>
      <c r="D968" s="839"/>
      <c r="E968" s="3"/>
      <c r="F968" s="982"/>
      <c r="G968" s="982"/>
      <c r="I968" s="489"/>
    </row>
    <row r="969" spans="1:9" ht="12.75" customHeight="1">
      <c r="A969" s="175"/>
      <c r="B969" s="484" t="s">
        <v>2753</v>
      </c>
      <c r="C969" s="174"/>
      <c r="D969" s="1292" t="s">
        <v>1858</v>
      </c>
      <c r="E969" s="1292"/>
      <c r="F969" s="1292"/>
      <c r="G969" s="982"/>
      <c r="I969" s="489"/>
    </row>
    <row r="970" spans="1:9" ht="12.75" customHeight="1">
      <c r="A970" s="175"/>
      <c r="B970" s="175"/>
      <c r="C970" s="174"/>
      <c r="D970" s="1292"/>
      <c r="E970" s="1292"/>
      <c r="F970" s="1292"/>
      <c r="G970" s="982"/>
      <c r="I970" s="489"/>
    </row>
    <row r="971" spans="1:9" ht="12.75" customHeight="1">
      <c r="A971" s="175"/>
      <c r="B971" s="175"/>
      <c r="C971" s="174"/>
      <c r="D971" s="1292"/>
      <c r="E971" s="1292"/>
      <c r="F971" s="1292"/>
      <c r="G971" s="982"/>
      <c r="I971" s="489"/>
    </row>
    <row r="972" spans="1:9" ht="12.75" customHeight="1">
      <c r="A972" s="175"/>
      <c r="B972" s="175"/>
      <c r="C972" s="174"/>
      <c r="D972" s="1292"/>
      <c r="E972" s="1292"/>
      <c r="F972" s="1292"/>
      <c r="G972" s="982"/>
      <c r="I972" s="489"/>
    </row>
    <row r="973" spans="1:9" ht="12.75" customHeight="1">
      <c r="A973" s="983"/>
      <c r="B973" s="983"/>
      <c r="C973" s="983"/>
      <c r="D973" s="974"/>
      <c r="E973" s="974"/>
      <c r="F973" s="974"/>
      <c r="G973" s="974"/>
      <c r="I973" s="489"/>
    </row>
    <row r="974" spans="1:9" ht="12.75" customHeight="1">
      <c r="A974" s="353"/>
      <c r="B974" s="353"/>
      <c r="C974" s="353"/>
      <c r="D974" s="1308" t="s">
        <v>1771</v>
      </c>
      <c r="E974" s="1308"/>
      <c r="F974" s="1308"/>
      <c r="G974" s="3"/>
      <c r="I974" s="489"/>
    </row>
    <row r="975" spans="1:9" ht="12.75" customHeight="1">
      <c r="A975" s="175"/>
      <c r="B975" s="484" t="s">
        <v>2753</v>
      </c>
      <c r="C975" s="353"/>
      <c r="D975" s="1309" t="s">
        <v>1794</v>
      </c>
      <c r="E975" s="1309"/>
      <c r="F975" s="1309"/>
      <c r="G975" s="3"/>
      <c r="I975" s="489"/>
    </row>
    <row r="976" spans="1:9" ht="12.75" customHeight="1">
      <c r="A976" s="353"/>
      <c r="B976" s="353"/>
      <c r="C976" s="353"/>
      <c r="D976" s="3"/>
      <c r="E976" s="3"/>
      <c r="F976" s="3"/>
      <c r="G976" s="3"/>
      <c r="I976" s="489"/>
    </row>
    <row r="977" spans="1:9" ht="12.75" customHeight="1">
      <c r="A977" s="353"/>
      <c r="B977" s="353"/>
      <c r="C977" s="353"/>
      <c r="D977" s="1308" t="s">
        <v>1772</v>
      </c>
      <c r="E977" s="1308"/>
      <c r="F977" s="1308"/>
      <c r="G977"/>
      <c r="I977" s="489"/>
    </row>
    <row r="978" spans="1:9" ht="12.75" customHeight="1">
      <c r="A978" s="175"/>
      <c r="B978" s="484" t="s">
        <v>2753</v>
      </c>
      <c r="C978" s="353"/>
      <c r="D978" s="1281" t="s">
        <v>2028</v>
      </c>
      <c r="E978" s="1281"/>
      <c r="F978" s="1281"/>
      <c r="G978"/>
      <c r="I978" s="489"/>
    </row>
    <row r="979" spans="1:9" ht="12.75" customHeight="1">
      <c r="A979" s="175"/>
      <c r="B979" s="175"/>
      <c r="C979" s="353"/>
      <c r="D979" s="1281"/>
      <c r="E979" s="1281"/>
      <c r="F979" s="1281"/>
      <c r="G979"/>
      <c r="I979" s="489"/>
    </row>
    <row r="980" spans="1:9" ht="12.75" customHeight="1">
      <c r="A980" s="175"/>
      <c r="B980" s="175"/>
      <c r="C980" s="353"/>
      <c r="D980" s="1281"/>
      <c r="E980" s="1281"/>
      <c r="F980" s="1281"/>
      <c r="G980"/>
      <c r="I980" s="489"/>
    </row>
    <row r="981" spans="1:9" ht="12.75" customHeight="1">
      <c r="A981" s="175"/>
      <c r="B981" s="175"/>
      <c r="C981" s="353"/>
      <c r="D981" s="1281"/>
      <c r="E981" s="1281"/>
      <c r="F981" s="1281"/>
      <c r="G981"/>
      <c r="I981" s="489"/>
    </row>
    <row r="982" spans="1:9" ht="12.75" customHeight="1">
      <c r="A982" s="175"/>
      <c r="B982" s="175"/>
      <c r="C982" s="353"/>
      <c r="D982" s="1281"/>
      <c r="E982" s="1281"/>
      <c r="F982" s="1281"/>
      <c r="G982"/>
      <c r="I982" s="489"/>
    </row>
    <row r="983" spans="1:9" ht="12.75" customHeight="1">
      <c r="A983" s="175"/>
      <c r="B983" s="175"/>
      <c r="C983" s="353"/>
      <c r="D983" s="1281"/>
      <c r="E983" s="1281"/>
      <c r="F983" s="1281"/>
      <c r="G983"/>
      <c r="I983" s="489"/>
    </row>
    <row r="984" spans="1:9" ht="12.75" customHeight="1">
      <c r="A984" s="175"/>
      <c r="B984" s="175"/>
      <c r="C984" s="353"/>
      <c r="D984" s="1281"/>
      <c r="E984" s="1281"/>
      <c r="F984" s="1281"/>
      <c r="G984"/>
      <c r="I984" s="489"/>
    </row>
    <row r="985" spans="1:9" ht="12.75" customHeight="1">
      <c r="A985" s="175"/>
      <c r="B985" s="175"/>
      <c r="C985" s="353"/>
      <c r="D985" s="1281"/>
      <c r="E985" s="1281"/>
      <c r="F985" s="1281"/>
      <c r="G985"/>
      <c r="I985" s="489"/>
    </row>
    <row r="986" spans="1:9" ht="12.75" customHeight="1">
      <c r="A986" s="175"/>
      <c r="B986" s="175"/>
      <c r="C986" s="353"/>
      <c r="D986" s="1281"/>
      <c r="E986" s="1281"/>
      <c r="F986" s="1281"/>
      <c r="G986"/>
      <c r="I986" s="489"/>
    </row>
    <row r="987" spans="1:9" ht="12.75" customHeight="1">
      <c r="A987" s="175"/>
      <c r="B987" s="175"/>
      <c r="C987" s="353"/>
      <c r="D987" s="1281"/>
      <c r="E987" s="1281"/>
      <c r="F987" s="1281"/>
      <c r="G987"/>
      <c r="I987" s="489"/>
    </row>
    <row r="988" spans="1:9" ht="12.75" customHeight="1">
      <c r="A988" s="175"/>
      <c r="B988" s="175"/>
      <c r="C988" s="353"/>
      <c r="D988" s="1281"/>
      <c r="E988" s="1281"/>
      <c r="F988" s="1281"/>
      <c r="G988"/>
      <c r="I988" s="489"/>
    </row>
    <row r="989" spans="1:9" ht="12.75" customHeight="1">
      <c r="A989" s="175"/>
      <c r="B989" s="175"/>
      <c r="C989" s="353"/>
      <c r="D989" s="1281"/>
      <c r="E989" s="1281"/>
      <c r="F989" s="1281"/>
      <c r="G989"/>
      <c r="I989" s="489"/>
    </row>
    <row r="990" spans="1:9" ht="12.75" customHeight="1">
      <c r="A990" s="175"/>
      <c r="B990" s="175"/>
      <c r="C990" s="353"/>
      <c r="D990" s="1281"/>
      <c r="E990" s="1281"/>
      <c r="F990" s="1281"/>
      <c r="G990"/>
      <c r="I990" s="489"/>
    </row>
    <row r="991" spans="1:9" ht="12.75" customHeight="1">
      <c r="A991" s="175"/>
      <c r="B991" s="175"/>
      <c r="C991" s="353"/>
      <c r="D991" s="1281"/>
      <c r="E991" s="1281"/>
      <c r="F991" s="1281"/>
      <c r="G991"/>
      <c r="I991" s="489"/>
    </row>
    <row r="992" spans="1:9" ht="12.75" customHeight="1">
      <c r="A992" s="175"/>
      <c r="B992" s="175"/>
      <c r="C992" s="353"/>
      <c r="D992" s="1281"/>
      <c r="E992" s="1281"/>
      <c r="F992" s="1281"/>
      <c r="G992" s="3"/>
      <c r="I992" s="489"/>
    </row>
    <row r="993" spans="1:9" ht="12.75" customHeight="1">
      <c r="A993" s="353"/>
      <c r="B993" s="353"/>
      <c r="C993" s="353"/>
      <c r="D993" s="3"/>
      <c r="E993" s="3"/>
      <c r="F993" s="3"/>
      <c r="G993" s="3"/>
      <c r="I993" s="489"/>
    </row>
    <row r="994" spans="1:9" ht="12.75" customHeight="1">
      <c r="A994" s="1305" t="s">
        <v>1773</v>
      </c>
      <c r="B994" s="1305"/>
      <c r="C994" s="1305"/>
      <c r="D994" s="1305"/>
      <c r="E994" s="1305"/>
      <c r="F994" s="1305"/>
      <c r="G994" s="1305"/>
      <c r="H994" s="1022"/>
      <c r="I994" s="1146"/>
    </row>
    <row r="995" spans="1:9" ht="12.75" customHeight="1">
      <c r="A995" s="118"/>
      <c r="B995" s="118"/>
      <c r="C995" s="353"/>
      <c r="D995" s="3"/>
      <c r="E995" s="3"/>
      <c r="F995" s="3"/>
      <c r="G995" s="3"/>
      <c r="I995" s="489"/>
    </row>
    <row r="996" spans="1:9" ht="12.75" customHeight="1">
      <c r="A996" s="353"/>
      <c r="B996" s="353"/>
      <c r="C996" s="983"/>
      <c r="D996" s="1308" t="s">
        <v>1795</v>
      </c>
      <c r="E996" s="1308"/>
      <c r="F996" s="1308"/>
      <c r="G996" s="3"/>
      <c r="I996" s="489"/>
    </row>
    <row r="997" spans="1:9" ht="12.75" customHeight="1">
      <c r="A997" s="172"/>
      <c r="B997" s="172"/>
      <c r="C997" s="172"/>
      <c r="D997" s="1309" t="s">
        <v>1774</v>
      </c>
      <c r="E997" s="1309"/>
      <c r="F997" s="1309"/>
      <c r="G997" s="3"/>
      <c r="I997" s="489"/>
    </row>
    <row r="998" spans="1:9" ht="12.75" customHeight="1">
      <c r="A998" s="172"/>
      <c r="B998" s="172"/>
      <c r="C998" s="172"/>
      <c r="D998" s="3"/>
      <c r="E998" s="3"/>
      <c r="F998" s="982"/>
      <c r="G998"/>
      <c r="I998" s="489"/>
    </row>
    <row r="999" spans="1:9" ht="12.75" customHeight="1">
      <c r="A999" s="353"/>
      <c r="B999" s="484" t="s">
        <v>2752</v>
      </c>
      <c r="C999" s="353"/>
      <c r="D999" s="1310" t="s">
        <v>1887</v>
      </c>
      <c r="E999" s="1310"/>
      <c r="F999" s="1310"/>
      <c r="G999"/>
      <c r="I999" s="489"/>
    </row>
    <row r="1000" spans="1:9" ht="12.75" customHeight="1">
      <c r="A1000" s="353"/>
      <c r="B1000" s="353"/>
      <c r="C1000" s="353"/>
      <c r="D1000" s="1310"/>
      <c r="E1000" s="1310"/>
      <c r="F1000" s="1310"/>
      <c r="G1000"/>
      <c r="I1000" s="489"/>
    </row>
    <row r="1001" spans="1:9" ht="12.75" customHeight="1">
      <c r="A1001" s="353"/>
      <c r="B1001" s="353"/>
      <c r="C1001" s="353"/>
      <c r="D1001" s="1032"/>
      <c r="E1001" s="1030" t="s">
        <v>1888</v>
      </c>
      <c r="F1001" s="1032"/>
      <c r="G1001"/>
      <c r="I1001" s="489"/>
    </row>
    <row r="1002" spans="1:9" ht="12.75" customHeight="1">
      <c r="A1002" s="353"/>
      <c r="B1002" s="353"/>
      <c r="C1002" s="353"/>
      <c r="D1002" s="1286" t="s">
        <v>1886</v>
      </c>
      <c r="E1002" s="1286"/>
      <c r="F1002" s="1286"/>
      <c r="G1002"/>
      <c r="I1002" s="489"/>
    </row>
    <row r="1003" spans="1:9" ht="12.75" customHeight="1">
      <c r="A1003" s="353"/>
      <c r="B1003" s="353"/>
      <c r="C1003" s="353"/>
      <c r="D1003" s="1286"/>
      <c r="E1003" s="1286"/>
      <c r="F1003" s="1286"/>
      <c r="G1003"/>
      <c r="I1003" s="489"/>
    </row>
    <row r="1004" spans="1:9" ht="12.75" customHeight="1">
      <c r="A1004" s="174"/>
      <c r="B1004" s="174"/>
      <c r="C1004" s="174"/>
      <c r="D1004" s="1286"/>
      <c r="E1004" s="1286"/>
      <c r="F1004" s="1286"/>
      <c r="G1004"/>
      <c r="I1004" s="489"/>
    </row>
    <row r="1005" spans="1:9" ht="12.75" customHeight="1">
      <c r="A1005" s="174"/>
      <c r="B1005" s="174"/>
      <c r="C1005" s="174"/>
      <c r="D1005" s="1286"/>
      <c r="E1005" s="1286"/>
      <c r="F1005" s="1286"/>
      <c r="G1005"/>
      <c r="I1005" s="489"/>
    </row>
    <row r="1006" spans="1:9" ht="12.75" customHeight="1">
      <c r="A1006" s="174"/>
      <c r="B1006" s="174"/>
      <c r="C1006" s="174"/>
      <c r="D1006" s="334"/>
      <c r="E1006" s="334"/>
      <c r="F1006" s="334"/>
      <c r="G1006"/>
      <c r="I1006" s="489"/>
    </row>
    <row r="1007" spans="1:9" ht="12.75" customHeight="1">
      <c r="A1007" s="174"/>
      <c r="B1007" s="484" t="s">
        <v>2753</v>
      </c>
      <c r="C1007" s="174"/>
      <c r="D1007" s="1281" t="s">
        <v>1775</v>
      </c>
      <c r="E1007" s="1281"/>
      <c r="F1007" s="1281"/>
      <c r="G1007"/>
      <c r="I1007" s="489"/>
    </row>
    <row r="1008" spans="1:9" ht="12.75" customHeight="1">
      <c r="A1008" s="174"/>
      <c r="B1008" s="174"/>
      <c r="C1008" s="174"/>
      <c r="D1008" s="1281"/>
      <c r="E1008" s="1281"/>
      <c r="F1008" s="1281"/>
      <c r="G1008"/>
      <c r="I1008" s="489"/>
    </row>
    <row r="1009" spans="1:9" ht="12.75" customHeight="1">
      <c r="A1009" s="174"/>
      <c r="B1009" s="174"/>
      <c r="C1009" s="174"/>
      <c r="D1009" s="1281"/>
      <c r="E1009" s="1281"/>
      <c r="F1009" s="1281"/>
      <c r="G1009"/>
      <c r="I1009" s="489"/>
    </row>
    <row r="1010" spans="1:9" ht="12.75" customHeight="1">
      <c r="A1010" s="174"/>
      <c r="B1010" s="174"/>
      <c r="C1010" s="174"/>
      <c r="D1010" s="1281"/>
      <c r="E1010" s="1281"/>
      <c r="F1010" s="1281"/>
      <c r="G1010"/>
      <c r="I1010" s="489"/>
    </row>
    <row r="1011" spans="1:9" ht="12.75" customHeight="1">
      <c r="A1011" s="174"/>
      <c r="B1011" s="174"/>
      <c r="C1011" s="174"/>
      <c r="D1011" s="440"/>
      <c r="E1011" s="440"/>
      <c r="F1011" s="440"/>
      <c r="G1011"/>
      <c r="I1011" s="489"/>
    </row>
    <row r="1012" spans="1:9" ht="12.75" customHeight="1">
      <c r="A1012" s="174"/>
      <c r="B1012" s="484" t="s">
        <v>2753</v>
      </c>
      <c r="C1012" s="174"/>
      <c r="D1012" s="1281" t="s">
        <v>2182</v>
      </c>
      <c r="E1012" s="1281"/>
      <c r="F1012" s="1281"/>
      <c r="G1012"/>
      <c r="I1012" s="489"/>
    </row>
    <row r="1013" spans="1:9" ht="12.75" customHeight="1">
      <c r="A1013" s="174"/>
      <c r="B1013" s="174"/>
      <c r="C1013" s="174"/>
      <c r="D1013" s="1281"/>
      <c r="E1013" s="1281"/>
      <c r="F1013" s="1281"/>
      <c r="G1013"/>
      <c r="I1013" s="489"/>
    </row>
    <row r="1014" spans="1:9" ht="12.75" customHeight="1">
      <c r="A1014" s="174"/>
      <c r="B1014" s="174"/>
      <c r="C1014" s="174"/>
      <c r="D1014" s="440"/>
      <c r="E1014" s="440"/>
      <c r="F1014" s="440"/>
      <c r="G1014"/>
      <c r="I1014" s="489"/>
    </row>
    <row r="1015" spans="1:9" ht="12.75" customHeight="1">
      <c r="A1015" s="175"/>
      <c r="B1015" s="484" t="s">
        <v>2752</v>
      </c>
      <c r="C1015" s="353"/>
      <c r="D1015" s="1309" t="s">
        <v>1776</v>
      </c>
      <c r="E1015" s="1309"/>
      <c r="F1015" s="1309"/>
      <c r="G1015"/>
      <c r="I1015" s="489"/>
    </row>
    <row r="1016" spans="1:9" ht="12.75" customHeight="1">
      <c r="A1016" s="353"/>
      <c r="B1016" s="353"/>
      <c r="C1016" s="353"/>
      <c r="D1016" s="3"/>
      <c r="E1016" s="3"/>
      <c r="F1016" s="3"/>
      <c r="G1016"/>
      <c r="I1016" s="489"/>
    </row>
    <row r="1017" spans="1:9" ht="12.75" customHeight="1">
      <c r="A1017" s="175"/>
      <c r="B1017" s="484" t="s">
        <v>2753</v>
      </c>
      <c r="C1017" s="353"/>
      <c r="D1017" s="1309" t="s">
        <v>1777</v>
      </c>
      <c r="E1017" s="1309"/>
      <c r="F1017" s="1309"/>
      <c r="G1017"/>
      <c r="I1017" s="489"/>
    </row>
    <row r="1018" spans="1:9" ht="12.75" customHeight="1">
      <c r="A1018" s="353"/>
      <c r="B1018" s="353"/>
      <c r="C1018" s="353"/>
      <c r="D1018" s="118"/>
      <c r="E1018" s="3"/>
      <c r="F1018" s="3"/>
      <c r="G1018"/>
      <c r="I1018" s="489"/>
    </row>
    <row r="1019" spans="1:9" ht="12.75" customHeight="1">
      <c r="A1019" s="175"/>
      <c r="B1019" s="484" t="s">
        <v>2752</v>
      </c>
      <c r="C1019" s="353"/>
      <c r="D1019" s="1309" t="s">
        <v>1778</v>
      </c>
      <c r="E1019" s="1309"/>
      <c r="F1019" s="1309"/>
      <c r="G1019"/>
      <c r="I1019" s="489"/>
    </row>
    <row r="1020" spans="1:9" ht="12.75" customHeight="1">
      <c r="A1020" s="353"/>
      <c r="B1020" s="353"/>
      <c r="C1020" s="353"/>
      <c r="D1020" s="118"/>
      <c r="E1020" s="3"/>
      <c r="F1020" s="3"/>
      <c r="G1020"/>
      <c r="I1020" s="489"/>
    </row>
    <row r="1021" spans="1:9" ht="12.75" customHeight="1">
      <c r="A1021" s="175"/>
      <c r="B1021" s="484" t="s">
        <v>2753</v>
      </c>
      <c r="C1021" s="353"/>
      <c r="D1021" s="1281" t="s">
        <v>1779</v>
      </c>
      <c r="E1021" s="1281"/>
      <c r="F1021" s="1281"/>
      <c r="G1021"/>
      <c r="I1021" s="489"/>
    </row>
    <row r="1022" spans="1:9" ht="12.75" customHeight="1">
      <c r="A1022" s="175"/>
      <c r="B1022" s="175"/>
      <c r="C1022" s="353"/>
      <c r="D1022" s="1281"/>
      <c r="E1022" s="1281"/>
      <c r="F1022" s="1281"/>
      <c r="G1022"/>
      <c r="I1022" s="489"/>
    </row>
    <row r="1023" spans="1:9" ht="12.75" customHeight="1">
      <c r="A1023" s="175"/>
      <c r="B1023" s="175"/>
      <c r="C1023" s="353"/>
      <c r="D1023" s="118"/>
      <c r="E1023" s="3"/>
      <c r="F1023" s="3"/>
      <c r="G1023" s="3"/>
      <c r="I1023" s="489"/>
    </row>
    <row r="1024" spans="1:9" ht="12.75" customHeight="1">
      <c r="A1024" s="253"/>
      <c r="B1024" s="484" t="s">
        <v>2753</v>
      </c>
      <c r="C1024" s="994"/>
      <c r="D1024" s="1311" t="s">
        <v>1780</v>
      </c>
      <c r="E1024" s="1311"/>
      <c r="F1024" s="1311"/>
      <c r="G1024" s="995"/>
      <c r="I1024" s="489"/>
    </row>
    <row r="1025" spans="1:9" ht="12.75" customHeight="1">
      <c r="A1025" s="994"/>
      <c r="B1025" s="994"/>
      <c r="C1025" s="994"/>
      <c r="D1025" s="1311"/>
      <c r="E1025" s="1311"/>
      <c r="F1025" s="1311"/>
      <c r="G1025" s="995"/>
      <c r="I1025" s="489"/>
    </row>
    <row r="1026" spans="1:9" ht="12.75" customHeight="1">
      <c r="A1026" s="994"/>
      <c r="B1026" s="994"/>
      <c r="C1026" s="994"/>
      <c r="D1026" s="978"/>
      <c r="E1026" s="995"/>
      <c r="F1026" s="995"/>
      <c r="G1026" s="995"/>
      <c r="I1026" s="489"/>
    </row>
    <row r="1027" spans="1:9" ht="12.75" customHeight="1">
      <c r="A1027" s="253"/>
      <c r="B1027" s="484" t="s">
        <v>2753</v>
      </c>
      <c r="C1027" s="994"/>
      <c r="D1027" s="1304" t="s">
        <v>1781</v>
      </c>
      <c r="E1027" s="1304"/>
      <c r="F1027" s="1304"/>
      <c r="G1027" s="995"/>
      <c r="I1027" s="489"/>
    </row>
    <row r="1028" spans="1:9" ht="12.75" customHeight="1">
      <c r="A1028" s="994"/>
      <c r="B1028" s="994"/>
      <c r="C1028" s="994"/>
      <c r="D1028" s="978"/>
      <c r="E1028" s="995"/>
      <c r="F1028" s="995"/>
      <c r="G1028" s="995"/>
      <c r="I1028" s="489"/>
    </row>
    <row r="1029" spans="1:9" ht="12.75" customHeight="1">
      <c r="A1029" s="175"/>
      <c r="B1029" s="484" t="s">
        <v>2753</v>
      </c>
      <c r="C1029" s="353"/>
      <c r="D1029" s="1309" t="s">
        <v>1782</v>
      </c>
      <c r="E1029" s="1309"/>
      <c r="F1029" s="1309"/>
      <c r="G1029" s="3"/>
      <c r="I1029" s="489"/>
    </row>
    <row r="1030" spans="1:9" ht="12.75" customHeight="1">
      <c r="A1030" s="175"/>
      <c r="B1030" s="175"/>
      <c r="C1030" s="353"/>
      <c r="D1030" s="118"/>
      <c r="E1030" s="3"/>
      <c r="F1030" s="3"/>
      <c r="G1030" s="3"/>
      <c r="I1030" s="489"/>
    </row>
    <row r="1031" spans="1:9" ht="12.75" customHeight="1">
      <c r="A1031" s="175"/>
      <c r="B1031" s="484" t="s">
        <v>2753</v>
      </c>
      <c r="C1031" s="353"/>
      <c r="D1031" s="1281" t="s">
        <v>1783</v>
      </c>
      <c r="E1031" s="1281"/>
      <c r="F1031" s="1281"/>
      <c r="G1031" s="3"/>
      <c r="I1031" s="489"/>
    </row>
    <row r="1032" spans="1:9" ht="12.75" customHeight="1">
      <c r="A1032" s="175"/>
      <c r="B1032" s="175"/>
      <c r="C1032" s="353"/>
      <c r="D1032" s="1281"/>
      <c r="E1032" s="1281"/>
      <c r="F1032" s="1281"/>
      <c r="G1032" s="3"/>
      <c r="I1032" s="489"/>
    </row>
    <row r="1033" spans="1:9" ht="12.75" customHeight="1">
      <c r="A1033" s="353"/>
      <c r="B1033" s="353"/>
      <c r="C1033" s="353"/>
      <c r="D1033" s="3"/>
      <c r="E1033" s="3"/>
      <c r="F1033" s="3"/>
      <c r="G1033" s="3"/>
      <c r="I1033" s="489"/>
    </row>
    <row r="1034" spans="1:9" ht="12.75" customHeight="1">
      <c r="A1034" s="1305" t="s">
        <v>1784</v>
      </c>
      <c r="B1034" s="1305"/>
      <c r="C1034" s="1305"/>
      <c r="D1034" s="1305"/>
      <c r="E1034" s="1305"/>
      <c r="F1034" s="1305"/>
      <c r="G1034" s="1305"/>
      <c r="H1034" s="1022"/>
      <c r="I1034" s="1146"/>
    </row>
    <row r="1035" spans="1:9" ht="12.75" customHeight="1">
      <c r="A1035" s="353"/>
      <c r="B1035" s="353"/>
      <c r="C1035" s="353"/>
      <c r="D1035" s="3"/>
      <c r="E1035" s="3"/>
      <c r="F1035" s="3"/>
      <c r="G1035" s="3"/>
      <c r="I1035" s="489"/>
    </row>
    <row r="1036" spans="1:9" ht="12.75" customHeight="1">
      <c r="A1036" s="353"/>
      <c r="B1036" s="353"/>
      <c r="C1036" s="353"/>
      <c r="D1036" s="1303" t="s">
        <v>1785</v>
      </c>
      <c r="E1036" s="1303"/>
      <c r="F1036" s="1303"/>
      <c r="G1036" s="3"/>
      <c r="I1036" s="489"/>
    </row>
    <row r="1037" spans="1:9" ht="12.75" customHeight="1">
      <c r="A1037" s="353"/>
      <c r="B1037" s="353"/>
      <c r="C1037" s="353"/>
      <c r="D1037" s="1304" t="s">
        <v>1786</v>
      </c>
      <c r="E1037" s="1304"/>
      <c r="F1037" s="1304"/>
      <c r="G1037" s="3"/>
      <c r="I1037" s="489"/>
    </row>
    <row r="1038" spans="1:9" ht="12.75" customHeight="1">
      <c r="A1038" s="172"/>
      <c r="B1038" s="172"/>
      <c r="C1038" s="172"/>
      <c r="D1038" s="3"/>
      <c r="E1038" s="3"/>
      <c r="F1038" s="3"/>
      <c r="G1038" s="3"/>
      <c r="I1038" s="489"/>
    </row>
    <row r="1039" spans="1:9" ht="12.75" customHeight="1">
      <c r="A1039" s="175"/>
      <c r="B1039" s="175"/>
      <c r="C1039" s="174"/>
      <c r="D1039" s="1303" t="s">
        <v>1800</v>
      </c>
      <c r="E1039" s="1303"/>
      <c r="F1039" s="1303"/>
      <c r="G1039" s="3"/>
      <c r="I1039" s="489"/>
    </row>
    <row r="1040" spans="1:9" ht="12.75" customHeight="1">
      <c r="A1040" s="353"/>
      <c r="B1040" s="484" t="s">
        <v>2752</v>
      </c>
      <c r="C1040" s="353"/>
      <c r="D1040" s="1304" t="s">
        <v>1269</v>
      </c>
      <c r="E1040" s="1304"/>
      <c r="F1040" s="1304"/>
      <c r="G1040" s="3"/>
      <c r="I1040" s="489"/>
    </row>
    <row r="1041" spans="1:9" ht="12.75" customHeight="1">
      <c r="A1041" s="353"/>
      <c r="B1041" s="175"/>
      <c r="C1041" s="353"/>
      <c r="D1041" s="1304" t="s">
        <v>1787</v>
      </c>
      <c r="E1041" s="1304"/>
      <c r="F1041" s="1304"/>
      <c r="G1041" s="3"/>
      <c r="I1041" s="489"/>
    </row>
    <row r="1042" spans="1:9" ht="12.75" customHeight="1">
      <c r="A1042" s="353"/>
      <c r="B1042" s="353"/>
      <c r="C1042" s="353"/>
      <c r="D1042" s="1304"/>
      <c r="E1042" s="1304"/>
      <c r="F1042" s="1304"/>
      <c r="G1042" s="3"/>
      <c r="I1042" s="489"/>
    </row>
    <row r="1043" spans="1:9" ht="12.75" customHeight="1">
      <c r="A1043" s="1305" t="s">
        <v>1796</v>
      </c>
      <c r="B1043" s="1305"/>
      <c r="C1043" s="1305"/>
      <c r="D1043" s="1305"/>
      <c r="E1043" s="1305"/>
      <c r="F1043" s="1305"/>
      <c r="G1043" s="1305"/>
      <c r="H1043" s="1022"/>
      <c r="I1043" s="1146"/>
    </row>
    <row r="1044" spans="1:9" ht="12.75" customHeight="1">
      <c r="A1044" s="118"/>
      <c r="B1044" s="118"/>
      <c r="C1044" s="353"/>
      <c r="D1044" s="3"/>
      <c r="E1044" s="3"/>
      <c r="F1044" s="3"/>
      <c r="G1044" s="3"/>
      <c r="I1044" s="489"/>
    </row>
    <row r="1045" spans="1:9" ht="12.75" hidden="1" customHeight="1">
      <c r="A1045" s="118"/>
      <c r="B1045" s="401"/>
      <c r="D1045" s="1302" t="s">
        <v>1270</v>
      </c>
      <c r="E1045" s="1302"/>
      <c r="F1045" s="1302"/>
      <c r="G1045" s="3"/>
      <c r="I1045" s="489"/>
    </row>
    <row r="1046" spans="1:9" ht="12.75" hidden="1" customHeight="1">
      <c r="A1046" s="118"/>
      <c r="B1046" s="484" t="s">
        <v>306</v>
      </c>
      <c r="D1046" s="1301" t="s">
        <v>1269</v>
      </c>
      <c r="E1046" s="1301"/>
      <c r="F1046" s="1301"/>
      <c r="G1046" s="3"/>
      <c r="I1046" s="489"/>
    </row>
    <row r="1047" spans="1:9" ht="12.75" hidden="1" customHeight="1">
      <c r="A1047" s="118"/>
      <c r="B1047" s="401"/>
      <c r="D1047" s="1301" t="s">
        <v>1797</v>
      </c>
      <c r="E1047" s="1301"/>
      <c r="F1047" s="1301"/>
      <c r="G1047" s="3"/>
      <c r="I1047" s="489"/>
    </row>
    <row r="1048" spans="1:9" ht="12.75" hidden="1" customHeight="1">
      <c r="A1048" s="118"/>
      <c r="B1048" s="401"/>
      <c r="D1048" s="443"/>
      <c r="E1048" s="443"/>
      <c r="F1048" s="443"/>
      <c r="G1048" s="3"/>
      <c r="I1048" s="489"/>
    </row>
    <row r="1049" spans="1:9" ht="12.75" customHeight="1">
      <c r="A1049" s="118"/>
      <c r="B1049" s="118"/>
      <c r="C1049" s="353"/>
      <c r="D1049" s="1306" t="s">
        <v>1064</v>
      </c>
      <c r="E1049" s="1306"/>
      <c r="F1049" s="1306"/>
      <c r="G1049" s="3"/>
      <c r="I1049" s="489"/>
    </row>
    <row r="1050" spans="1:9" ht="12.75" customHeight="1">
      <c r="A1050" s="318"/>
      <c r="B1050" s="318"/>
      <c r="C1050" s="318"/>
      <c r="D1050" s="1300" t="s">
        <v>2199</v>
      </c>
      <c r="E1050" s="1300"/>
      <c r="F1050" s="1300"/>
      <c r="G1050" s="98"/>
      <c r="I1050" s="489"/>
    </row>
    <row r="1051" spans="1:9" ht="12.75" customHeight="1">
      <c r="A1051" s="175"/>
      <c r="B1051" s="484" t="s">
        <v>2753</v>
      </c>
      <c r="C1051" s="353"/>
      <c r="D1051" s="1300" t="s">
        <v>983</v>
      </c>
      <c r="E1051" s="1300"/>
      <c r="F1051" s="1300"/>
      <c r="G1051" s="3"/>
      <c r="I1051" s="489"/>
    </row>
    <row r="1052" spans="1:9" ht="12.75" customHeight="1">
      <c r="A1052" s="353"/>
      <c r="B1052" s="353"/>
      <c r="C1052" s="353"/>
      <c r="D1052" s="1030" t="s">
        <v>1889</v>
      </c>
      <c r="E1052" s="96"/>
      <c r="F1052" s="96"/>
      <c r="G1052" s="3"/>
      <c r="I1052" s="489"/>
    </row>
    <row r="1053" spans="1:9">
      <c r="A1053" s="401"/>
      <c r="B1053" s="401"/>
      <c r="C1053" s="401"/>
      <c r="I1053" s="489"/>
    </row>
    <row r="1054" spans="1:9">
      <c r="A1054" s="1305" t="s">
        <v>2614</v>
      </c>
      <c r="B1054" s="1305"/>
      <c r="C1054" s="1305"/>
      <c r="D1054" s="1305"/>
      <c r="E1054" s="1305"/>
      <c r="F1054" s="1305"/>
      <c r="G1054" s="1305"/>
      <c r="H1054" s="1022"/>
      <c r="I1054" s="1146"/>
    </row>
    <row r="1055" spans="1:9">
      <c r="A1055" s="401"/>
      <c r="B1055" s="401"/>
      <c r="C1055" s="401"/>
      <c r="I1055" s="489"/>
    </row>
    <row r="1056" spans="1:9">
      <c r="A1056" s="401"/>
      <c r="B1056" s="401"/>
      <c r="C1056" s="401"/>
      <c r="D1056" s="403" t="s">
        <v>2613</v>
      </c>
      <c r="I1056" s="489"/>
    </row>
    <row r="1057" spans="1:9">
      <c r="A1057" s="401"/>
      <c r="B1057" s="401"/>
      <c r="C1057" s="401"/>
      <c r="D1057" s="401" t="s">
        <v>2617</v>
      </c>
      <c r="I1057" s="489"/>
    </row>
    <row r="1058" spans="1:9">
      <c r="A1058" s="401"/>
      <c r="B1058" s="401"/>
      <c r="C1058" s="401"/>
      <c r="D1058" s="403"/>
      <c r="I1058" s="489"/>
    </row>
    <row r="1059" spans="1:9">
      <c r="A1059" s="401"/>
      <c r="B1059" s="484" t="s">
        <v>2753</v>
      </c>
      <c r="C1059" s="401"/>
      <c r="D1059" s="1313" t="s">
        <v>1801</v>
      </c>
      <c r="E1059" s="1313"/>
      <c r="F1059" s="1313"/>
      <c r="I1059" s="489"/>
    </row>
    <row r="1060" spans="1:9">
      <c r="A1060" s="401"/>
      <c r="B1060" s="401"/>
      <c r="C1060" s="401"/>
      <c r="D1060" s="1313"/>
      <c r="E1060" s="1313"/>
      <c r="F1060" s="1313"/>
      <c r="I1060" s="489"/>
    </row>
    <row r="1061" spans="1:9">
      <c r="A1061" s="401"/>
      <c r="B1061" s="401"/>
      <c r="C1061" s="401"/>
      <c r="D1061" s="1313"/>
      <c r="E1061" s="1313"/>
      <c r="F1061" s="1313"/>
      <c r="I1061" s="489"/>
    </row>
    <row r="1062" spans="1:9">
      <c r="A1062" s="401"/>
      <c r="B1062" s="401"/>
      <c r="C1062" s="401"/>
      <c r="D1062" s="1313"/>
      <c r="E1062" s="1313"/>
      <c r="F1062" s="1313"/>
      <c r="I1062" s="489"/>
    </row>
    <row r="1063" spans="1:9">
      <c r="A1063" s="401"/>
      <c r="B1063" s="401"/>
      <c r="C1063" s="401"/>
      <c r="I1063" s="489"/>
    </row>
    <row r="1064" spans="1:9">
      <c r="A1064" s="401"/>
      <c r="B1064" s="401"/>
      <c r="C1064" s="401"/>
      <c r="D1064" s="403" t="s">
        <v>1305</v>
      </c>
      <c r="I1064" s="489"/>
    </row>
    <row r="1065" spans="1:9">
      <c r="A1065" s="401"/>
      <c r="B1065" s="401"/>
      <c r="C1065" s="401"/>
      <c r="D1065" s="401" t="s">
        <v>2618</v>
      </c>
      <c r="I1065" s="489"/>
    </row>
    <row r="1066" spans="1:9">
      <c r="A1066" s="401"/>
      <c r="B1066" s="401"/>
      <c r="C1066" s="401"/>
      <c r="I1066" s="489"/>
    </row>
    <row r="1067" spans="1:9">
      <c r="A1067" s="401"/>
      <c r="B1067" s="484" t="s">
        <v>2752</v>
      </c>
      <c r="C1067" s="401"/>
      <c r="D1067" s="401" t="s">
        <v>1799</v>
      </c>
      <c r="I1067" s="489"/>
    </row>
    <row r="1068" spans="1:9">
      <c r="A1068" s="401"/>
      <c r="B1068" s="401"/>
      <c r="C1068" s="401"/>
      <c r="I1068" s="489"/>
    </row>
    <row r="1069" spans="1:9">
      <c r="A1069" s="401"/>
      <c r="B1069" s="484" t="s">
        <v>2753</v>
      </c>
      <c r="C1069" s="401"/>
      <c r="D1069" s="1313" t="s">
        <v>1802</v>
      </c>
      <c r="E1069" s="1313"/>
      <c r="F1069" s="1313"/>
      <c r="I1069" s="489"/>
    </row>
    <row r="1070" spans="1:9">
      <c r="A1070" s="401"/>
      <c r="B1070" s="401"/>
      <c r="C1070" s="401"/>
      <c r="D1070" s="1313"/>
      <c r="E1070" s="1313"/>
      <c r="F1070" s="1313"/>
      <c r="I1070" s="489"/>
    </row>
    <row r="1071" spans="1:9">
      <c r="A1071" s="401"/>
      <c r="B1071" s="401"/>
      <c r="C1071" s="401"/>
      <c r="D1071" s="1313"/>
      <c r="E1071" s="1313"/>
      <c r="F1071" s="1313"/>
      <c r="I1071" s="489"/>
    </row>
    <row r="1072" spans="1:9">
      <c r="A1072" s="401"/>
      <c r="B1072" s="401"/>
      <c r="C1072" s="401"/>
      <c r="D1072" s="1313"/>
      <c r="E1072" s="1313"/>
      <c r="F1072" s="1313"/>
      <c r="I1072" s="489"/>
    </row>
    <row r="1073" spans="1:9">
      <c r="A1073" s="401"/>
      <c r="B1073" s="401"/>
      <c r="C1073" s="401"/>
      <c r="D1073" s="1313"/>
      <c r="E1073" s="1313"/>
      <c r="F1073" s="1313"/>
      <c r="I1073" s="489"/>
    </row>
    <row r="1074" spans="1:9">
      <c r="A1074" s="401"/>
      <c r="B1074" s="401"/>
      <c r="C1074" s="401"/>
      <c r="I1074" s="489"/>
    </row>
    <row r="1075" spans="1:9">
      <c r="A1075" s="1305" t="s">
        <v>1803</v>
      </c>
      <c r="B1075" s="1305"/>
      <c r="C1075" s="1305"/>
      <c r="D1075" s="1305"/>
      <c r="E1075" s="1305"/>
      <c r="F1075" s="1305"/>
      <c r="G1075" s="1305"/>
      <c r="H1075" s="1022"/>
      <c r="I1075" s="1146"/>
    </row>
    <row r="1076" spans="1:9">
      <c r="A1076" s="401"/>
      <c r="B1076" s="401"/>
      <c r="C1076" s="401"/>
      <c r="I1076" s="489"/>
    </row>
    <row r="1077" spans="1:9">
      <c r="A1077" s="401"/>
      <c r="B1077" s="401"/>
      <c r="C1077" s="401"/>
      <c r="I1077" s="489"/>
    </row>
    <row r="1078" spans="1:9">
      <c r="A1078" s="401"/>
      <c r="B1078" s="484" t="s">
        <v>2752</v>
      </c>
      <c r="C1078" s="401"/>
      <c r="D1078" s="526" t="s">
        <v>1806</v>
      </c>
      <c r="I1078" s="489"/>
    </row>
    <row r="1079" spans="1:9">
      <c r="A1079" s="401"/>
      <c r="B1079" s="401"/>
      <c r="C1079" s="401"/>
      <c r="D1079" s="526" t="s">
        <v>2627</v>
      </c>
      <c r="I1079" s="489"/>
    </row>
    <row r="1080" spans="1:9">
      <c r="A1080" s="401"/>
      <c r="B1080" s="401"/>
      <c r="C1080" s="401"/>
      <c r="D1080" s="526"/>
      <c r="I1080" s="489"/>
    </row>
    <row r="1081" spans="1:9">
      <c r="A1081" s="401"/>
      <c r="B1081" s="484" t="s">
        <v>2753</v>
      </c>
      <c r="C1081" s="401"/>
      <c r="D1081" s="1316" t="s">
        <v>2620</v>
      </c>
      <c r="E1081" s="1316"/>
      <c r="F1081" s="1316"/>
      <c r="I1081" s="489"/>
    </row>
    <row r="1082" spans="1:9">
      <c r="A1082" s="401"/>
      <c r="B1082" s="401"/>
      <c r="C1082" s="401"/>
      <c r="D1082" s="1316"/>
      <c r="E1082" s="1316"/>
      <c r="F1082" s="1316"/>
      <c r="I1082" s="489"/>
    </row>
    <row r="1083" spans="1:9">
      <c r="A1083" s="401"/>
      <c r="B1083" s="401"/>
      <c r="C1083" s="401"/>
      <c r="D1083" s="526" t="s">
        <v>2619</v>
      </c>
      <c r="I1083" s="489"/>
    </row>
    <row r="1084" spans="1:9">
      <c r="A1084" s="401"/>
      <c r="B1084" s="401"/>
      <c r="C1084" s="401"/>
      <c r="D1084" s="526"/>
      <c r="I1084" s="489"/>
    </row>
    <row r="1085" spans="1:9">
      <c r="A1085" s="401"/>
      <c r="B1085" s="484" t="s">
        <v>2753</v>
      </c>
      <c r="C1085" s="401"/>
      <c r="D1085" s="119" t="s">
        <v>2628</v>
      </c>
      <c r="I1085" s="489"/>
    </row>
    <row r="1086" spans="1:9">
      <c r="A1086" s="401"/>
      <c r="B1086" s="401"/>
      <c r="C1086" s="401"/>
      <c r="D1086" s="1281" t="s">
        <v>2630</v>
      </c>
      <c r="E1086" s="1281"/>
      <c r="F1086" s="1281"/>
      <c r="I1086" s="489"/>
    </row>
    <row r="1087" spans="1:9">
      <c r="A1087" s="401"/>
      <c r="B1087" s="401"/>
      <c r="C1087" s="401"/>
      <c r="D1087" s="1281"/>
      <c r="E1087" s="1281"/>
      <c r="F1087" s="1281"/>
      <c r="I1087" s="489"/>
    </row>
    <row r="1088" spans="1:9">
      <c r="A1088" s="401"/>
      <c r="B1088" s="401"/>
      <c r="C1088" s="401"/>
      <c r="D1088" s="1281"/>
      <c r="E1088" s="1281"/>
      <c r="F1088" s="1281"/>
      <c r="I1088" s="489"/>
    </row>
    <row r="1089" spans="1:9">
      <c r="A1089" s="401"/>
      <c r="B1089" s="401"/>
      <c r="C1089" s="401"/>
      <c r="D1089" s="1281"/>
      <c r="E1089" s="1281"/>
      <c r="F1089" s="1281"/>
      <c r="I1089" s="489"/>
    </row>
    <row r="1090" spans="1:9">
      <c r="A1090" s="401"/>
      <c r="B1090" s="401"/>
      <c r="C1090" s="401"/>
      <c r="D1090" s="119" t="s">
        <v>2629</v>
      </c>
      <c r="I1090" s="489"/>
    </row>
    <row r="1091" spans="1:9">
      <c r="A1091" s="401"/>
      <c r="B1091" s="401"/>
      <c r="C1091" s="401"/>
      <c r="D1091" s="119"/>
      <c r="I1091" s="489"/>
    </row>
    <row r="1092" spans="1:9">
      <c r="A1092" s="401"/>
      <c r="B1092" s="401"/>
      <c r="C1092" s="401"/>
      <c r="D1092" s="526" t="s">
        <v>1804</v>
      </c>
      <c r="I1092" s="489"/>
    </row>
    <row r="1093" spans="1:9">
      <c r="A1093" s="401"/>
      <c r="B1093" s="484" t="s">
        <v>2753</v>
      </c>
      <c r="C1093" s="401"/>
      <c r="D1093" s="1312" t="s">
        <v>1805</v>
      </c>
      <c r="E1093" s="1312"/>
      <c r="F1093" s="1312"/>
      <c r="I1093" s="489"/>
    </row>
    <row r="1094" spans="1:9">
      <c r="A1094" s="401"/>
      <c r="B1094" s="401"/>
      <c r="C1094" s="401"/>
      <c r="D1094" s="1312"/>
      <c r="E1094" s="1312"/>
      <c r="F1094" s="1312"/>
      <c r="I1094" s="489"/>
    </row>
    <row r="1095" spans="1:9">
      <c r="A1095" s="401"/>
      <c r="B1095" s="401"/>
      <c r="C1095" s="401"/>
      <c r="D1095" s="1312"/>
      <c r="E1095" s="1312"/>
      <c r="F1095" s="1312"/>
      <c r="I1095" s="489"/>
    </row>
    <row r="1096" spans="1:9">
      <c r="A1096" s="401"/>
      <c r="B1096" s="401"/>
      <c r="C1096" s="401"/>
      <c r="D1096" s="1312"/>
      <c r="E1096" s="1312"/>
      <c r="F1096" s="1312"/>
      <c r="I1096" s="489"/>
    </row>
    <row r="1097" spans="1:9">
      <c r="A1097" s="401"/>
      <c r="B1097" s="401"/>
      <c r="C1097" s="401"/>
      <c r="D1097" s="1312"/>
      <c r="E1097" s="1312"/>
      <c r="F1097" s="1312"/>
      <c r="I1097" s="489"/>
    </row>
    <row r="1098" spans="1:9">
      <c r="A1098" s="401"/>
      <c r="B1098" s="401"/>
      <c r="C1098" s="401"/>
      <c r="D1098" s="526" t="s">
        <v>2631</v>
      </c>
      <c r="I1098" s="489"/>
    </row>
    <row r="1099" spans="1:9">
      <c r="A1099" s="401"/>
      <c r="B1099" s="401"/>
      <c r="C1099" s="401"/>
      <c r="I1099" s="489"/>
    </row>
    <row r="1100" spans="1:9">
      <c r="A1100" s="401"/>
      <c r="B1100" s="484" t="s">
        <v>2753</v>
      </c>
      <c r="C1100" s="401"/>
      <c r="D1100" s="1295" t="s">
        <v>2220</v>
      </c>
      <c r="E1100" s="1295"/>
      <c r="F1100" s="1295"/>
      <c r="I1100" s="489"/>
    </row>
    <row r="1101" spans="1:9">
      <c r="A1101" s="401"/>
      <c r="B1101" s="401"/>
      <c r="C1101" s="401"/>
      <c r="D1101" s="1295"/>
      <c r="E1101" s="1295"/>
      <c r="F1101" s="1295"/>
      <c r="I1101" s="489"/>
    </row>
    <row r="1102" spans="1:9">
      <c r="A1102" s="401"/>
      <c r="B1102" s="401"/>
      <c r="C1102" s="401"/>
      <c r="D1102" s="1295"/>
      <c r="E1102" s="1295"/>
      <c r="F1102" s="1295"/>
      <c r="I1102" s="489"/>
    </row>
    <row r="1103" spans="1:9">
      <c r="A1103" s="401"/>
      <c r="B1103" s="401"/>
      <c r="C1103" s="401"/>
      <c r="I1103" s="489"/>
    </row>
    <row r="1104" spans="1:9">
      <c r="A1104" s="1305" t="s">
        <v>1807</v>
      </c>
      <c r="B1104" s="1305"/>
      <c r="C1104" s="1305"/>
      <c r="D1104" s="1305"/>
      <c r="E1104" s="1305"/>
      <c r="F1104" s="1305"/>
      <c r="G1104" s="1305"/>
      <c r="H1104" s="1022"/>
      <c r="I1104" s="1146"/>
    </row>
    <row r="1105" spans="1:9">
      <c r="A1105" s="401"/>
      <c r="B1105" s="401"/>
      <c r="C1105" s="401"/>
      <c r="I1105" s="489"/>
    </row>
    <row r="1106" spans="1:9">
      <c r="A1106" s="401"/>
      <c r="B1106" s="401"/>
      <c r="C1106" s="401"/>
      <c r="I1106" s="489"/>
    </row>
    <row r="1107" spans="1:9" ht="12.75" customHeight="1">
      <c r="A1107" s="401"/>
      <c r="B1107" s="484" t="s">
        <v>2753</v>
      </c>
      <c r="C1107" s="401"/>
      <c r="D1107" s="1314" t="s">
        <v>1901</v>
      </c>
      <c r="E1107" s="1314"/>
      <c r="F1107" s="1314"/>
      <c r="I1107" s="489"/>
    </row>
    <row r="1108" spans="1:9">
      <c r="A1108" s="401"/>
      <c r="B1108" s="401"/>
      <c r="C1108" s="401"/>
      <c r="D1108" s="1314"/>
      <c r="E1108" s="1314"/>
      <c r="F1108" s="1314"/>
      <c r="I1108" s="489"/>
    </row>
    <row r="1109" spans="1:9">
      <c r="A1109" s="401"/>
      <c r="B1109" s="401"/>
      <c r="C1109" s="401"/>
      <c r="D1109" s="1315" t="s">
        <v>2635</v>
      </c>
      <c r="E1109" s="1281"/>
      <c r="F1109" s="1281"/>
      <c r="I1109" s="489"/>
    </row>
    <row r="1110" spans="1:9">
      <c r="A1110" s="401"/>
      <c r="B1110" s="401"/>
      <c r="C1110" s="401"/>
      <c r="D1110" s="526"/>
      <c r="I1110" s="489"/>
    </row>
    <row r="1111" spans="1:9">
      <c r="A1111" s="401"/>
      <c r="B1111" s="484" t="s">
        <v>2753</v>
      </c>
      <c r="C1111" s="401"/>
      <c r="D1111" s="1312" t="s">
        <v>2583</v>
      </c>
      <c r="E1111" s="1312"/>
      <c r="F1111" s="1312"/>
      <c r="I1111" s="489"/>
    </row>
    <row r="1112" spans="1:9">
      <c r="A1112" s="401"/>
      <c r="B1112" s="401"/>
      <c r="C1112" s="401"/>
      <c r="D1112" s="1312"/>
      <c r="E1112" s="1312"/>
      <c r="F1112" s="1312"/>
      <c r="I1112" s="489"/>
    </row>
    <row r="1113" spans="1:9">
      <c r="A1113" s="401"/>
      <c r="B1113" s="401"/>
      <c r="C1113" s="401"/>
      <c r="D1113" s="1312"/>
      <c r="E1113" s="1312"/>
      <c r="F1113" s="1312"/>
      <c r="I1113" s="489"/>
    </row>
    <row r="1114" spans="1:9">
      <c r="A1114" s="401"/>
      <c r="B1114" s="401"/>
      <c r="C1114" s="401"/>
      <c r="D1114" s="526"/>
      <c r="I1114" s="489"/>
    </row>
    <row r="1115" spans="1:9">
      <c r="A1115" s="401"/>
      <c r="B1115" s="484" t="s">
        <v>2753</v>
      </c>
      <c r="C1115" s="401"/>
      <c r="D1115" s="1312" t="s">
        <v>2602</v>
      </c>
      <c r="E1115" s="1312"/>
      <c r="F1115" s="1312"/>
      <c r="I1115" s="489"/>
    </row>
    <row r="1116" spans="1:9">
      <c r="A1116" s="401"/>
      <c r="B1116" s="401"/>
      <c r="C1116" s="401"/>
      <c r="D1116" s="1312"/>
      <c r="E1116" s="1312"/>
      <c r="F1116" s="1312"/>
      <c r="I1116" s="489"/>
    </row>
    <row r="1117" spans="1:9">
      <c r="A1117" s="401"/>
      <c r="B1117" s="401"/>
      <c r="C1117" s="401"/>
      <c r="D1117" s="1312"/>
      <c r="E1117" s="1312"/>
      <c r="F1117" s="1312"/>
      <c r="I1117" s="489"/>
    </row>
    <row r="1118" spans="1:9">
      <c r="A1118" s="401"/>
      <c r="B1118" s="401"/>
      <c r="C1118" s="401"/>
      <c r="D1118" s="1312"/>
      <c r="E1118" s="1312"/>
      <c r="F1118" s="1312"/>
      <c r="I1118" s="489"/>
    </row>
    <row r="1119" spans="1:9">
      <c r="A1119" s="401"/>
      <c r="B1119" s="401"/>
      <c r="C1119" s="401"/>
      <c r="D1119" s="1312"/>
      <c r="E1119" s="1312"/>
      <c r="F1119" s="1312"/>
      <c r="I1119" s="489"/>
    </row>
    <row r="1120" spans="1:9">
      <c r="A1120" s="401"/>
      <c r="B1120" s="401"/>
      <c r="C1120" s="401"/>
      <c r="D1120" s="526"/>
      <c r="I1120" s="479"/>
    </row>
    <row r="1121" spans="1:9">
      <c r="A1121" s="401"/>
      <c r="B1121" s="484" t="s">
        <v>2753</v>
      </c>
      <c r="C1121" s="401"/>
      <c r="D1121" s="1312" t="s">
        <v>1808</v>
      </c>
      <c r="E1121" s="1312"/>
      <c r="F1121" s="1312"/>
      <c r="I1121" s="489"/>
    </row>
    <row r="1122" spans="1:9">
      <c r="A1122" s="401"/>
      <c r="B1122" s="401"/>
      <c r="C1122" s="401"/>
      <c r="D1122" s="1312"/>
      <c r="E1122" s="1312"/>
      <c r="F1122" s="1312"/>
      <c r="I1122" s="489"/>
    </row>
    <row r="1123" spans="1:9">
      <c r="A1123" s="401"/>
      <c r="B1123" s="401"/>
      <c r="C1123" s="401"/>
      <c r="D1123" s="1312"/>
      <c r="E1123" s="1312"/>
      <c r="F1123" s="1312"/>
      <c r="I1123" s="489"/>
    </row>
    <row r="1124" spans="1:9">
      <c r="A1124" s="401"/>
      <c r="B1124" s="401"/>
      <c r="C1124" s="401"/>
      <c r="D1124" s="526"/>
      <c r="I1124" s="489"/>
    </row>
    <row r="1125" spans="1:9">
      <c r="A1125" s="401"/>
      <c r="B1125" s="484" t="s">
        <v>2753</v>
      </c>
      <c r="C1125" s="401"/>
      <c r="D1125" s="1286" t="s">
        <v>1860</v>
      </c>
      <c r="E1125" s="1286"/>
      <c r="F1125" s="1286"/>
      <c r="I1125" s="489"/>
    </row>
    <row r="1126" spans="1:9">
      <c r="A1126" s="401"/>
      <c r="B1126" s="401"/>
      <c r="C1126" s="401"/>
      <c r="D1126" s="1286"/>
      <c r="E1126" s="1286"/>
      <c r="F1126" s="1286"/>
      <c r="I1126" s="489"/>
    </row>
    <row r="1127" spans="1:9">
      <c r="A1127" s="401"/>
      <c r="B1127" s="401"/>
      <c r="C1127" s="401"/>
      <c r="D1127" s="1286"/>
      <c r="E1127" s="1286"/>
      <c r="F1127" s="1286"/>
      <c r="I1127" s="489"/>
    </row>
    <row r="1128" spans="1:9">
      <c r="A1128" s="401"/>
      <c r="B1128" s="401"/>
      <c r="C1128" s="401"/>
      <c r="D1128" s="974"/>
      <c r="E1128" s="974"/>
      <c r="F1128" s="974"/>
      <c r="I1128" s="489"/>
    </row>
    <row r="1129" spans="1:9" ht="15.75" customHeight="1">
      <c r="A1129" s="401"/>
      <c r="B1129" s="484" t="s">
        <v>2752</v>
      </c>
      <c r="C1129" s="401"/>
      <c r="D1129" s="1281" t="s">
        <v>1861</v>
      </c>
      <c r="E1129" s="1281"/>
      <c r="F1129" s="1281"/>
      <c r="I1129" s="489"/>
    </row>
    <row r="1130" spans="1:9">
      <c r="A1130" s="401"/>
      <c r="B1130" s="401"/>
      <c r="C1130" s="401"/>
      <c r="D1130" s="1281"/>
      <c r="E1130" s="1281"/>
      <c r="F1130" s="1281"/>
      <c r="I1130" s="489"/>
    </row>
    <row r="1131" spans="1:9">
      <c r="A1131" s="401"/>
      <c r="B1131" s="401"/>
      <c r="C1131" s="401"/>
      <c r="D1131" s="1281"/>
      <c r="E1131" s="1281"/>
      <c r="F1131" s="1281"/>
      <c r="I1131" s="489"/>
    </row>
    <row r="1132" spans="1:9">
      <c r="A1132" s="401"/>
      <c r="B1132" s="401"/>
      <c r="C1132" s="401"/>
      <c r="D1132" s="1281"/>
      <c r="E1132" s="1281"/>
      <c r="F1132" s="1281"/>
      <c r="I1132" s="489"/>
    </row>
    <row r="1133" spans="1:9">
      <c r="A1133" s="401"/>
      <c r="B1133" s="401"/>
      <c r="C1133" s="401"/>
      <c r="D1133" s="974"/>
      <c r="E1133" s="974"/>
      <c r="F1133" s="974"/>
      <c r="I1133" s="489"/>
    </row>
    <row r="1134" spans="1:9">
      <c r="A1134" s="401"/>
      <c r="B1134" s="484" t="s">
        <v>2753</v>
      </c>
      <c r="C1134" s="401"/>
      <c r="D1134" s="1286" t="s">
        <v>2612</v>
      </c>
      <c r="E1134" s="1286"/>
      <c r="F1134" s="1286"/>
      <c r="I1134" s="489"/>
    </row>
    <row r="1135" spans="1:9">
      <c r="A1135" s="401"/>
      <c r="B1135" s="401"/>
      <c r="C1135" s="401"/>
      <c r="D1135" s="1286"/>
      <c r="E1135" s="1286"/>
      <c r="F1135" s="1286"/>
      <c r="I1135" s="489"/>
    </row>
    <row r="1136" spans="1:9">
      <c r="A1136" s="401"/>
      <c r="B1136" s="401"/>
      <c r="C1136" s="401"/>
      <c r="D1136" s="1286"/>
      <c r="E1136" s="1286"/>
      <c r="F1136" s="1286"/>
      <c r="I1136" s="489"/>
    </row>
    <row r="1137" spans="1:9">
      <c r="A1137" s="401"/>
      <c r="B1137" s="401"/>
      <c r="C1137" s="401"/>
      <c r="D1137" s="1286"/>
      <c r="E1137" s="1286"/>
      <c r="F1137" s="1286"/>
      <c r="I1137" s="489"/>
    </row>
    <row r="1138" spans="1:9">
      <c r="A1138" s="401"/>
      <c r="B1138" s="401"/>
      <c r="C1138" s="401"/>
      <c r="D1138" s="1286"/>
      <c r="E1138" s="1286"/>
      <c r="F1138" s="1286"/>
      <c r="I1138" s="489"/>
    </row>
    <row r="1139" spans="1:9">
      <c r="A1139" s="401"/>
      <c r="B1139" s="401"/>
      <c r="C1139" s="401"/>
      <c r="D1139" s="1286"/>
      <c r="E1139" s="1286"/>
      <c r="F1139" s="1286"/>
      <c r="I1139" s="489"/>
    </row>
    <row r="1140" spans="1:9">
      <c r="A1140" s="401"/>
      <c r="B1140" s="401"/>
      <c r="C1140" s="401"/>
      <c r="D1140" s="974"/>
      <c r="E1140" s="974"/>
      <c r="F1140" s="974"/>
      <c r="I1140" s="489"/>
    </row>
    <row r="1141" spans="1:9">
      <c r="A1141" s="401"/>
      <c r="B1141" s="484" t="s">
        <v>2753</v>
      </c>
      <c r="C1141" s="401"/>
      <c r="D1141" s="1313" t="s">
        <v>2584</v>
      </c>
      <c r="E1141" s="1313"/>
      <c r="F1141" s="1313"/>
      <c r="I1141" s="1152"/>
    </row>
    <row r="1142" spans="1:9">
      <c r="A1142" s="401"/>
      <c r="B1142" s="401"/>
      <c r="C1142" s="401"/>
      <c r="D1142" s="1313"/>
      <c r="E1142" s="1313"/>
      <c r="F1142" s="1313"/>
      <c r="I1142" s="489"/>
    </row>
    <row r="1143" spans="1:9">
      <c r="A1143" s="401"/>
      <c r="B1143" s="401"/>
      <c r="C1143" s="401"/>
      <c r="D1143" s="1313"/>
      <c r="E1143" s="1313"/>
      <c r="F1143" s="1313"/>
    </row>
    <row r="1144" spans="1:9">
      <c r="A1144" s="401"/>
      <c r="B1144" s="401"/>
      <c r="C1144" s="401"/>
      <c r="D1144" s="1313"/>
      <c r="E1144" s="1313"/>
      <c r="F1144" s="1313"/>
    </row>
    <row r="1145" spans="1:9">
      <c r="A1145" s="401"/>
      <c r="B1145" s="401"/>
      <c r="C1145" s="401"/>
      <c r="D1145" s="1313"/>
      <c r="E1145" s="1313"/>
      <c r="F1145" s="1313"/>
    </row>
    <row r="1146" spans="1:9">
      <c r="A1146" s="401"/>
      <c r="B1146" s="401"/>
      <c r="C1146" s="401"/>
    </row>
    <row r="1147" spans="1:9" hidden="1">
      <c r="A1147" s="401"/>
      <c r="B1147" s="401"/>
      <c r="C1147" s="401"/>
    </row>
    <row r="1148" spans="1:9" hidden="1">
      <c r="A1148" s="401"/>
      <c r="B1148" s="401"/>
      <c r="C1148" s="401"/>
    </row>
    <row r="1149" spans="1:9" hidden="1">
      <c r="A1149" s="401"/>
      <c r="B1149" s="401"/>
      <c r="C1149" s="401"/>
    </row>
    <row r="1150" spans="1:9" hidden="1">
      <c r="A1150" s="401"/>
      <c r="B1150" s="401"/>
      <c r="C1150" s="401"/>
    </row>
    <row r="1151" spans="1:9" hidden="1">
      <c r="A1151" s="401"/>
      <c r="B1151" s="401"/>
      <c r="C1151" s="401"/>
    </row>
    <row r="1152" spans="1:9" hidden="1">
      <c r="A1152" s="401"/>
      <c r="B1152" s="401"/>
      <c r="C1152" s="401"/>
    </row>
    <row r="1153" spans="1:3" hidden="1">
      <c r="A1153" s="401"/>
      <c r="B1153" s="401"/>
      <c r="C1153" s="401"/>
    </row>
    <row r="1154" spans="1:3" hidden="1">
      <c r="A1154" s="401"/>
      <c r="B1154" s="401"/>
      <c r="C1154" s="401"/>
    </row>
    <row r="1155" spans="1:3" hidden="1">
      <c r="A1155" s="401"/>
      <c r="B1155" s="401"/>
      <c r="C1155" s="401"/>
    </row>
    <row r="1156" spans="1:3" hidden="1">
      <c r="A1156" s="401"/>
      <c r="B1156" s="401"/>
      <c r="C1156" s="401"/>
    </row>
    <row r="1157" spans="1:3" hidden="1">
      <c r="A1157" s="401"/>
      <c r="B1157" s="401"/>
      <c r="C1157" s="401"/>
    </row>
    <row r="1158" spans="1:3"/>
    <row r="1159" spans="1:3"/>
    <row r="1160" spans="1:3"/>
    <row r="1161" spans="1:3"/>
    <row r="1165" spans="1:3" hidden="1">
      <c r="A1165" s="401"/>
      <c r="B1165" s="401"/>
      <c r="C1165" s="401"/>
    </row>
    <row r="1166" spans="1:3" hidden="1">
      <c r="A1166" s="401"/>
      <c r="B1166" s="401"/>
      <c r="C1166" s="401"/>
    </row>
    <row r="1167" spans="1:3" hidden="1">
      <c r="A1167" s="401"/>
      <c r="B1167" s="401"/>
      <c r="C1167" s="401"/>
    </row>
    <row r="1168" spans="1:3" hidden="1">
      <c r="A1168" s="401"/>
      <c r="B1168" s="401"/>
      <c r="C1168" s="401"/>
    </row>
    <row r="1169" spans="1:3" hidden="1">
      <c r="A1169" s="401"/>
      <c r="B1169" s="401"/>
      <c r="C1169" s="401"/>
    </row>
    <row r="1170" spans="1:3" hidden="1">
      <c r="A1170" s="401"/>
      <c r="B1170" s="401"/>
      <c r="C1170" s="401"/>
    </row>
    <row r="1171" spans="1:3" hidden="1">
      <c r="A1171" s="401"/>
      <c r="B1171" s="401"/>
      <c r="C1171" s="401"/>
    </row>
    <row r="1172" spans="1:3" hidden="1">
      <c r="A1172" s="401"/>
      <c r="B1172" s="401"/>
      <c r="C1172" s="401"/>
    </row>
    <row r="1173" spans="1:3" hidden="1">
      <c r="A1173" s="401"/>
      <c r="B1173" s="401"/>
      <c r="C1173" s="401"/>
    </row>
    <row r="1174" spans="1:3" hidden="1">
      <c r="A1174" s="401"/>
      <c r="B1174" s="401"/>
      <c r="C1174" s="401"/>
    </row>
    <row r="1175" spans="1:3" hidden="1">
      <c r="A1175" s="401"/>
      <c r="B1175" s="401"/>
      <c r="C1175" s="401"/>
    </row>
    <row r="1176" spans="1:3" hidden="1">
      <c r="A1176" s="401"/>
      <c r="B1176" s="401"/>
      <c r="C1176" s="401"/>
    </row>
    <row r="1177" spans="1:3" hidden="1">
      <c r="A1177" s="401"/>
      <c r="B1177" s="401"/>
      <c r="C1177" s="401"/>
    </row>
    <row r="1178" spans="1:3" hidden="1">
      <c r="A1178" s="401"/>
      <c r="B1178" s="401"/>
      <c r="C1178" s="401"/>
    </row>
    <row r="1179" spans="1:3" hidden="1">
      <c r="A1179" s="401"/>
      <c r="B1179" s="401"/>
      <c r="C1179" s="401"/>
    </row>
    <row r="1180" spans="1:3" hidden="1">
      <c r="A1180" s="401"/>
      <c r="B1180" s="401"/>
      <c r="C1180" s="401"/>
    </row>
    <row r="1181" spans="1:3" hidden="1">
      <c r="A1181" s="401"/>
      <c r="B1181" s="401"/>
      <c r="C1181" s="401"/>
    </row>
    <row r="1182" spans="1:3" hidden="1">
      <c r="A1182" s="401"/>
      <c r="B1182" s="401"/>
      <c r="C1182" s="401"/>
    </row>
    <row r="1183" spans="1:3" hidden="1">
      <c r="A1183" s="401"/>
      <c r="B1183" s="401"/>
      <c r="C1183" s="401"/>
    </row>
    <row r="1184" spans="1:3" hidden="1">
      <c r="A1184" s="401"/>
      <c r="B1184" s="401"/>
      <c r="C1184" s="401"/>
    </row>
    <row r="1185" spans="1:3" hidden="1">
      <c r="A1185" s="401"/>
      <c r="B1185" s="401"/>
      <c r="C1185" s="401"/>
    </row>
    <row r="1186" spans="1:3" hidden="1">
      <c r="A1186" s="401"/>
      <c r="B1186" s="401"/>
      <c r="C1186" s="401"/>
    </row>
    <row r="1187" spans="1:3" hidden="1">
      <c r="A1187" s="401"/>
      <c r="B1187" s="401"/>
      <c r="C1187" s="401"/>
    </row>
    <row r="1188" spans="1:3" hidden="1">
      <c r="A1188" s="401"/>
      <c r="B1188" s="401"/>
      <c r="C1188" s="401"/>
    </row>
    <row r="1189" spans="1:3" hidden="1">
      <c r="A1189" s="401"/>
      <c r="B1189" s="401"/>
      <c r="C1189" s="401"/>
    </row>
    <row r="1190" spans="1:3" hidden="1">
      <c r="A1190" s="401"/>
      <c r="B1190" s="401"/>
      <c r="C1190" s="401"/>
    </row>
    <row r="1191" spans="1:3" hidden="1">
      <c r="A1191" s="401"/>
      <c r="B1191" s="401"/>
      <c r="C1191" s="401"/>
    </row>
    <row r="1192" spans="1:3" hidden="1">
      <c r="A1192" s="401"/>
      <c r="B1192" s="401"/>
      <c r="C1192" s="401"/>
    </row>
    <row r="1193" spans="1:3" hidden="1">
      <c r="A1193" s="401"/>
      <c r="B1193" s="401"/>
      <c r="C1193" s="401"/>
    </row>
    <row r="1194" spans="1:3" hidden="1">
      <c r="A1194" s="401"/>
      <c r="B1194" s="401"/>
      <c r="C1194" s="401"/>
    </row>
    <row r="1195" spans="1:3" hidden="1">
      <c r="A1195" s="401"/>
      <c r="B1195" s="401"/>
      <c r="C1195" s="401"/>
    </row>
    <row r="1196" spans="1:3" hidden="1">
      <c r="A1196" s="401"/>
      <c r="B1196" s="401"/>
      <c r="C1196" s="401"/>
    </row>
    <row r="1197" spans="1:3" hidden="1">
      <c r="A1197" s="401"/>
      <c r="B1197" s="401"/>
      <c r="C1197" s="401"/>
    </row>
    <row r="1198" spans="1:3" hidden="1">
      <c r="A1198" s="401"/>
      <c r="B1198" s="401"/>
      <c r="C1198" s="401"/>
    </row>
    <row r="1199" spans="1:3" hidden="1">
      <c r="A1199" s="401"/>
      <c r="B1199" s="401"/>
      <c r="C1199" s="401"/>
    </row>
    <row r="1200" spans="1:3" hidden="1">
      <c r="A1200" s="401"/>
      <c r="B1200" s="401"/>
      <c r="C1200" s="401"/>
    </row>
    <row r="1201" spans="1:3" hidden="1">
      <c r="A1201" s="401"/>
      <c r="B1201" s="401"/>
      <c r="C1201" s="401"/>
    </row>
    <row r="1202" spans="1:3" hidden="1">
      <c r="A1202" s="401"/>
      <c r="B1202" s="401"/>
      <c r="C1202" s="401"/>
    </row>
    <row r="1203" spans="1:3" hidden="1">
      <c r="A1203" s="401"/>
      <c r="B1203" s="401"/>
      <c r="C1203" s="401"/>
    </row>
    <row r="1204" spans="1:3" hidden="1">
      <c r="A1204" s="401"/>
      <c r="B1204" s="401"/>
      <c r="C1204" s="401"/>
    </row>
    <row r="1205" spans="1:3" hidden="1">
      <c r="A1205" s="401"/>
      <c r="B1205" s="401"/>
      <c r="C1205" s="401"/>
    </row>
    <row r="1206" spans="1:3" hidden="1">
      <c r="A1206" s="401"/>
      <c r="B1206" s="401"/>
      <c r="C1206" s="401"/>
    </row>
    <row r="1207" spans="1:3" hidden="1">
      <c r="A1207" s="401"/>
      <c r="B1207" s="401"/>
      <c r="C1207" s="401"/>
    </row>
    <row r="1208" spans="1:3" hidden="1">
      <c r="A1208" s="401"/>
      <c r="B1208" s="401"/>
      <c r="C1208" s="401"/>
    </row>
    <row r="1209" spans="1:3" hidden="1">
      <c r="A1209" s="401"/>
      <c r="B1209" s="401"/>
      <c r="C1209" s="401"/>
    </row>
    <row r="1210" spans="1:3" hidden="1">
      <c r="A1210" s="401"/>
      <c r="B1210" s="401"/>
      <c r="C1210" s="401"/>
    </row>
    <row r="1211" spans="1:3" hidden="1">
      <c r="A1211" s="401"/>
      <c r="B1211" s="401"/>
      <c r="C1211" s="401"/>
    </row>
    <row r="1212" spans="1:3" hidden="1">
      <c r="A1212" s="401"/>
      <c r="B1212" s="401"/>
      <c r="C1212" s="401"/>
    </row>
    <row r="1213" spans="1:3" hidden="1">
      <c r="A1213" s="401"/>
      <c r="B1213" s="401"/>
      <c r="C1213" s="401"/>
    </row>
    <row r="1214" spans="1:3" hidden="1">
      <c r="A1214" s="401"/>
      <c r="B1214" s="401"/>
      <c r="C1214" s="401"/>
    </row>
    <row r="1215" spans="1:3" hidden="1">
      <c r="A1215" s="401"/>
      <c r="B1215" s="401"/>
      <c r="C1215" s="401"/>
    </row>
    <row r="1216" spans="1:3" hidden="1">
      <c r="A1216" s="401"/>
      <c r="B1216" s="401"/>
      <c r="C1216" s="401"/>
    </row>
    <row r="1217" spans="1:3" hidden="1">
      <c r="A1217" s="401"/>
      <c r="B1217" s="401"/>
      <c r="C1217" s="401"/>
    </row>
    <row r="1218" spans="1:3" hidden="1">
      <c r="A1218" s="401"/>
      <c r="B1218" s="401"/>
      <c r="C1218" s="401"/>
    </row>
    <row r="1219" spans="1:3" hidden="1">
      <c r="A1219" s="401"/>
      <c r="B1219" s="401"/>
      <c r="C1219" s="401"/>
    </row>
    <row r="1220" spans="1:3" hidden="1">
      <c r="A1220" s="401"/>
      <c r="B1220" s="401"/>
      <c r="C1220" s="401"/>
    </row>
    <row r="1221" spans="1:3" hidden="1">
      <c r="A1221" s="401"/>
      <c r="B1221" s="401"/>
      <c r="C1221" s="401"/>
    </row>
    <row r="1222" spans="1:3" hidden="1">
      <c r="A1222" s="401"/>
      <c r="B1222" s="401"/>
      <c r="C1222" s="401"/>
    </row>
    <row r="1223" spans="1:3" hidden="1">
      <c r="A1223" s="401"/>
      <c r="B1223" s="401"/>
      <c r="C1223" s="401"/>
    </row>
    <row r="1224" spans="1:3" hidden="1">
      <c r="A1224" s="401"/>
      <c r="B1224" s="401"/>
      <c r="C1224" s="401"/>
    </row>
    <row r="1225" spans="1:3" hidden="1">
      <c r="A1225" s="401"/>
      <c r="B1225" s="401"/>
      <c r="C1225" s="401"/>
    </row>
    <row r="1226" spans="1:3" hidden="1">
      <c r="A1226" s="401"/>
      <c r="B1226" s="401"/>
      <c r="C1226" s="401"/>
    </row>
    <row r="1227" spans="1:3" hidden="1">
      <c r="A1227" s="401"/>
      <c r="B1227" s="401"/>
      <c r="C1227" s="401"/>
    </row>
    <row r="1228" spans="1:3" hidden="1">
      <c r="A1228" s="401"/>
      <c r="B1228" s="401"/>
      <c r="C1228" s="401"/>
    </row>
    <row r="1229" spans="1:3" hidden="1">
      <c r="A1229" s="401"/>
      <c r="B1229" s="401"/>
      <c r="C1229" s="401"/>
    </row>
    <row r="1230" spans="1:3" hidden="1">
      <c r="A1230" s="401"/>
      <c r="B1230" s="401"/>
      <c r="C1230" s="401"/>
    </row>
    <row r="1231" spans="1:3" hidden="1">
      <c r="A1231" s="401"/>
      <c r="B1231" s="401"/>
      <c r="C1231" s="401"/>
    </row>
    <row r="1232" spans="1:3" hidden="1">
      <c r="A1232" s="401"/>
      <c r="B1232" s="401"/>
      <c r="C1232" s="401"/>
    </row>
    <row r="1233" spans="1:3" hidden="1">
      <c r="A1233" s="401"/>
      <c r="B1233" s="401"/>
      <c r="C1233" s="401"/>
    </row>
    <row r="1234" spans="1:3" hidden="1">
      <c r="A1234" s="401"/>
      <c r="B1234" s="401"/>
      <c r="C1234" s="401"/>
    </row>
    <row r="1235" spans="1:3" hidden="1">
      <c r="A1235" s="401"/>
      <c r="B1235" s="401"/>
      <c r="C1235" s="401"/>
    </row>
    <row r="1236" spans="1:3" hidden="1">
      <c r="A1236" s="401"/>
      <c r="B1236" s="401"/>
      <c r="C1236" s="401"/>
    </row>
    <row r="1237" spans="1:3" hidden="1">
      <c r="A1237" s="401"/>
      <c r="B1237" s="401"/>
      <c r="C1237" s="401"/>
    </row>
    <row r="1238" spans="1:3" hidden="1">
      <c r="A1238" s="401"/>
      <c r="B1238" s="401"/>
      <c r="C1238" s="401"/>
    </row>
    <row r="1239" spans="1:3" hidden="1">
      <c r="A1239" s="401"/>
      <c r="B1239" s="401"/>
      <c r="C1239" s="401"/>
    </row>
    <row r="1240" spans="1:3" hidden="1">
      <c r="A1240" s="401"/>
      <c r="B1240" s="401"/>
      <c r="C1240" s="401"/>
    </row>
    <row r="1241" spans="1:3" hidden="1">
      <c r="A1241" s="401"/>
      <c r="B1241" s="401"/>
      <c r="C1241" s="401"/>
    </row>
    <row r="1242" spans="1:3" hidden="1">
      <c r="A1242" s="401"/>
      <c r="B1242" s="401"/>
      <c r="C1242" s="401"/>
    </row>
    <row r="1243" spans="1:3" hidden="1">
      <c r="A1243" s="401"/>
      <c r="B1243" s="401"/>
      <c r="C1243" s="401"/>
    </row>
    <row r="1244" spans="1:3" hidden="1">
      <c r="A1244" s="401"/>
      <c r="B1244" s="401"/>
      <c r="C1244" s="401"/>
    </row>
    <row r="1245" spans="1:3" hidden="1">
      <c r="A1245" s="401"/>
      <c r="B1245" s="401"/>
      <c r="C1245" s="401"/>
    </row>
    <row r="1246" spans="1:3" hidden="1">
      <c r="A1246" s="401"/>
      <c r="B1246" s="401"/>
      <c r="C1246" s="401"/>
    </row>
    <row r="1247" spans="1:3" hidden="1">
      <c r="A1247" s="401"/>
      <c r="B1247" s="401"/>
      <c r="C1247" s="401"/>
    </row>
    <row r="1248" spans="1:3" hidden="1">
      <c r="A1248" s="401"/>
      <c r="B1248" s="401"/>
      <c r="C1248" s="401"/>
    </row>
    <row r="1249" spans="1:3" hidden="1">
      <c r="A1249" s="401"/>
      <c r="B1249" s="401"/>
      <c r="C1249" s="401"/>
    </row>
    <row r="1250" spans="1:3" hidden="1">
      <c r="A1250" s="401"/>
      <c r="B1250" s="401"/>
      <c r="C1250" s="401"/>
    </row>
    <row r="1251" spans="1:3" hidden="1">
      <c r="A1251" s="401"/>
      <c r="B1251" s="401"/>
      <c r="C1251" s="401"/>
    </row>
    <row r="1252" spans="1:3" hidden="1">
      <c r="A1252" s="401"/>
      <c r="B1252" s="401"/>
      <c r="C1252" s="401"/>
    </row>
    <row r="1253" spans="1:3" hidden="1">
      <c r="A1253" s="401"/>
      <c r="B1253" s="401"/>
      <c r="C1253" s="401"/>
    </row>
    <row r="1254" spans="1:3" hidden="1">
      <c r="A1254" s="401"/>
      <c r="B1254" s="401"/>
      <c r="C1254" s="401"/>
    </row>
    <row r="1255" spans="1:3" hidden="1">
      <c r="A1255" s="401"/>
      <c r="B1255" s="401"/>
      <c r="C1255" s="401"/>
    </row>
    <row r="1256" spans="1:3" hidden="1">
      <c r="A1256" s="401"/>
      <c r="B1256" s="401"/>
      <c r="C1256" s="401"/>
    </row>
    <row r="1257" spans="1:3" hidden="1">
      <c r="A1257" s="401"/>
      <c r="B1257" s="401"/>
      <c r="C1257" s="401"/>
    </row>
    <row r="1258" spans="1:3" hidden="1">
      <c r="A1258" s="401"/>
      <c r="B1258" s="401"/>
      <c r="C1258" s="401"/>
    </row>
    <row r="1259" spans="1:3" hidden="1">
      <c r="A1259" s="401"/>
      <c r="B1259" s="401"/>
      <c r="C1259" s="401"/>
    </row>
    <row r="1260" spans="1:3" hidden="1">
      <c r="A1260" s="401"/>
      <c r="B1260" s="401"/>
      <c r="C1260" s="401"/>
    </row>
    <row r="1261" spans="1:3" hidden="1">
      <c r="A1261" s="401"/>
      <c r="B1261" s="401"/>
      <c r="C1261" s="401"/>
    </row>
    <row r="1262" spans="1:3" hidden="1">
      <c r="A1262" s="401"/>
      <c r="B1262" s="401"/>
      <c r="C1262" s="401"/>
    </row>
    <row r="1263" spans="1:3" hidden="1">
      <c r="A1263" s="401"/>
      <c r="B1263" s="401"/>
      <c r="C1263" s="401"/>
    </row>
    <row r="1264" spans="1:3" hidden="1">
      <c r="A1264" s="401"/>
      <c r="B1264" s="401"/>
      <c r="C1264" s="401"/>
    </row>
    <row r="1265" spans="1:3" hidden="1">
      <c r="A1265" s="401"/>
      <c r="B1265" s="401"/>
      <c r="C1265" s="401"/>
    </row>
    <row r="1266" spans="1:3" hidden="1">
      <c r="A1266" s="401"/>
      <c r="B1266" s="401"/>
      <c r="C1266" s="401"/>
    </row>
    <row r="1267" spans="1:3" hidden="1">
      <c r="A1267" s="401"/>
      <c r="B1267" s="401"/>
      <c r="C1267" s="401"/>
    </row>
    <row r="1268" spans="1:3" hidden="1">
      <c r="A1268" s="401"/>
      <c r="B1268" s="401"/>
      <c r="C1268" s="401"/>
    </row>
    <row r="1269" spans="1:3" hidden="1">
      <c r="A1269" s="401"/>
      <c r="B1269" s="401"/>
      <c r="C1269" s="401"/>
    </row>
    <row r="1270" spans="1:3" hidden="1">
      <c r="A1270" s="401"/>
      <c r="B1270" s="401"/>
      <c r="C1270" s="401"/>
    </row>
    <row r="1271" spans="1:3" hidden="1">
      <c r="A1271" s="401"/>
      <c r="B1271" s="401"/>
      <c r="C1271" s="401"/>
    </row>
    <row r="1272" spans="1:3" hidden="1">
      <c r="A1272" s="401"/>
      <c r="B1272" s="401"/>
      <c r="C1272" s="401"/>
    </row>
    <row r="1273" spans="1:3" hidden="1">
      <c r="A1273" s="401"/>
      <c r="B1273" s="401"/>
      <c r="C1273" s="401"/>
    </row>
    <row r="1274" spans="1:3" hidden="1">
      <c r="A1274" s="401"/>
      <c r="B1274" s="401"/>
      <c r="C1274" s="401"/>
    </row>
    <row r="1275" spans="1:3" hidden="1">
      <c r="A1275" s="401"/>
      <c r="B1275" s="401"/>
      <c r="C1275" s="401"/>
    </row>
    <row r="1276" spans="1:3" hidden="1">
      <c r="A1276" s="401"/>
      <c r="B1276" s="401"/>
      <c r="C1276" s="401"/>
    </row>
    <row r="1277" spans="1:3" hidden="1">
      <c r="A1277" s="401"/>
      <c r="B1277" s="401"/>
      <c r="C1277" s="401"/>
    </row>
    <row r="1278" spans="1:3" hidden="1">
      <c r="A1278" s="401"/>
      <c r="B1278" s="401"/>
      <c r="C1278" s="401"/>
    </row>
    <row r="1279" spans="1:3" hidden="1">
      <c r="A1279" s="401"/>
      <c r="B1279" s="401"/>
      <c r="C1279" s="401"/>
    </row>
    <row r="1280" spans="1:3" hidden="1">
      <c r="A1280" s="401"/>
      <c r="B1280" s="401"/>
      <c r="C1280" s="401"/>
    </row>
    <row r="1281" spans="1:3" hidden="1">
      <c r="A1281" s="401"/>
      <c r="B1281" s="401"/>
      <c r="C1281" s="401"/>
    </row>
    <row r="1282" spans="1:3" hidden="1">
      <c r="A1282" s="401"/>
      <c r="B1282" s="401"/>
      <c r="C1282" s="401"/>
    </row>
    <row r="1283" spans="1:3" hidden="1">
      <c r="A1283" s="401"/>
      <c r="B1283" s="401"/>
      <c r="C1283" s="401"/>
    </row>
    <row r="1284" spans="1:3" hidden="1">
      <c r="A1284" s="401"/>
      <c r="B1284" s="401"/>
      <c r="C1284" s="401"/>
    </row>
    <row r="1285" spans="1:3" hidden="1">
      <c r="A1285" s="401"/>
      <c r="B1285" s="401"/>
      <c r="C1285" s="401"/>
    </row>
    <row r="1286" spans="1:3" hidden="1">
      <c r="A1286" s="401"/>
      <c r="B1286" s="401"/>
      <c r="C1286" s="401"/>
    </row>
    <row r="1287" spans="1:3" hidden="1">
      <c r="A1287" s="401"/>
      <c r="B1287" s="401"/>
      <c r="C1287" s="401"/>
    </row>
    <row r="1288" spans="1:3" hidden="1">
      <c r="A1288" s="401"/>
      <c r="B1288" s="401"/>
      <c r="C1288" s="401"/>
    </row>
    <row r="1289" spans="1:3" hidden="1">
      <c r="A1289" s="401"/>
      <c r="B1289" s="401"/>
      <c r="C1289" s="401"/>
    </row>
    <row r="1290" spans="1:3" hidden="1">
      <c r="A1290" s="401"/>
      <c r="B1290" s="401"/>
      <c r="C1290" s="401"/>
    </row>
    <row r="1291" spans="1:3" hidden="1">
      <c r="A1291" s="401"/>
      <c r="B1291" s="401"/>
      <c r="C1291" s="401"/>
    </row>
    <row r="1292" spans="1:3" hidden="1">
      <c r="A1292" s="401"/>
      <c r="B1292" s="401"/>
      <c r="C1292" s="401"/>
    </row>
    <row r="1293" spans="1:3" hidden="1">
      <c r="A1293" s="401"/>
      <c r="B1293" s="401"/>
      <c r="C1293" s="401"/>
    </row>
    <row r="1294" spans="1:3" hidden="1">
      <c r="A1294" s="401"/>
      <c r="B1294" s="401"/>
      <c r="C1294" s="401"/>
    </row>
    <row r="1295" spans="1:3" hidden="1">
      <c r="A1295" s="401"/>
      <c r="B1295" s="401"/>
      <c r="C1295" s="401"/>
    </row>
    <row r="1296" spans="1:3" hidden="1">
      <c r="A1296" s="401"/>
      <c r="B1296" s="401"/>
      <c r="C1296" s="401"/>
    </row>
    <row r="1297" spans="1:3" hidden="1">
      <c r="A1297" s="401"/>
      <c r="B1297" s="401"/>
      <c r="C1297" s="401"/>
    </row>
    <row r="1298" spans="1:3" hidden="1">
      <c r="A1298" s="401"/>
      <c r="B1298" s="401"/>
      <c r="C1298" s="401"/>
    </row>
    <row r="1299" spans="1:3" hidden="1">
      <c r="A1299" s="401"/>
      <c r="B1299" s="401"/>
      <c r="C1299" s="401"/>
    </row>
    <row r="1300" spans="1:3" hidden="1">
      <c r="A1300" s="401"/>
      <c r="B1300" s="401"/>
      <c r="C1300" s="401"/>
    </row>
    <row r="1301" spans="1:3" hidden="1">
      <c r="A1301" s="401"/>
      <c r="B1301" s="401"/>
      <c r="C1301" s="401"/>
    </row>
    <row r="1302" spans="1:3" hidden="1">
      <c r="A1302" s="401"/>
      <c r="B1302" s="401"/>
      <c r="C1302" s="401"/>
    </row>
    <row r="1303" spans="1:3" hidden="1">
      <c r="A1303" s="401"/>
      <c r="B1303" s="401"/>
      <c r="C1303" s="401"/>
    </row>
    <row r="1304" spans="1:3" hidden="1">
      <c r="A1304" s="401"/>
      <c r="B1304" s="401"/>
      <c r="C1304" s="401"/>
    </row>
    <row r="1305" spans="1:3" hidden="1">
      <c r="A1305" s="401"/>
      <c r="B1305" s="401"/>
      <c r="C1305" s="401"/>
    </row>
    <row r="1306" spans="1:3" hidden="1">
      <c r="A1306" s="401"/>
      <c r="B1306" s="401"/>
      <c r="C1306" s="401"/>
    </row>
    <row r="1307" spans="1:3" hidden="1">
      <c r="A1307" s="401"/>
      <c r="B1307" s="401"/>
      <c r="C1307" s="401"/>
    </row>
    <row r="1308" spans="1:3" hidden="1">
      <c r="A1308" s="401"/>
      <c r="B1308" s="401"/>
      <c r="C1308" s="401"/>
    </row>
    <row r="1309" spans="1:3" hidden="1">
      <c r="A1309" s="401"/>
      <c r="B1309" s="401"/>
      <c r="C1309" s="401"/>
    </row>
    <row r="1310" spans="1:3" hidden="1">
      <c r="A1310" s="401"/>
      <c r="B1310" s="401"/>
      <c r="C1310" s="401"/>
    </row>
    <row r="1311" spans="1:3" hidden="1">
      <c r="A1311" s="401"/>
      <c r="B1311" s="401"/>
      <c r="C1311" s="401"/>
    </row>
    <row r="1312" spans="1:3" hidden="1">
      <c r="A1312" s="401"/>
      <c r="B1312" s="401"/>
      <c r="C1312" s="401"/>
    </row>
    <row r="1313" spans="1:3" hidden="1">
      <c r="A1313" s="401"/>
      <c r="B1313" s="401"/>
      <c r="C1313" s="401"/>
    </row>
    <row r="1314" spans="1:3" hidden="1">
      <c r="A1314" s="401"/>
      <c r="B1314" s="401"/>
      <c r="C1314" s="401"/>
    </row>
    <row r="1315" spans="1:3" hidden="1">
      <c r="A1315" s="401"/>
      <c r="B1315" s="401"/>
      <c r="C1315" s="401"/>
    </row>
    <row r="1316" spans="1:3" hidden="1">
      <c r="A1316" s="401"/>
      <c r="B1316" s="401"/>
      <c r="C1316" s="401"/>
    </row>
    <row r="1317" spans="1:3" hidden="1">
      <c r="A1317" s="401"/>
      <c r="B1317" s="401"/>
      <c r="C1317" s="401"/>
    </row>
    <row r="1318" spans="1:3" hidden="1">
      <c r="A1318" s="401"/>
      <c r="B1318" s="401"/>
      <c r="C1318" s="401"/>
    </row>
    <row r="1319" spans="1:3" hidden="1">
      <c r="A1319" s="401"/>
      <c r="B1319" s="401"/>
      <c r="C1319" s="401"/>
    </row>
    <row r="1320" spans="1:3" hidden="1">
      <c r="A1320" s="401"/>
      <c r="B1320" s="401"/>
      <c r="C1320" s="401"/>
    </row>
    <row r="1321" spans="1:3" hidden="1">
      <c r="A1321" s="401"/>
      <c r="B1321" s="401"/>
      <c r="C1321" s="401"/>
    </row>
    <row r="1322" spans="1:3" hidden="1">
      <c r="A1322" s="401"/>
      <c r="B1322" s="401"/>
      <c r="C1322" s="401"/>
    </row>
    <row r="1323" spans="1:3" hidden="1">
      <c r="A1323" s="401"/>
      <c r="B1323" s="401"/>
      <c r="C1323" s="401"/>
    </row>
    <row r="1324" spans="1:3" hidden="1">
      <c r="A1324" s="401"/>
      <c r="B1324" s="401"/>
      <c r="C1324" s="401"/>
    </row>
    <row r="1325" spans="1:3" hidden="1">
      <c r="A1325" s="401"/>
      <c r="B1325" s="401"/>
      <c r="C1325" s="401"/>
    </row>
    <row r="1326" spans="1:3" hidden="1">
      <c r="A1326" s="401"/>
      <c r="B1326" s="401"/>
      <c r="C1326" s="401"/>
    </row>
    <row r="1327" spans="1:3" hidden="1">
      <c r="A1327" s="401"/>
      <c r="B1327" s="401"/>
      <c r="C1327" s="401"/>
    </row>
    <row r="1328" spans="1:3" hidden="1">
      <c r="A1328" s="401"/>
      <c r="B1328" s="401"/>
      <c r="C1328" s="401"/>
    </row>
    <row r="1329" spans="1:3" hidden="1">
      <c r="A1329" s="401"/>
      <c r="B1329" s="401"/>
      <c r="C1329" s="401"/>
    </row>
    <row r="1330" spans="1:3" hidden="1">
      <c r="A1330" s="401"/>
      <c r="B1330" s="401"/>
      <c r="C1330" s="401"/>
    </row>
    <row r="1331" spans="1:3" hidden="1">
      <c r="A1331" s="401"/>
      <c r="B1331" s="401"/>
      <c r="C1331" s="401"/>
    </row>
    <row r="1332" spans="1:3" hidden="1">
      <c r="A1332" s="401"/>
      <c r="B1332" s="401"/>
      <c r="C1332" s="401"/>
    </row>
    <row r="1333" spans="1:3" hidden="1">
      <c r="A1333" s="401"/>
      <c r="B1333" s="401"/>
      <c r="C1333" s="401"/>
    </row>
    <row r="1334" spans="1:3" hidden="1">
      <c r="A1334" s="401"/>
      <c r="B1334" s="401"/>
      <c r="C1334" s="401"/>
    </row>
    <row r="1335" spans="1:3" hidden="1">
      <c r="A1335" s="401"/>
      <c r="B1335" s="401"/>
      <c r="C1335" s="401"/>
    </row>
    <row r="1336" spans="1:3" hidden="1">
      <c r="A1336" s="401"/>
      <c r="B1336" s="401"/>
      <c r="C1336" s="401"/>
    </row>
    <row r="1337" spans="1:3" hidden="1">
      <c r="A1337" s="401"/>
      <c r="B1337" s="401"/>
      <c r="C1337" s="401"/>
    </row>
    <row r="1338" spans="1:3" hidden="1">
      <c r="A1338" s="401"/>
      <c r="B1338" s="401"/>
      <c r="C1338" s="401"/>
    </row>
    <row r="1339" spans="1:3" hidden="1">
      <c r="A1339" s="401"/>
      <c r="B1339" s="401"/>
      <c r="C1339" s="401"/>
    </row>
    <row r="1340" spans="1:3" hidden="1">
      <c r="A1340" s="401"/>
      <c r="B1340" s="401"/>
      <c r="C1340" s="401"/>
    </row>
    <row r="1341" spans="1:3" hidden="1">
      <c r="A1341" s="401"/>
      <c r="B1341" s="401"/>
      <c r="C1341" s="401"/>
    </row>
    <row r="1342" spans="1:3" hidden="1">
      <c r="A1342" s="401"/>
      <c r="B1342" s="401"/>
      <c r="C1342" s="401"/>
    </row>
    <row r="1343" spans="1:3" hidden="1">
      <c r="A1343" s="401"/>
      <c r="B1343" s="401"/>
      <c r="C1343" s="401"/>
    </row>
    <row r="1344" spans="1:3" hidden="1">
      <c r="A1344" s="401"/>
      <c r="B1344" s="401"/>
      <c r="C1344" s="401"/>
    </row>
    <row r="1345" spans="1:3" hidden="1">
      <c r="A1345" s="401"/>
      <c r="B1345" s="401"/>
      <c r="C1345" s="401"/>
    </row>
    <row r="1346" spans="1:3" hidden="1">
      <c r="A1346" s="401"/>
      <c r="B1346" s="401"/>
      <c r="C1346" s="401"/>
    </row>
    <row r="1347" spans="1:3" hidden="1">
      <c r="A1347" s="401"/>
      <c r="B1347" s="401"/>
      <c r="C1347" s="401"/>
    </row>
    <row r="1348" spans="1:3" hidden="1">
      <c r="A1348" s="401"/>
      <c r="B1348" s="401"/>
      <c r="C1348" s="401"/>
    </row>
    <row r="1349" spans="1:3" hidden="1">
      <c r="A1349" s="401"/>
      <c r="B1349" s="401"/>
      <c r="C1349" s="401"/>
    </row>
    <row r="1350" spans="1:3" hidden="1">
      <c r="A1350" s="401"/>
      <c r="B1350" s="401"/>
      <c r="C1350" s="401"/>
    </row>
    <row r="1351" spans="1:3" hidden="1">
      <c r="A1351" s="401"/>
      <c r="B1351" s="401"/>
      <c r="C1351" s="401"/>
    </row>
    <row r="1352" spans="1:3" hidden="1">
      <c r="A1352" s="401"/>
      <c r="B1352" s="401"/>
      <c r="C1352" s="401"/>
    </row>
    <row r="1353" spans="1:3" hidden="1">
      <c r="A1353" s="401"/>
      <c r="B1353" s="401"/>
      <c r="C1353" s="401"/>
    </row>
    <row r="1354" spans="1:3" hidden="1">
      <c r="A1354" s="401"/>
      <c r="B1354" s="401"/>
      <c r="C1354" s="401"/>
    </row>
    <row r="1355" spans="1:3" hidden="1">
      <c r="A1355" s="401"/>
      <c r="B1355" s="401"/>
      <c r="C1355" s="401"/>
    </row>
    <row r="1356" spans="1:3" hidden="1">
      <c r="A1356" s="401"/>
      <c r="B1356" s="401"/>
      <c r="C1356" s="401"/>
    </row>
    <row r="1357" spans="1:3" hidden="1">
      <c r="A1357" s="401"/>
      <c r="B1357" s="401"/>
      <c r="C1357" s="401"/>
    </row>
    <row r="1358" spans="1:3" hidden="1">
      <c r="A1358" s="401"/>
      <c r="B1358" s="401"/>
      <c r="C1358" s="401"/>
    </row>
    <row r="1359" spans="1:3" hidden="1">
      <c r="A1359" s="401"/>
      <c r="B1359" s="401"/>
      <c r="C1359" s="401"/>
    </row>
    <row r="1360" spans="1:3" hidden="1">
      <c r="A1360" s="401"/>
      <c r="B1360" s="401"/>
      <c r="C1360" s="401"/>
    </row>
    <row r="1361" spans="1:3" hidden="1">
      <c r="A1361" s="401"/>
      <c r="B1361" s="401"/>
      <c r="C1361" s="401"/>
    </row>
    <row r="1362" spans="1:3" hidden="1">
      <c r="A1362" s="401"/>
      <c r="B1362" s="401"/>
      <c r="C1362" s="401"/>
    </row>
    <row r="1363" spans="1:3" hidden="1">
      <c r="A1363" s="401"/>
      <c r="B1363" s="401"/>
      <c r="C1363" s="401"/>
    </row>
    <row r="1364" spans="1:3" hidden="1">
      <c r="A1364" s="401"/>
      <c r="B1364" s="401"/>
      <c r="C1364" s="401"/>
    </row>
    <row r="1365" spans="1:3" hidden="1">
      <c r="A1365" s="401"/>
      <c r="B1365" s="401"/>
      <c r="C1365" s="401"/>
    </row>
    <row r="1366" spans="1:3" hidden="1">
      <c r="A1366" s="401"/>
      <c r="B1366" s="401"/>
      <c r="C1366" s="401"/>
    </row>
    <row r="1367" spans="1:3" hidden="1">
      <c r="A1367" s="401"/>
      <c r="B1367" s="401"/>
      <c r="C1367" s="401"/>
    </row>
    <row r="1368" spans="1:3" hidden="1">
      <c r="A1368" s="401"/>
      <c r="B1368" s="401"/>
      <c r="C1368" s="401"/>
    </row>
    <row r="1369" spans="1:3" hidden="1">
      <c r="A1369" s="401"/>
      <c r="B1369" s="401"/>
      <c r="C1369" s="401"/>
    </row>
    <row r="1370" spans="1:3" hidden="1">
      <c r="A1370" s="401"/>
      <c r="B1370" s="401"/>
      <c r="C1370" s="401"/>
    </row>
    <row r="1371" spans="1:3" hidden="1">
      <c r="A1371" s="401"/>
      <c r="B1371" s="401"/>
      <c r="C1371" s="401"/>
    </row>
    <row r="1372" spans="1:3" hidden="1">
      <c r="A1372" s="401"/>
      <c r="B1372" s="401"/>
      <c r="C1372" s="401"/>
    </row>
    <row r="1373" spans="1:3" hidden="1">
      <c r="A1373" s="401"/>
      <c r="B1373" s="401"/>
      <c r="C1373" s="401"/>
    </row>
    <row r="1374" spans="1:3" hidden="1">
      <c r="A1374" s="401"/>
      <c r="B1374" s="401"/>
      <c r="C1374" s="401"/>
    </row>
    <row r="1375" spans="1:3" hidden="1">
      <c r="A1375" s="401"/>
      <c r="B1375" s="401"/>
      <c r="C1375" s="401"/>
    </row>
    <row r="1376" spans="1:3" hidden="1">
      <c r="A1376" s="401"/>
      <c r="B1376" s="401"/>
      <c r="C1376" s="401"/>
    </row>
    <row r="1377" spans="1:3" hidden="1">
      <c r="A1377" s="401"/>
      <c r="B1377" s="401"/>
      <c r="C1377" s="401"/>
    </row>
    <row r="1378" spans="1:3" hidden="1">
      <c r="A1378" s="401"/>
      <c r="B1378" s="401"/>
      <c r="C1378" s="401"/>
    </row>
    <row r="1379" spans="1:3" hidden="1">
      <c r="A1379" s="401"/>
      <c r="B1379" s="401"/>
      <c r="C1379" s="401"/>
    </row>
    <row r="1380" spans="1:3" hidden="1">
      <c r="A1380" s="401"/>
      <c r="B1380" s="401"/>
      <c r="C1380" s="401"/>
    </row>
    <row r="1381" spans="1:3" hidden="1">
      <c r="A1381" s="401"/>
      <c r="B1381" s="401"/>
      <c r="C1381" s="401"/>
    </row>
    <row r="1382" spans="1:3" hidden="1">
      <c r="A1382" s="401"/>
      <c r="B1382" s="401"/>
      <c r="C1382" s="401"/>
    </row>
    <row r="1383" spans="1:3" hidden="1">
      <c r="A1383" s="401"/>
      <c r="B1383" s="401"/>
      <c r="C1383" s="401"/>
    </row>
    <row r="1384" spans="1:3" hidden="1">
      <c r="A1384" s="401"/>
      <c r="B1384" s="401"/>
      <c r="C1384" s="401"/>
    </row>
    <row r="1385" spans="1:3" hidden="1">
      <c r="A1385" s="401"/>
      <c r="B1385" s="401"/>
      <c r="C1385" s="401"/>
    </row>
    <row r="1386" spans="1:3" hidden="1">
      <c r="A1386" s="401"/>
      <c r="B1386" s="401"/>
      <c r="C1386" s="401"/>
    </row>
    <row r="1387" spans="1:3" hidden="1">
      <c r="A1387" s="401"/>
      <c r="B1387" s="401"/>
      <c r="C1387" s="401"/>
    </row>
    <row r="1388" spans="1:3" hidden="1">
      <c r="A1388" s="401"/>
      <c r="B1388" s="401"/>
      <c r="C1388" s="401"/>
    </row>
    <row r="1389" spans="1:3" hidden="1">
      <c r="A1389" s="401"/>
      <c r="B1389" s="401"/>
      <c r="C1389" s="401"/>
    </row>
    <row r="1390" spans="1:3" hidden="1">
      <c r="A1390" s="401"/>
      <c r="B1390" s="401"/>
      <c r="C1390" s="401"/>
    </row>
    <row r="1391" spans="1:3" hidden="1">
      <c r="A1391" s="401"/>
      <c r="B1391" s="401"/>
      <c r="C1391" s="401"/>
    </row>
    <row r="1392" spans="1:3" hidden="1">
      <c r="A1392" s="401"/>
      <c r="B1392" s="401"/>
      <c r="C1392" s="401"/>
    </row>
    <row r="1393" spans="1:3" hidden="1">
      <c r="A1393" s="401"/>
      <c r="B1393" s="401"/>
      <c r="C1393" s="401"/>
    </row>
    <row r="1394" spans="1:3" hidden="1">
      <c r="A1394" s="401"/>
      <c r="B1394" s="401"/>
      <c r="C1394" s="401"/>
    </row>
    <row r="1395" spans="1:3" hidden="1">
      <c r="A1395" s="401"/>
      <c r="B1395" s="401"/>
      <c r="C1395" s="401"/>
    </row>
    <row r="1396" spans="1:3" hidden="1">
      <c r="A1396" s="401"/>
      <c r="B1396" s="401"/>
      <c r="C1396" s="401"/>
    </row>
    <row r="1397" spans="1:3" hidden="1">
      <c r="A1397" s="401"/>
      <c r="B1397" s="401"/>
      <c r="C1397" s="401"/>
    </row>
    <row r="1398" spans="1:3" hidden="1">
      <c r="A1398" s="401"/>
      <c r="B1398" s="401"/>
      <c r="C1398" s="401"/>
    </row>
    <row r="1399" spans="1:3" hidden="1">
      <c r="A1399" s="401"/>
      <c r="B1399" s="401"/>
      <c r="C1399" s="401"/>
    </row>
    <row r="1400" spans="1:3" hidden="1">
      <c r="A1400" s="401"/>
      <c r="B1400" s="401"/>
      <c r="C1400" s="401"/>
    </row>
    <row r="1401" spans="1:3" hidden="1">
      <c r="A1401" s="401"/>
      <c r="B1401" s="401"/>
      <c r="C1401" s="401"/>
    </row>
    <row r="1402" spans="1:3" hidden="1">
      <c r="A1402" s="401"/>
      <c r="B1402" s="401"/>
      <c r="C1402" s="401"/>
    </row>
    <row r="1403" spans="1:3" hidden="1">
      <c r="A1403" s="401"/>
      <c r="B1403" s="401"/>
      <c r="C1403" s="401"/>
    </row>
    <row r="1404" spans="1:3" hidden="1">
      <c r="A1404" s="401"/>
      <c r="B1404" s="401"/>
      <c r="C1404" s="401"/>
    </row>
    <row r="1407" spans="1:3" hidden="1">
      <c r="A1407" s="401"/>
      <c r="B1407" s="401"/>
      <c r="C1407" s="401"/>
    </row>
    <row r="1408" spans="1:3" hidden="1">
      <c r="A1408" s="401"/>
      <c r="B1408" s="401"/>
      <c r="C1408" s="401"/>
    </row>
    <row r="1409" spans="1:3" hidden="1">
      <c r="A1409" s="401"/>
      <c r="B1409" s="401"/>
      <c r="C1409" s="401"/>
    </row>
    <row r="1410" spans="1:3" hidden="1">
      <c r="A1410" s="401"/>
      <c r="B1410" s="401"/>
      <c r="C1410" s="401"/>
    </row>
    <row r="1411" spans="1:3" hidden="1">
      <c r="A1411" s="401"/>
      <c r="B1411" s="401"/>
      <c r="C1411" s="401"/>
    </row>
    <row r="1412" spans="1:3" hidden="1">
      <c r="A1412" s="401"/>
      <c r="B1412" s="401"/>
      <c r="C1412" s="401"/>
    </row>
    <row r="1413" spans="1:3" hidden="1">
      <c r="A1413" s="401"/>
      <c r="B1413" s="401"/>
      <c r="C1413" s="401"/>
    </row>
    <row r="1414" spans="1:3" hidden="1">
      <c r="A1414" s="401"/>
      <c r="B1414" s="401"/>
      <c r="C1414" s="401"/>
    </row>
    <row r="1415" spans="1:3" hidden="1">
      <c r="A1415" s="401"/>
      <c r="B1415" s="401"/>
      <c r="C1415" s="401"/>
    </row>
    <row r="1416" spans="1:3" hidden="1">
      <c r="A1416" s="401"/>
      <c r="B1416" s="401"/>
      <c r="C1416" s="401"/>
    </row>
    <row r="1417" spans="1:3" hidden="1">
      <c r="A1417" s="401"/>
      <c r="B1417" s="401"/>
      <c r="C1417" s="401"/>
    </row>
    <row r="1418" spans="1:3" hidden="1">
      <c r="A1418" s="401"/>
      <c r="B1418" s="401"/>
      <c r="C1418" s="401"/>
    </row>
    <row r="1419" spans="1:3" hidden="1">
      <c r="A1419" s="401"/>
      <c r="B1419" s="401"/>
      <c r="C1419" s="401"/>
    </row>
    <row r="1420" spans="1:3" hidden="1">
      <c r="A1420" s="401"/>
      <c r="B1420" s="401"/>
      <c r="C1420" s="401"/>
    </row>
    <row r="1421" spans="1:3" hidden="1">
      <c r="A1421" s="401"/>
      <c r="B1421" s="401"/>
      <c r="C1421" s="401"/>
    </row>
    <row r="1422" spans="1:3" hidden="1">
      <c r="A1422" s="401"/>
      <c r="B1422" s="401"/>
      <c r="C1422" s="401"/>
    </row>
    <row r="1423" spans="1:3" hidden="1">
      <c r="A1423" s="401"/>
      <c r="B1423" s="401"/>
      <c r="C1423" s="401"/>
    </row>
    <row r="1424" spans="1:3" hidden="1">
      <c r="A1424" s="401"/>
      <c r="B1424" s="401"/>
      <c r="C1424" s="401"/>
    </row>
    <row r="1425" spans="1:3" hidden="1">
      <c r="A1425" s="401"/>
      <c r="B1425" s="401"/>
      <c r="C1425" s="401"/>
    </row>
    <row r="1426" spans="1:3" hidden="1">
      <c r="A1426" s="401"/>
      <c r="B1426" s="401"/>
      <c r="C1426" s="401"/>
    </row>
    <row r="1427" spans="1:3" hidden="1">
      <c r="A1427" s="401"/>
      <c r="B1427" s="401"/>
      <c r="C1427" s="401"/>
    </row>
    <row r="1428" spans="1:3" hidden="1">
      <c r="A1428" s="401"/>
      <c r="B1428" s="401"/>
      <c r="C1428" s="401"/>
    </row>
    <row r="1429" spans="1:3" hidden="1">
      <c r="A1429" s="401"/>
      <c r="B1429" s="401"/>
      <c r="C1429" s="401"/>
    </row>
    <row r="1430" spans="1:3" hidden="1">
      <c r="A1430" s="401"/>
      <c r="B1430" s="401"/>
      <c r="C1430" s="401"/>
    </row>
    <row r="1431" spans="1:3" hidden="1">
      <c r="A1431" s="401"/>
      <c r="B1431" s="401"/>
      <c r="C1431" s="401"/>
    </row>
    <row r="1432" spans="1:3" hidden="1">
      <c r="A1432" s="401"/>
      <c r="B1432" s="401"/>
      <c r="C1432" s="401"/>
    </row>
    <row r="1433" spans="1:3" hidden="1">
      <c r="A1433" s="401"/>
      <c r="B1433" s="401"/>
      <c r="C1433" s="401"/>
    </row>
    <row r="1434" spans="1:3" hidden="1">
      <c r="A1434" s="401"/>
      <c r="B1434" s="401"/>
      <c r="C1434" s="401"/>
    </row>
    <row r="1435" spans="1:3" hidden="1">
      <c r="A1435" s="401"/>
      <c r="B1435" s="401"/>
      <c r="C1435" s="401"/>
    </row>
    <row r="1436" spans="1:3" hidden="1">
      <c r="A1436" s="401"/>
      <c r="B1436" s="401"/>
      <c r="C1436" s="401"/>
    </row>
    <row r="1437" spans="1:3" hidden="1">
      <c r="A1437" s="401"/>
      <c r="B1437" s="401"/>
      <c r="C1437" s="401"/>
    </row>
    <row r="1438" spans="1:3" hidden="1">
      <c r="A1438" s="401"/>
      <c r="B1438" s="401"/>
      <c r="C1438" s="401"/>
    </row>
    <row r="1439" spans="1:3" hidden="1">
      <c r="A1439" s="401"/>
      <c r="B1439" s="401"/>
      <c r="C1439" s="401"/>
    </row>
    <row r="1440" spans="1:3" hidden="1">
      <c r="A1440" s="401"/>
      <c r="B1440" s="401"/>
      <c r="C1440" s="401"/>
    </row>
    <row r="1441" spans="1:3" hidden="1">
      <c r="A1441" s="401"/>
      <c r="B1441" s="401"/>
      <c r="C1441" s="401"/>
    </row>
    <row r="1442" spans="1:3" hidden="1">
      <c r="A1442" s="401"/>
      <c r="B1442" s="401"/>
      <c r="C1442" s="401"/>
    </row>
    <row r="1443" spans="1:3" hidden="1">
      <c r="A1443" s="401"/>
      <c r="B1443" s="401"/>
      <c r="C1443" s="401"/>
    </row>
    <row r="1444" spans="1:3" hidden="1">
      <c r="A1444" s="401"/>
      <c r="B1444" s="401"/>
      <c r="C1444" s="401"/>
    </row>
    <row r="1445" spans="1:3" hidden="1">
      <c r="A1445" s="401"/>
      <c r="B1445" s="401"/>
      <c r="C1445" s="401"/>
    </row>
    <row r="1446" spans="1:3" hidden="1">
      <c r="A1446" s="401"/>
      <c r="B1446" s="401"/>
      <c r="C1446" s="401"/>
    </row>
    <row r="1447" spans="1:3" hidden="1">
      <c r="A1447" s="401"/>
      <c r="B1447" s="401"/>
      <c r="C1447" s="401"/>
    </row>
    <row r="1448" spans="1:3" hidden="1">
      <c r="A1448" s="401"/>
      <c r="B1448" s="401"/>
      <c r="C1448" s="401"/>
    </row>
    <row r="1449" spans="1:3" hidden="1">
      <c r="A1449" s="401"/>
      <c r="B1449" s="401"/>
      <c r="C1449" s="401"/>
    </row>
    <row r="1450" spans="1:3" hidden="1">
      <c r="A1450" s="401"/>
      <c r="B1450" s="401"/>
      <c r="C1450" s="401"/>
    </row>
    <row r="1451" spans="1:3" hidden="1">
      <c r="A1451" s="401"/>
      <c r="B1451" s="401"/>
      <c r="C1451" s="401"/>
    </row>
    <row r="1452" spans="1:3" hidden="1">
      <c r="A1452" s="401"/>
      <c r="B1452" s="401"/>
      <c r="C1452" s="401"/>
    </row>
    <row r="1453" spans="1:3" hidden="1">
      <c r="A1453" s="401"/>
      <c r="B1453" s="401"/>
      <c r="C1453" s="401"/>
    </row>
    <row r="1454" spans="1:3" hidden="1">
      <c r="A1454" s="401"/>
      <c r="B1454" s="401"/>
      <c r="C1454" s="401"/>
    </row>
    <row r="1455" spans="1:3" hidden="1">
      <c r="A1455" s="401"/>
      <c r="B1455" s="401"/>
      <c r="C1455" s="401"/>
    </row>
    <row r="1456" spans="1:3" hidden="1">
      <c r="A1456" s="401"/>
      <c r="B1456" s="401"/>
      <c r="C1456" s="401"/>
    </row>
    <row r="1457" spans="1:3" hidden="1">
      <c r="A1457" s="401"/>
      <c r="B1457" s="401"/>
      <c r="C1457" s="401"/>
    </row>
    <row r="1458" spans="1:3" hidden="1">
      <c r="A1458" s="401"/>
      <c r="B1458" s="401"/>
      <c r="C1458" s="401"/>
    </row>
    <row r="1459" spans="1:3" hidden="1">
      <c r="A1459" s="401"/>
      <c r="B1459" s="401"/>
      <c r="C1459" s="401"/>
    </row>
    <row r="1460" spans="1:3" hidden="1">
      <c r="A1460" s="401"/>
      <c r="B1460" s="401"/>
      <c r="C1460" s="401"/>
    </row>
    <row r="1461" spans="1:3" hidden="1">
      <c r="A1461" s="401"/>
      <c r="B1461" s="401"/>
      <c r="C1461" s="401"/>
    </row>
    <row r="1462" spans="1:3" hidden="1">
      <c r="A1462" s="401"/>
      <c r="B1462" s="401"/>
      <c r="C1462" s="401"/>
    </row>
    <row r="1463" spans="1:3" hidden="1">
      <c r="A1463" s="401"/>
      <c r="B1463" s="401"/>
      <c r="C1463" s="401"/>
    </row>
    <row r="1464" spans="1:3" hidden="1">
      <c r="A1464" s="401"/>
      <c r="B1464" s="401"/>
      <c r="C1464" s="401"/>
    </row>
    <row r="1465" spans="1:3" hidden="1">
      <c r="A1465" s="401"/>
      <c r="B1465" s="401"/>
      <c r="C1465" s="401"/>
    </row>
    <row r="1466" spans="1:3" hidden="1">
      <c r="A1466" s="401"/>
      <c r="B1466" s="401"/>
      <c r="C1466" s="401"/>
    </row>
    <row r="1467" spans="1:3" hidden="1">
      <c r="A1467" s="401"/>
      <c r="B1467" s="401"/>
      <c r="C1467" s="401"/>
    </row>
    <row r="1468" spans="1:3" hidden="1">
      <c r="A1468" s="401"/>
      <c r="B1468" s="401"/>
      <c r="C1468" s="401"/>
    </row>
    <row r="1469" spans="1:3" hidden="1">
      <c r="A1469" s="401"/>
      <c r="B1469" s="401"/>
      <c r="C1469" s="401"/>
    </row>
    <row r="1470" spans="1:3" hidden="1">
      <c r="A1470" s="401"/>
      <c r="B1470" s="401"/>
      <c r="C1470" s="401"/>
    </row>
    <row r="1471" spans="1:3" hidden="1">
      <c r="A1471" s="401"/>
      <c r="B1471" s="401"/>
      <c r="C1471" s="401"/>
    </row>
    <row r="1472" spans="1:3" hidden="1">
      <c r="A1472" s="401"/>
      <c r="B1472" s="401"/>
      <c r="C1472" s="401"/>
    </row>
    <row r="1473" spans="1:3" hidden="1">
      <c r="A1473" s="401"/>
      <c r="B1473" s="401"/>
      <c r="C1473" s="401"/>
    </row>
    <row r="1474" spans="1:3" hidden="1">
      <c r="A1474" s="401"/>
      <c r="B1474" s="401"/>
      <c r="C1474" s="401"/>
    </row>
    <row r="1475" spans="1:3" hidden="1">
      <c r="A1475" s="401"/>
      <c r="B1475" s="401"/>
      <c r="C1475" s="401"/>
    </row>
    <row r="1476" spans="1:3" hidden="1">
      <c r="A1476" s="401"/>
      <c r="B1476" s="401"/>
      <c r="C1476" s="401"/>
    </row>
    <row r="1477" spans="1:3" hidden="1">
      <c r="A1477" s="401"/>
      <c r="B1477" s="401"/>
      <c r="C1477" s="401"/>
    </row>
    <row r="1478" spans="1:3" hidden="1">
      <c r="A1478" s="401"/>
      <c r="B1478" s="401"/>
      <c r="C1478" s="401"/>
    </row>
    <row r="1479" spans="1:3" hidden="1">
      <c r="A1479" s="401"/>
      <c r="B1479" s="401"/>
      <c r="C1479" s="401"/>
    </row>
    <row r="1480" spans="1:3" hidden="1">
      <c r="A1480" s="401"/>
      <c r="B1480" s="401"/>
      <c r="C1480" s="401"/>
    </row>
    <row r="1481" spans="1:3" hidden="1">
      <c r="A1481" s="401"/>
      <c r="B1481" s="401"/>
      <c r="C1481" s="401"/>
    </row>
    <row r="1482" spans="1:3" hidden="1">
      <c r="A1482" s="401"/>
      <c r="B1482" s="401"/>
      <c r="C1482" s="401"/>
    </row>
    <row r="1483" spans="1:3" hidden="1">
      <c r="A1483" s="401"/>
      <c r="B1483" s="401"/>
      <c r="C1483" s="401"/>
    </row>
    <row r="1484" spans="1:3" hidden="1">
      <c r="A1484" s="401"/>
      <c r="B1484" s="401"/>
      <c r="C1484" s="401"/>
    </row>
    <row r="1485" spans="1:3" hidden="1">
      <c r="A1485" s="401"/>
      <c r="B1485" s="401"/>
      <c r="C1485" s="401"/>
    </row>
    <row r="1486" spans="1:3" hidden="1">
      <c r="A1486" s="401"/>
      <c r="B1486" s="401"/>
      <c r="C1486" s="401"/>
    </row>
    <row r="1487" spans="1:3" hidden="1">
      <c r="A1487" s="401"/>
      <c r="B1487" s="401"/>
      <c r="C1487" s="401"/>
    </row>
    <row r="1488" spans="1:3" hidden="1">
      <c r="A1488" s="401"/>
      <c r="B1488" s="401"/>
      <c r="C1488" s="401"/>
    </row>
    <row r="1489" spans="1:3" hidden="1">
      <c r="A1489" s="401"/>
      <c r="B1489" s="401"/>
      <c r="C1489" s="401"/>
    </row>
    <row r="1490" spans="1:3" hidden="1">
      <c r="A1490" s="401"/>
      <c r="B1490" s="401"/>
      <c r="C1490" s="401"/>
    </row>
    <row r="1491" spans="1:3" hidden="1">
      <c r="A1491" s="401"/>
      <c r="B1491" s="401"/>
      <c r="C1491" s="401"/>
    </row>
    <row r="1492" spans="1:3" hidden="1">
      <c r="A1492" s="401"/>
      <c r="B1492" s="401"/>
      <c r="C1492" s="401"/>
    </row>
    <row r="1493" spans="1:3" hidden="1">
      <c r="A1493" s="401"/>
      <c r="B1493" s="401"/>
      <c r="C1493" s="401"/>
    </row>
    <row r="1494" spans="1:3" hidden="1">
      <c r="A1494" s="401"/>
      <c r="B1494" s="401"/>
      <c r="C1494" s="401"/>
    </row>
    <row r="1495" spans="1:3" hidden="1">
      <c r="A1495" s="401"/>
      <c r="B1495" s="401"/>
      <c r="C1495" s="401"/>
    </row>
    <row r="1496" spans="1:3" hidden="1">
      <c r="A1496" s="401"/>
      <c r="B1496" s="401"/>
      <c r="C1496" s="401"/>
    </row>
    <row r="1497" spans="1:3" hidden="1">
      <c r="A1497" s="401"/>
      <c r="B1497" s="401"/>
      <c r="C1497" s="401"/>
    </row>
    <row r="1498" spans="1:3" hidden="1">
      <c r="A1498" s="401"/>
      <c r="B1498" s="401"/>
      <c r="C1498" s="401"/>
    </row>
    <row r="1499" spans="1:3" hidden="1">
      <c r="A1499" s="401"/>
      <c r="B1499" s="401"/>
      <c r="C1499" s="401"/>
    </row>
    <row r="1500" spans="1:3" hidden="1">
      <c r="A1500" s="401"/>
      <c r="B1500" s="401"/>
      <c r="C1500" s="401"/>
    </row>
    <row r="1501" spans="1:3" hidden="1">
      <c r="A1501" s="401"/>
      <c r="B1501" s="401"/>
      <c r="C1501" s="401"/>
    </row>
    <row r="1502" spans="1:3" hidden="1">
      <c r="A1502" s="401"/>
      <c r="B1502" s="401"/>
      <c r="C1502" s="401"/>
    </row>
    <row r="1503" spans="1:3" hidden="1">
      <c r="A1503" s="401"/>
      <c r="B1503" s="401"/>
      <c r="C1503" s="401"/>
    </row>
    <row r="1504" spans="1:3" hidden="1">
      <c r="A1504" s="401"/>
      <c r="B1504" s="401"/>
      <c r="C1504" s="401"/>
    </row>
    <row r="1505" spans="1:3" hidden="1">
      <c r="A1505" s="401"/>
      <c r="B1505" s="401"/>
      <c r="C1505" s="401"/>
    </row>
    <row r="1506" spans="1:3" hidden="1">
      <c r="A1506" s="401"/>
      <c r="B1506" s="401"/>
      <c r="C1506" s="401"/>
    </row>
    <row r="1507" spans="1:3" hidden="1">
      <c r="A1507" s="401"/>
      <c r="B1507" s="401"/>
      <c r="C1507" s="401"/>
    </row>
    <row r="1508" spans="1:3" hidden="1">
      <c r="A1508" s="401"/>
      <c r="B1508" s="401"/>
      <c r="C1508" s="401"/>
    </row>
    <row r="1509" spans="1:3" hidden="1">
      <c r="A1509" s="401"/>
      <c r="B1509" s="401"/>
      <c r="C1509" s="401"/>
    </row>
    <row r="1510" spans="1:3" hidden="1">
      <c r="A1510" s="401"/>
      <c r="B1510" s="401"/>
      <c r="C1510" s="401"/>
    </row>
    <row r="1511" spans="1:3" hidden="1">
      <c r="A1511" s="401"/>
      <c r="B1511" s="401"/>
      <c r="C1511" s="401"/>
    </row>
    <row r="1512" spans="1:3" hidden="1">
      <c r="A1512" s="401"/>
      <c r="B1512" s="401"/>
      <c r="C1512" s="401"/>
    </row>
    <row r="1513" spans="1:3" hidden="1">
      <c r="A1513" s="401"/>
      <c r="B1513" s="401"/>
      <c r="C1513" s="401"/>
    </row>
    <row r="1514" spans="1:3" hidden="1">
      <c r="A1514" s="401"/>
      <c r="B1514" s="401"/>
      <c r="C1514" s="401"/>
    </row>
    <row r="1515" spans="1:3" hidden="1">
      <c r="A1515" s="401"/>
      <c r="B1515" s="401"/>
      <c r="C1515" s="401"/>
    </row>
    <row r="1516" spans="1:3" hidden="1">
      <c r="A1516" s="401"/>
      <c r="B1516" s="401"/>
      <c r="C1516" s="401"/>
    </row>
    <row r="1517" spans="1:3" hidden="1">
      <c r="A1517" s="401"/>
      <c r="B1517" s="401"/>
      <c r="C1517" s="401"/>
    </row>
    <row r="1518" spans="1:3" hidden="1">
      <c r="A1518" s="401"/>
      <c r="B1518" s="401"/>
      <c r="C1518" s="401"/>
    </row>
    <row r="1519" spans="1:3" hidden="1">
      <c r="A1519" s="401"/>
      <c r="B1519" s="401"/>
      <c r="C1519" s="401"/>
    </row>
    <row r="1520" spans="1:3" hidden="1">
      <c r="A1520" s="401"/>
      <c r="B1520" s="401"/>
      <c r="C1520" s="401"/>
    </row>
    <row r="1521" spans="1:3" hidden="1">
      <c r="A1521" s="401"/>
      <c r="B1521" s="401"/>
      <c r="C1521" s="401"/>
    </row>
    <row r="1522" spans="1:3" hidden="1">
      <c r="A1522" s="401"/>
      <c r="B1522" s="401"/>
      <c r="C1522" s="401"/>
    </row>
    <row r="1523" spans="1:3" hidden="1">
      <c r="A1523" s="401"/>
      <c r="B1523" s="401"/>
      <c r="C1523" s="401"/>
    </row>
    <row r="1524" spans="1:3" hidden="1">
      <c r="A1524" s="401"/>
      <c r="B1524" s="401"/>
      <c r="C1524" s="401"/>
    </row>
    <row r="1525" spans="1:3" hidden="1">
      <c r="A1525" s="401"/>
      <c r="B1525" s="401"/>
      <c r="C1525" s="401"/>
    </row>
    <row r="1526" spans="1:3" hidden="1">
      <c r="A1526" s="401"/>
      <c r="B1526" s="401"/>
      <c r="C1526" s="401"/>
    </row>
    <row r="1527" spans="1:3" hidden="1">
      <c r="A1527" s="401"/>
      <c r="B1527" s="401"/>
      <c r="C1527" s="401"/>
    </row>
    <row r="1528" spans="1:3" hidden="1">
      <c r="A1528" s="401"/>
      <c r="B1528" s="401"/>
      <c r="C1528" s="401"/>
    </row>
    <row r="1529" spans="1:3" hidden="1">
      <c r="A1529" s="401"/>
      <c r="B1529" s="401"/>
      <c r="C1529" s="401"/>
    </row>
    <row r="1530" spans="1:3" hidden="1">
      <c r="A1530" s="401"/>
      <c r="B1530" s="401"/>
      <c r="C1530" s="401"/>
    </row>
    <row r="1531" spans="1:3" hidden="1">
      <c r="A1531" s="401"/>
      <c r="B1531" s="401"/>
      <c r="C1531" s="401"/>
    </row>
    <row r="1532" spans="1:3" hidden="1">
      <c r="A1532" s="401"/>
      <c r="B1532" s="401"/>
      <c r="C1532" s="401"/>
    </row>
    <row r="1533" spans="1:3" hidden="1">
      <c r="A1533" s="401"/>
      <c r="B1533" s="401"/>
      <c r="C1533" s="401"/>
    </row>
    <row r="1534" spans="1:3" hidden="1">
      <c r="A1534" s="401"/>
      <c r="B1534" s="401"/>
      <c r="C1534" s="401"/>
    </row>
    <row r="1535" spans="1:3" hidden="1">
      <c r="A1535" s="401"/>
      <c r="B1535" s="401"/>
      <c r="C1535" s="401"/>
    </row>
    <row r="1536" spans="1:3" hidden="1">
      <c r="A1536" s="401"/>
      <c r="B1536" s="401"/>
      <c r="C1536" s="401"/>
    </row>
    <row r="1537" spans="1:3" hidden="1">
      <c r="A1537" s="401"/>
      <c r="B1537" s="401"/>
      <c r="C1537" s="401"/>
    </row>
    <row r="1538" spans="1:3" hidden="1">
      <c r="A1538" s="401"/>
      <c r="B1538" s="401"/>
      <c r="C1538" s="401"/>
    </row>
    <row r="1539" spans="1:3" hidden="1">
      <c r="A1539" s="401"/>
      <c r="B1539" s="401"/>
      <c r="C1539" s="401"/>
    </row>
    <row r="1540" spans="1:3" hidden="1">
      <c r="A1540" s="401"/>
      <c r="B1540" s="401"/>
      <c r="C1540" s="401"/>
    </row>
    <row r="1541" spans="1:3" hidden="1">
      <c r="A1541" s="401"/>
      <c r="B1541" s="401"/>
      <c r="C1541" s="401"/>
    </row>
    <row r="1542" spans="1:3" hidden="1">
      <c r="A1542" s="401"/>
      <c r="B1542" s="401"/>
      <c r="C1542" s="401"/>
    </row>
    <row r="1543" spans="1:3" hidden="1">
      <c r="A1543" s="401"/>
      <c r="B1543" s="401"/>
      <c r="C1543" s="401"/>
    </row>
    <row r="1544" spans="1:3" hidden="1">
      <c r="A1544" s="401"/>
      <c r="B1544" s="401"/>
      <c r="C1544" s="401"/>
    </row>
    <row r="1545" spans="1:3" hidden="1">
      <c r="A1545" s="401"/>
      <c r="B1545" s="401"/>
      <c r="C1545" s="401"/>
    </row>
    <row r="1546" spans="1:3" hidden="1">
      <c r="A1546" s="401"/>
      <c r="B1546" s="401"/>
      <c r="C1546" s="401"/>
    </row>
    <row r="1547" spans="1:3" hidden="1">
      <c r="A1547" s="401"/>
      <c r="B1547" s="401"/>
      <c r="C1547" s="401"/>
    </row>
    <row r="1548" spans="1:3" hidden="1">
      <c r="A1548" s="401"/>
      <c r="B1548" s="401"/>
      <c r="C1548" s="401"/>
    </row>
    <row r="1549" spans="1:3" hidden="1">
      <c r="A1549" s="401"/>
      <c r="B1549" s="401"/>
      <c r="C1549" s="401"/>
    </row>
    <row r="1553" spans="7:9" hidden="1">
      <c r="G1553" s="1322"/>
      <c r="H1553" s="1322"/>
      <c r="I1553" s="132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416" zoomScaleNormal="100" workbookViewId="0">
      <selection activeCell="AO436" sqref="AO436"/>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5">
        <v>4</v>
      </c>
      <c r="BD1" s="3" t="s">
        <v>2425</v>
      </c>
      <c r="BE1" s="3"/>
      <c r="BF1" s="3"/>
    </row>
    <row r="2" spans="1:58" ht="12.95" customHeight="1">
      <c r="BD2" s="3" t="s">
        <v>2426</v>
      </c>
      <c r="BE2" s="3" t="s">
        <v>2427</v>
      </c>
      <c r="BF2" s="3" t="s">
        <v>2428</v>
      </c>
    </row>
    <row r="3" spans="1:58" ht="12.95" customHeight="1">
      <c r="BD3" s="3" t="s">
        <v>2520</v>
      </c>
      <c r="BE3" t="str">
        <f>AC220</f>
        <v>City of Los Angeles</v>
      </c>
    </row>
    <row r="4" spans="1:58" ht="12.95" customHeight="1">
      <c r="BD4" s="3" t="s">
        <v>2435</v>
      </c>
      <c r="BE4" s="1179"/>
    </row>
    <row r="5" spans="1:58" ht="12.95" customHeight="1">
      <c r="BD5" s="3" t="s">
        <v>2436</v>
      </c>
      <c r="BE5">
        <f>SUMIF($AC$726:$AC$760,"&lt;=20%",$G$726:G$760)</f>
        <v>0</v>
      </c>
      <c r="BF5" s="3" t="s">
        <v>2441</v>
      </c>
    </row>
    <row r="6" spans="1:58" ht="12.95" customHeight="1">
      <c r="BD6" s="3" t="s">
        <v>2437</v>
      </c>
      <c r="BE6" s="1182">
        <f>SUMIF($AC$726:$AC$760,"&lt;=25%",$G$726:G$760)-SUM($BE$5:BE5)</f>
        <v>0</v>
      </c>
    </row>
    <row r="7" spans="1:58" ht="12.95" customHeight="1">
      <c r="BD7" s="1180" t="s">
        <v>2429</v>
      </c>
      <c r="BE7" s="1182">
        <f>SUMIF($AC$726:$AC$760,"&lt;=30%",$G$726:G$760)-SUM($BE$5:BE6)</f>
        <v>31</v>
      </c>
    </row>
    <row r="8" spans="1:58" ht="26.25" customHeight="1">
      <c r="A8" s="1510" t="s">
        <v>100</v>
      </c>
      <c r="B8" s="1510"/>
      <c r="C8" s="1510"/>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c r="AT8" s="1510"/>
      <c r="AU8" s="893"/>
      <c r="AV8" s="893"/>
      <c r="AW8" s="893"/>
      <c r="AX8" s="893"/>
      <c r="AY8" s="893"/>
      <c r="BD8" s="3" t="s">
        <v>2438</v>
      </c>
      <c r="BE8" s="1182">
        <f>SUMIF($AC$726:$AC$760,"&lt;=35%",$G$726:G$760)-SUM($BE$5:BE7)</f>
        <v>0</v>
      </c>
    </row>
    <row r="9" spans="1:58" ht="12.95" customHeight="1">
      <c r="A9" s="1356" t="s">
        <v>2031</v>
      </c>
      <c r="B9" s="1356"/>
      <c r="C9" s="1356"/>
      <c r="D9" s="1356"/>
      <c r="E9" s="1356"/>
      <c r="F9" s="1356"/>
      <c r="G9" s="1356"/>
      <c r="H9" s="1356"/>
      <c r="I9" s="1356"/>
      <c r="J9" s="1356"/>
      <c r="K9" s="1356"/>
      <c r="L9" s="1356"/>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c r="AM9" s="1356"/>
      <c r="AN9" s="1356"/>
      <c r="AO9" s="1356"/>
      <c r="AP9" s="1356"/>
      <c r="AQ9" s="1356"/>
      <c r="AR9" s="1356"/>
      <c r="AS9" s="1356"/>
      <c r="AT9" s="1356"/>
      <c r="AU9" s="13"/>
      <c r="AV9" s="13"/>
      <c r="AW9" s="13"/>
      <c r="AX9" s="13"/>
      <c r="AY9" s="13"/>
      <c r="BD9" s="1181" t="s">
        <v>2430</v>
      </c>
      <c r="BE9" s="1182">
        <f>SUMIF($AC$726:$AC$760,"&lt;=40%",$G$726:G$760)-SUM($BE$5:BE8)</f>
        <v>0</v>
      </c>
    </row>
    <row r="10" spans="1:58" ht="12.95" customHeight="1">
      <c r="A10" s="1356" t="s">
        <v>2604</v>
      </c>
      <c r="B10" s="1356"/>
      <c r="C10" s="1356"/>
      <c r="D10" s="1356"/>
      <c r="E10" s="1356"/>
      <c r="F10" s="1356"/>
      <c r="G10" s="1356"/>
      <c r="H10" s="1356"/>
      <c r="I10" s="1356"/>
      <c r="J10" s="1356"/>
      <c r="K10" s="1356"/>
      <c r="L10" s="1356"/>
      <c r="M10" s="1356"/>
      <c r="N10" s="1356"/>
      <c r="O10" s="1356"/>
      <c r="P10" s="1356"/>
      <c r="Q10" s="1356"/>
      <c r="R10" s="1356"/>
      <c r="S10" s="1356"/>
      <c r="T10" s="1356"/>
      <c r="U10" s="1356"/>
      <c r="V10" s="1356"/>
      <c r="W10" s="1356"/>
      <c r="X10" s="1356"/>
      <c r="Y10" s="1356"/>
      <c r="Z10" s="1356"/>
      <c r="AA10" s="1356"/>
      <c r="AB10" s="1356"/>
      <c r="AC10" s="1356"/>
      <c r="AD10" s="1356"/>
      <c r="AE10" s="1356"/>
      <c r="AF10" s="1356"/>
      <c r="AG10" s="1356"/>
      <c r="AH10" s="1356"/>
      <c r="AI10" s="1356"/>
      <c r="AJ10" s="1356"/>
      <c r="AK10" s="1356"/>
      <c r="AL10" s="1356"/>
      <c r="AM10" s="1356"/>
      <c r="AN10" s="1356"/>
      <c r="AO10" s="1356"/>
      <c r="AP10" s="1356"/>
      <c r="AQ10" s="1356"/>
      <c r="AR10" s="1356"/>
      <c r="AS10" s="1356"/>
      <c r="AT10" s="1356"/>
      <c r="AU10" s="13"/>
      <c r="AV10" s="13"/>
      <c r="AW10" s="13"/>
      <c r="AX10" s="13"/>
      <c r="AY10" s="13"/>
      <c r="BD10" s="3" t="s">
        <v>2439</v>
      </c>
      <c r="BE10" s="1182">
        <f>SUMIF($AC$726:$AC$760,"&lt;=45%",$G$726:G$760)-SUM($BE$5:BE9)</f>
        <v>0</v>
      </c>
    </row>
    <row r="11" spans="1:58" ht="12.95" customHeight="1">
      <c r="A11" s="1356" t="s">
        <v>2528</v>
      </c>
      <c r="B11" s="1356"/>
      <c r="C11" s="1356"/>
      <c r="D11" s="1356"/>
      <c r="E11" s="1356"/>
      <c r="F11" s="1356"/>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6"/>
      <c r="AR11" s="1356"/>
      <c r="AS11" s="1356"/>
      <c r="AT11" s="1356"/>
      <c r="AU11" s="13"/>
      <c r="AV11" s="13"/>
      <c r="AW11" s="13"/>
      <c r="AX11" s="13"/>
      <c r="AY11" s="13"/>
      <c r="BD11" s="1180" t="s">
        <v>2431</v>
      </c>
      <c r="BE11" s="1182">
        <f>SUMIF($AC$726:$AC$760,"&lt;=50%",$G$726:G$760)-SUM($BE$5:BE10)</f>
        <v>30</v>
      </c>
    </row>
    <row r="12" spans="1:58" ht="12.95" customHeight="1">
      <c r="A12" s="1511" t="s">
        <v>2641</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c r="AM12" s="1511"/>
      <c r="AN12" s="1511"/>
      <c r="AO12" s="1511"/>
      <c r="AP12" s="1511"/>
      <c r="AQ12" s="1511"/>
      <c r="AR12" s="1511"/>
      <c r="AS12" s="1511"/>
      <c r="AT12" s="1511"/>
      <c r="AU12" s="6"/>
      <c r="AV12" s="6"/>
      <c r="AW12" s="6"/>
      <c r="AX12" s="6"/>
      <c r="AY12" s="6"/>
      <c r="BD12" s="3" t="s">
        <v>2440</v>
      </c>
      <c r="BE12" s="1182">
        <f>SUMIF($AC$726:$AC$760,"&lt;=55%",$G$726:G$760)-SUM($BE$5:BE11)</f>
        <v>0</v>
      </c>
    </row>
    <row r="13" spans="1:58" ht="12.95" customHeight="1">
      <c r="A13" s="1279" t="s">
        <v>2032</v>
      </c>
      <c r="B13" s="1279"/>
      <c r="C13" s="1279"/>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894"/>
      <c r="AV13" s="894"/>
      <c r="AW13" s="894"/>
      <c r="AX13" s="894"/>
      <c r="AY13" s="894"/>
      <c r="BD13" s="1181" t="s">
        <v>2432</v>
      </c>
      <c r="BE13" s="1182">
        <f>SUMIF($AC$726:$AC$760,"&lt;=60%",$G$726:G$760)-SUM($BE$5:BE12)</f>
        <v>61</v>
      </c>
    </row>
    <row r="14" spans="1:58" ht="12.95" customHeight="1">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c r="AT14" s="1279"/>
      <c r="AU14" s="894"/>
      <c r="AV14" s="894"/>
      <c r="AW14" s="894"/>
      <c r="AX14" s="894"/>
      <c r="AY14" s="894"/>
      <c r="BD14" s="1180" t="s">
        <v>2433</v>
      </c>
      <c r="BE14" s="1182">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1" t="s">
        <v>2434</v>
      </c>
      <c r="BE15" s="1182">
        <f>SUMIF($AC$726:$AC$760,"&lt;=80%",$G$726:G$760)-SUM($BE$5:BE14)</f>
        <v>0</v>
      </c>
    </row>
    <row r="16" spans="1:58" ht="12.95" customHeight="1">
      <c r="A16" s="57" t="s">
        <v>2033</v>
      </c>
      <c r="C16" s="4"/>
      <c r="D16" s="4"/>
      <c r="E16" s="4"/>
      <c r="F16" s="4"/>
      <c r="G16" s="4"/>
      <c r="H16" s="1517" t="s">
        <v>2660</v>
      </c>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BD16" s="1181" t="s">
        <v>654</v>
      </c>
      <c r="BE16" s="1182" t="str">
        <f>Application!H18</f>
        <v>Ross Center - Affordable Housing</v>
      </c>
    </row>
    <row r="17" spans="1:58" ht="12.95" customHeight="1">
      <c r="BD17" s="1180" t="s">
        <v>2446</v>
      </c>
      <c r="BE17" s="1182">
        <f>Application!AA943</f>
        <v>0</v>
      </c>
    </row>
    <row r="18" spans="1:58" ht="12.95" customHeight="1">
      <c r="A18" s="57" t="s">
        <v>101</v>
      </c>
      <c r="C18" s="4"/>
      <c r="D18" s="4"/>
      <c r="E18" s="4"/>
      <c r="F18" s="4"/>
      <c r="G18" s="4"/>
      <c r="H18" s="1490" t="s">
        <v>2711</v>
      </c>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BD18" s="1181" t="s">
        <v>2447</v>
      </c>
      <c r="BE18" s="1182">
        <f>AA943</f>
        <v>0</v>
      </c>
    </row>
    <row r="19" spans="1:58" ht="12.95" customHeight="1">
      <c r="BD19" s="1180" t="s">
        <v>2448</v>
      </c>
      <c r="BE19" s="1182">
        <f>Application!M26</f>
        <v>5192062</v>
      </c>
    </row>
    <row r="20" spans="1:58" ht="12.95" customHeight="1">
      <c r="A20" s="1512" t="s">
        <v>871</v>
      </c>
      <c r="B20" s="1512"/>
      <c r="C20" s="1512"/>
      <c r="D20" s="1512"/>
      <c r="E20" s="1512"/>
      <c r="F20" s="1512"/>
      <c r="G20" s="1512"/>
      <c r="H20" s="1512"/>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512"/>
      <c r="AM20" s="1512"/>
      <c r="AN20" s="1512"/>
      <c r="AO20" s="1512"/>
      <c r="AP20" s="1512"/>
      <c r="AQ20" s="1512"/>
      <c r="AR20" s="1512"/>
      <c r="AS20" s="1512"/>
      <c r="AT20" s="1512"/>
      <c r="AU20" s="895"/>
      <c r="AV20" s="895"/>
      <c r="AW20" s="895"/>
      <c r="AX20" s="895"/>
      <c r="AY20" s="895"/>
      <c r="BD20" s="1181" t="s">
        <v>2449</v>
      </c>
      <c r="BE20" s="1182">
        <f>Application!M27</f>
        <v>0</v>
      </c>
    </row>
    <row r="21" spans="1:58" ht="12.95" customHeight="1">
      <c r="A21" s="1413" t="s">
        <v>1007</v>
      </c>
      <c r="B21" s="1413"/>
      <c r="C21" s="1413"/>
      <c r="D21" s="1413"/>
      <c r="E21" s="1413"/>
      <c r="F21" s="1413"/>
      <c r="G21" s="1413"/>
      <c r="H21" s="1413"/>
      <c r="I21" s="1413"/>
      <c r="J21" s="1413"/>
      <c r="K21" s="1413"/>
      <c r="L21" s="1413"/>
      <c r="M21" s="1413"/>
      <c r="N21" s="1413"/>
      <c r="O21" s="1413"/>
      <c r="P21" s="1413"/>
      <c r="Q21" s="1413"/>
      <c r="R21" s="1413"/>
      <c r="S21" s="1413"/>
      <c r="T21" s="1413"/>
      <c r="U21" s="1413"/>
      <c r="V21" s="1413"/>
      <c r="W21" s="1413"/>
      <c r="X21" s="1413"/>
      <c r="Y21" s="1413"/>
      <c r="Z21" s="1413"/>
      <c r="AA21" s="1413"/>
      <c r="AB21" s="1413"/>
      <c r="AC21" s="1413"/>
      <c r="AD21" s="1413"/>
      <c r="AE21" s="1413"/>
      <c r="AF21" s="1413"/>
      <c r="AG21" s="1413"/>
      <c r="AH21" s="1413"/>
      <c r="AI21" s="1413"/>
      <c r="AJ21" s="1413"/>
      <c r="AK21" s="1413"/>
      <c r="AL21" s="1413"/>
      <c r="AM21" s="896"/>
      <c r="AN21" s="896"/>
      <c r="AO21" s="896"/>
      <c r="AP21" s="896"/>
      <c r="AQ21" s="896"/>
      <c r="AR21" s="896"/>
      <c r="AS21" s="896"/>
      <c r="AT21" s="896"/>
      <c r="AU21" s="896"/>
      <c r="AV21" s="896"/>
      <c r="AW21" s="896"/>
      <c r="AX21" s="896"/>
      <c r="AY21" s="896"/>
      <c r="BD21" s="1180" t="s">
        <v>2450</v>
      </c>
      <c r="BE21" s="1182">
        <f>Application!AM562</f>
        <v>30904733</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1" t="s">
        <v>282</v>
      </c>
      <c r="BE22" s="1182">
        <f>'Sources and Uses Budget'!B105</f>
        <v>107547654</v>
      </c>
      <c r="BF22" s="3" t="s">
        <v>2521</v>
      </c>
    </row>
    <row r="23" spans="1:58" ht="12.95" customHeight="1">
      <c r="A23" s="1314" t="s">
        <v>2099</v>
      </c>
      <c r="B23" s="1314"/>
      <c r="C23" s="1314"/>
      <c r="D23" s="1314"/>
      <c r="E23" s="1314"/>
      <c r="F23" s="1314"/>
      <c r="G23" s="1314"/>
      <c r="H23" s="1314"/>
      <c r="I23" s="1314"/>
      <c r="J23" s="1314"/>
      <c r="K23" s="1314"/>
      <c r="L23" s="1314"/>
      <c r="M23" s="1314"/>
      <c r="N23" s="1314"/>
      <c r="O23" s="1314"/>
      <c r="P23" s="1314"/>
      <c r="Q23" s="1314"/>
      <c r="R23" s="1314"/>
      <c r="S23" s="1314"/>
      <c r="T23" s="1314"/>
      <c r="U23" s="1314"/>
      <c r="V23" s="1314"/>
      <c r="W23" s="1314"/>
      <c r="X23" s="1314"/>
      <c r="Y23" s="1314"/>
      <c r="Z23" s="1314"/>
      <c r="AA23" s="1314"/>
      <c r="AB23" s="1314"/>
      <c r="AC23" s="1314"/>
      <c r="AD23" s="1314"/>
      <c r="AE23" s="1314"/>
      <c r="AF23" s="1314"/>
      <c r="AG23" s="1314"/>
      <c r="AH23" s="1314"/>
      <c r="AI23" s="1314"/>
      <c r="AJ23" s="1314"/>
      <c r="AK23" s="1314"/>
      <c r="AL23" s="1314"/>
      <c r="AM23" s="1314"/>
      <c r="AN23" s="1314"/>
      <c r="AO23" s="1314"/>
      <c r="AP23" s="1314"/>
      <c r="AQ23" s="1314"/>
      <c r="AR23" s="1314"/>
      <c r="AS23" s="1314"/>
      <c r="AT23" s="1314"/>
      <c r="AU23" s="18"/>
      <c r="AV23" s="18"/>
      <c r="AW23" s="18"/>
      <c r="AX23" s="18"/>
      <c r="AY23" s="18"/>
      <c r="AZ23" s="18"/>
      <c r="BD23" s="1180" t="s">
        <v>2451</v>
      </c>
      <c r="BE23" s="1182">
        <f>'Sources and Uses Budget'!B4</f>
        <v>0</v>
      </c>
    </row>
    <row r="24" spans="1:58" ht="12.95" customHeight="1">
      <c r="A24" s="1314"/>
      <c r="B24" s="1314"/>
      <c r="C24" s="1314"/>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8"/>
      <c r="AV24" s="18"/>
      <c r="AW24" s="18"/>
      <c r="AX24" s="18"/>
      <c r="AY24" s="18"/>
      <c r="AZ24" s="18"/>
      <c r="BD24" s="1181" t="s">
        <v>2452</v>
      </c>
      <c r="BE24" s="1182">
        <f>Application!AG459</f>
        <v>156991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0" t="s">
        <v>2453</v>
      </c>
      <c r="BE25" s="1182" t="str">
        <f>Application!D208</f>
        <v>40%/60%</v>
      </c>
    </row>
    <row r="26" spans="1:58" ht="12.95" customHeight="1">
      <c r="A26" s="4"/>
      <c r="C26" s="4"/>
      <c r="D26" s="4"/>
      <c r="E26" s="4"/>
      <c r="F26" s="4"/>
      <c r="G26" s="4"/>
      <c r="H26" s="4"/>
      <c r="I26" s="4"/>
      <c r="J26" s="4"/>
      <c r="K26" s="4"/>
      <c r="L26" s="4"/>
      <c r="M26" s="1516">
        <f>'Basis &amp; Credits'!AB56</f>
        <v>5192062</v>
      </c>
      <c r="N26" s="1516"/>
      <c r="O26" s="1516"/>
      <c r="P26" s="1516"/>
      <c r="Q26" s="1516"/>
      <c r="R26" s="4" t="s">
        <v>757</v>
      </c>
      <c r="S26" s="4"/>
      <c r="T26" s="4"/>
      <c r="U26" s="4"/>
      <c r="V26" s="4"/>
      <c r="W26" s="4"/>
      <c r="X26" s="4"/>
      <c r="Y26" s="4"/>
      <c r="Z26" s="4"/>
      <c r="AF26" s="4"/>
      <c r="AG26" s="4"/>
      <c r="AH26" s="4"/>
      <c r="AI26" s="4"/>
      <c r="AJ26" s="4"/>
      <c r="AK26" s="4"/>
      <c r="BD26" s="1181" t="s">
        <v>1626</v>
      </c>
      <c r="BE26" s="1182" t="b">
        <f>Application!M365="Yes"</f>
        <v>0</v>
      </c>
    </row>
    <row r="27" spans="1:58" ht="12.95" customHeight="1">
      <c r="A27" s="4"/>
      <c r="C27" s="4"/>
      <c r="D27" s="4"/>
      <c r="E27" s="4"/>
      <c r="F27" s="4"/>
      <c r="G27" s="4"/>
      <c r="H27" s="4"/>
      <c r="I27" s="4"/>
      <c r="J27" s="4"/>
      <c r="K27" s="4"/>
      <c r="L27" s="4"/>
      <c r="M27" s="1414">
        <f>'Basis &amp; Credits'!AB78</f>
        <v>0</v>
      </c>
      <c r="N27" s="1414"/>
      <c r="O27" s="1414"/>
      <c r="P27" s="1414"/>
      <c r="Q27" s="1414"/>
      <c r="R27" s="3" t="s">
        <v>1265</v>
      </c>
      <c r="S27" s="4"/>
      <c r="T27" s="4"/>
      <c r="U27" s="4"/>
      <c r="V27" s="4"/>
      <c r="W27" s="4"/>
      <c r="X27" s="4"/>
      <c r="Y27" s="4"/>
      <c r="Z27" s="4"/>
      <c r="AF27" s="4"/>
      <c r="AG27" s="4"/>
      <c r="AH27" s="4"/>
      <c r="AI27" s="4"/>
      <c r="AJ27" s="4"/>
      <c r="AK27" s="4"/>
      <c r="BD27" s="1180" t="s">
        <v>2052</v>
      </c>
      <c r="BE27" s="1182"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1" t="s">
        <v>2454</v>
      </c>
      <c r="BE28" s="1182" t="b">
        <f>Application!M366="Yes"</f>
        <v>0</v>
      </c>
    </row>
    <row r="29" spans="1:58" ht="12.95" customHeight="1">
      <c r="A29" s="1513" t="s">
        <v>2100</v>
      </c>
      <c r="B29" s="1513"/>
      <c r="C29" s="1513"/>
      <c r="D29" s="1513"/>
      <c r="E29" s="1513"/>
      <c r="F29" s="1513"/>
      <c r="G29" s="1513"/>
      <c r="H29" s="1513"/>
      <c r="I29" s="1513"/>
      <c r="J29" s="1513"/>
      <c r="K29" s="1513"/>
      <c r="L29" s="1513"/>
      <c r="M29" s="1513"/>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c r="AL29" s="1513"/>
      <c r="AM29" s="1513"/>
      <c r="AN29" s="1513"/>
      <c r="AO29" s="1513"/>
      <c r="AP29" s="1513"/>
      <c r="AQ29" s="1513"/>
      <c r="AR29" s="1513"/>
      <c r="AS29" s="1513"/>
      <c r="AT29" s="1513"/>
      <c r="BD29" s="1180" t="s">
        <v>2455</v>
      </c>
      <c r="BE29" s="1182" t="b">
        <f>Application!M367="Yes"</f>
        <v>0</v>
      </c>
    </row>
    <row r="30" spans="1:58" ht="12.95" customHeight="1">
      <c r="A30" s="1513"/>
      <c r="B30" s="1513"/>
      <c r="C30" s="1513"/>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c r="AL30" s="1513"/>
      <c r="AM30" s="1513"/>
      <c r="AN30" s="1513"/>
      <c r="AO30" s="1513"/>
      <c r="AP30" s="1513"/>
      <c r="AQ30" s="1513"/>
      <c r="AR30" s="1513"/>
      <c r="AS30" s="1513"/>
      <c r="AT30" s="1513"/>
      <c r="AZ30" s="20"/>
      <c r="BD30" s="1181" t="s">
        <v>28</v>
      </c>
      <c r="BE30" s="1182" t="b">
        <f>Application!AJ364="Yes"</f>
        <v>0</v>
      </c>
    </row>
    <row r="31" spans="1:58" ht="12.95" customHeight="1">
      <c r="A31" s="1513"/>
      <c r="B31" s="1513"/>
      <c r="C31" s="1513"/>
      <c r="D31" s="1513"/>
      <c r="E31" s="1513"/>
      <c r="F31" s="1513"/>
      <c r="G31" s="1513"/>
      <c r="H31" s="1513"/>
      <c r="I31" s="1513"/>
      <c r="J31" s="1513"/>
      <c r="K31" s="1513"/>
      <c r="L31" s="1513"/>
      <c r="M31" s="1513"/>
      <c r="N31" s="1513"/>
      <c r="O31" s="1513"/>
      <c r="P31" s="1513"/>
      <c r="Q31" s="1513"/>
      <c r="R31" s="1513"/>
      <c r="S31" s="1513"/>
      <c r="T31" s="1513"/>
      <c r="U31" s="1513"/>
      <c r="V31" s="1513"/>
      <c r="W31" s="1513"/>
      <c r="X31" s="1513"/>
      <c r="Y31" s="1513"/>
      <c r="Z31" s="1513"/>
      <c r="AA31" s="1513"/>
      <c r="AB31" s="1513"/>
      <c r="AC31" s="1513"/>
      <c r="AD31" s="1513"/>
      <c r="AE31" s="1513"/>
      <c r="AF31" s="1513"/>
      <c r="AG31" s="1513"/>
      <c r="AH31" s="1513"/>
      <c r="AI31" s="1513"/>
      <c r="AJ31" s="1513"/>
      <c r="AK31" s="1513"/>
      <c r="AL31" s="1513"/>
      <c r="AM31" s="1513"/>
      <c r="AN31" s="1513"/>
      <c r="AO31" s="1513"/>
      <c r="AP31" s="1513"/>
      <c r="AQ31" s="1513"/>
      <c r="AR31" s="1513"/>
      <c r="AS31" s="1513"/>
      <c r="AT31" s="1513"/>
      <c r="AU31" s="20"/>
      <c r="AV31" s="20"/>
      <c r="AW31" s="20"/>
      <c r="AX31" s="20"/>
      <c r="AY31" s="20"/>
      <c r="AZ31" s="20"/>
      <c r="BD31" s="1180" t="s">
        <v>2456</v>
      </c>
      <c r="BE31" s="1182"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1" t="s">
        <v>2457</v>
      </c>
      <c r="BE32" s="1182">
        <f>IF(ISNUMBER(Application!W473),W473,0)</f>
        <v>0</v>
      </c>
    </row>
    <row r="33" spans="1:57" ht="12.95" hidden="1" customHeight="1">
      <c r="A33" s="518" t="s">
        <v>1276</v>
      </c>
      <c r="C33" s="518"/>
      <c r="D33" s="518"/>
      <c r="E33" s="518"/>
      <c r="F33" s="518"/>
      <c r="G33" s="518"/>
      <c r="H33" s="518"/>
      <c r="I33" s="518"/>
      <c r="J33" s="518"/>
      <c r="K33" s="518"/>
      <c r="L33" s="518"/>
      <c r="M33" s="518"/>
      <c r="N33" s="518"/>
      <c r="O33" s="1352" t="s">
        <v>667</v>
      </c>
      <c r="P33" s="1352"/>
      <c r="Q33" s="1514" t="s">
        <v>2101</v>
      </c>
      <c r="R33" s="1514"/>
      <c r="S33" s="1514"/>
      <c r="T33" s="1514"/>
      <c r="U33" s="1514"/>
      <c r="V33" s="1514"/>
      <c r="W33" s="1514"/>
      <c r="X33" s="1514"/>
      <c r="Y33" s="1514"/>
      <c r="Z33" s="1514"/>
      <c r="AA33" s="1514"/>
      <c r="AB33" s="1514"/>
      <c r="AC33" s="1514"/>
      <c r="AD33" s="1514"/>
      <c r="AE33" s="1514"/>
      <c r="AF33" s="1514"/>
      <c r="AG33" s="1514"/>
      <c r="AH33" s="1514"/>
      <c r="AI33" s="1514"/>
      <c r="AJ33" s="1514"/>
      <c r="AK33" s="1514"/>
      <c r="AL33" s="1514"/>
      <c r="AM33" s="1514"/>
      <c r="AN33" s="1514"/>
      <c r="AO33" s="1514"/>
      <c r="AP33" s="1514"/>
      <c r="AQ33" s="1514"/>
      <c r="AR33" s="1514"/>
      <c r="AS33" s="1514"/>
      <c r="AT33" s="1514"/>
      <c r="AU33" s="20"/>
      <c r="AV33" s="20"/>
      <c r="AW33" s="20"/>
      <c r="AX33" s="20"/>
      <c r="AY33" s="20"/>
      <c r="BD33" s="1180" t="s">
        <v>2522</v>
      </c>
      <c r="BE33" s="1182" t="str">
        <f>Application!D220</f>
        <v>City of Los Angeles</v>
      </c>
    </row>
    <row r="34" spans="1:57" ht="12.95" hidden="1" customHeight="1">
      <c r="A34" s="1513" t="s">
        <v>2102</v>
      </c>
      <c r="B34" s="1513"/>
      <c r="C34" s="1513"/>
      <c r="D34" s="1513"/>
      <c r="E34" s="1513"/>
      <c r="F34" s="1513"/>
      <c r="G34" s="1513"/>
      <c r="H34" s="1513"/>
      <c r="I34" s="1513"/>
      <c r="J34" s="1513"/>
      <c r="K34" s="1513"/>
      <c r="L34" s="1513"/>
      <c r="M34" s="1513"/>
      <c r="N34" s="1513"/>
      <c r="O34" s="1513"/>
      <c r="P34" s="1513"/>
      <c r="Q34" s="1513"/>
      <c r="R34" s="1513"/>
      <c r="S34" s="1513"/>
      <c r="T34" s="1513"/>
      <c r="U34" s="1513"/>
      <c r="V34" s="1513"/>
      <c r="W34" s="1513"/>
      <c r="X34" s="1513"/>
      <c r="Y34" s="1513"/>
      <c r="Z34" s="1513"/>
      <c r="AA34" s="1513"/>
      <c r="AB34" s="1513"/>
      <c r="AC34" s="1513"/>
      <c r="AD34" s="1513"/>
      <c r="AE34" s="1513"/>
      <c r="AF34" s="1513"/>
      <c r="AG34" s="1513"/>
      <c r="AH34" s="1513"/>
      <c r="AI34" s="1513"/>
      <c r="AJ34" s="1513"/>
      <c r="AK34" s="1513"/>
      <c r="AL34" s="1513"/>
      <c r="AM34" s="1513"/>
      <c r="AN34" s="1513"/>
      <c r="AO34" s="1513"/>
      <c r="AP34" s="1513"/>
      <c r="AQ34" s="1513"/>
      <c r="AR34" s="1513"/>
      <c r="AS34" s="1513"/>
      <c r="AT34" s="1513"/>
      <c r="AU34" s="20"/>
      <c r="AV34" s="20"/>
      <c r="AW34" s="20"/>
      <c r="AX34" s="20"/>
      <c r="AY34" s="20"/>
      <c r="AZ34" s="20"/>
      <c r="BD34" s="1181" t="s">
        <v>2458</v>
      </c>
      <c r="BE34" s="1182" t="str">
        <f>Application!I185</f>
        <v>1081 North Vignes Street</v>
      </c>
    </row>
    <row r="35" spans="1:57" ht="12.95" hidden="1" customHeight="1">
      <c r="A35" s="1513"/>
      <c r="B35" s="1513"/>
      <c r="C35" s="1513"/>
      <c r="D35" s="1513"/>
      <c r="E35" s="1513"/>
      <c r="F35" s="1513"/>
      <c r="G35" s="1513"/>
      <c r="H35" s="1513"/>
      <c r="I35" s="1513"/>
      <c r="J35" s="1513"/>
      <c r="K35" s="1513"/>
      <c r="L35" s="1513"/>
      <c r="M35" s="1513"/>
      <c r="N35" s="1513"/>
      <c r="O35" s="1513"/>
      <c r="P35" s="1513"/>
      <c r="Q35" s="1513"/>
      <c r="R35" s="1513"/>
      <c r="S35" s="1513"/>
      <c r="T35" s="1513"/>
      <c r="U35" s="1513"/>
      <c r="V35" s="1513"/>
      <c r="W35" s="1513"/>
      <c r="X35" s="1513"/>
      <c r="Y35" s="1513"/>
      <c r="Z35" s="1513"/>
      <c r="AA35" s="1513"/>
      <c r="AB35" s="1513"/>
      <c r="AC35" s="1513"/>
      <c r="AD35" s="1513"/>
      <c r="AE35" s="1513"/>
      <c r="AF35" s="1513"/>
      <c r="AG35" s="1513"/>
      <c r="AH35" s="1513"/>
      <c r="AI35" s="1513"/>
      <c r="AJ35" s="1513"/>
      <c r="AK35" s="1513"/>
      <c r="AL35" s="1513"/>
      <c r="AM35" s="1513"/>
      <c r="AN35" s="1513"/>
      <c r="AO35" s="1513"/>
      <c r="AP35" s="1513"/>
      <c r="AQ35" s="1513"/>
      <c r="AR35" s="1513"/>
      <c r="AS35" s="1513"/>
      <c r="AT35" s="1513"/>
      <c r="AU35" s="20"/>
      <c r="AV35" s="20"/>
      <c r="AW35" s="20"/>
      <c r="AX35" s="20"/>
      <c r="AY35" s="20"/>
      <c r="AZ35" s="20"/>
      <c r="BD35" s="1180" t="s">
        <v>2459</v>
      </c>
      <c r="BE35" s="1182" t="str">
        <f>IF(Application!E187="","",Application!E187)</f>
        <v>NW corner of Vignes Street and Rosabell Street</v>
      </c>
    </row>
    <row r="36" spans="1:57" ht="12.95" hidden="1" customHeight="1">
      <c r="A36" s="1513"/>
      <c r="B36" s="1513"/>
      <c r="C36" s="1513"/>
      <c r="D36" s="1513"/>
      <c r="E36" s="1513"/>
      <c r="F36" s="1513"/>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513"/>
      <c r="AM36" s="1513"/>
      <c r="AN36" s="1513"/>
      <c r="AO36" s="1513"/>
      <c r="AP36" s="1513"/>
      <c r="AQ36" s="1513"/>
      <c r="AR36" s="1513"/>
      <c r="AS36" s="1513"/>
      <c r="AT36" s="1513"/>
      <c r="AU36" s="20"/>
      <c r="AV36" s="20"/>
      <c r="AW36" s="20"/>
      <c r="AX36" s="20"/>
      <c r="AY36" s="20"/>
      <c r="AZ36" s="20"/>
      <c r="BD36" s="1181" t="s">
        <v>2460</v>
      </c>
      <c r="BE36" s="1182" t="str">
        <f>Application!I189</f>
        <v>Los Angeles</v>
      </c>
    </row>
    <row r="37" spans="1:57" ht="12.95" hidden="1" customHeight="1">
      <c r="A37" s="1513"/>
      <c r="B37" s="1513"/>
      <c r="C37" s="1513"/>
      <c r="D37" s="1513"/>
      <c r="E37" s="151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513"/>
      <c r="AM37" s="1513"/>
      <c r="AN37" s="1513"/>
      <c r="AO37" s="1513"/>
      <c r="AP37" s="1513"/>
      <c r="AQ37" s="1513"/>
      <c r="AR37" s="1513"/>
      <c r="AS37" s="1513"/>
      <c r="AT37" s="1513"/>
      <c r="AZ37" s="20"/>
      <c r="BD37" s="1180" t="s">
        <v>2461</v>
      </c>
      <c r="BE37" s="1182" t="str">
        <f>Application!T189</f>
        <v>Los Angeles</v>
      </c>
    </row>
    <row r="38" spans="1:57" ht="12.95" hidden="1" customHeight="1">
      <c r="A38" s="3"/>
      <c r="AZ38" s="20"/>
      <c r="BD38" s="1181" t="s">
        <v>2462</v>
      </c>
      <c r="BE38" s="1182">
        <f>Application!I190</f>
        <v>90012</v>
      </c>
    </row>
    <row r="39" spans="1:57" ht="12.95" customHeight="1">
      <c r="A39" s="1281" t="s">
        <v>2103</v>
      </c>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Z39" s="20"/>
      <c r="BD39" s="1180" t="s">
        <v>2463</v>
      </c>
      <c r="BE39" s="1182">
        <f>Application!AG446</f>
        <v>124</v>
      </c>
    </row>
    <row r="40" spans="1:57" ht="12.95" customHeight="1">
      <c r="A40" s="128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20"/>
      <c r="AV40" s="20"/>
      <c r="AW40" s="20"/>
      <c r="AX40" s="20"/>
      <c r="AY40" s="20"/>
      <c r="AZ40" s="20"/>
      <c r="BD40" s="1181" t="s">
        <v>383</v>
      </c>
      <c r="BE40" s="1182">
        <f>Application!AG449</f>
        <v>122</v>
      </c>
    </row>
    <row r="41" spans="1:57" ht="12.95" customHeight="1">
      <c r="A41" s="128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20"/>
      <c r="AV41" s="20"/>
      <c r="AW41" s="20"/>
      <c r="AX41" s="20"/>
      <c r="AY41" s="20"/>
      <c r="AZ41" s="20"/>
      <c r="BD41" s="1180" t="s">
        <v>286</v>
      </c>
      <c r="BE41" s="1182">
        <f>Application!AG447</f>
        <v>0</v>
      </c>
    </row>
    <row r="42" spans="1:57" ht="12.95" customHeight="1">
      <c r="A42" s="128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Z42" s="20"/>
      <c r="BD42" s="1181" t="s">
        <v>2464</v>
      </c>
      <c r="BE42" s="1184">
        <f>Application!AC761</f>
        <v>0.49918032786885241</v>
      </c>
    </row>
    <row r="43" spans="1:57" ht="12.95" customHeight="1">
      <c r="A43" s="128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20"/>
      <c r="AV43" s="20"/>
      <c r="AW43" s="20"/>
      <c r="AX43" s="20"/>
      <c r="AY43" s="20"/>
      <c r="AZ43" s="20"/>
      <c r="BD43" s="1180" t="s">
        <v>2465</v>
      </c>
      <c r="BE43" s="1184">
        <f>Application!AH761</f>
        <v>0.48401034090515932</v>
      </c>
    </row>
    <row r="44" spans="1:57" ht="12.95" customHeight="1">
      <c r="A44" s="128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20"/>
      <c r="AV44" s="20"/>
      <c r="AW44" s="20"/>
      <c r="AX44" s="20"/>
      <c r="AY44" s="20"/>
      <c r="AZ44" s="20"/>
      <c r="BD44" s="1181" t="s">
        <v>2466</v>
      </c>
      <c r="BE44" s="1182">
        <f>Application!AC463</f>
        <v>867319.79032258061</v>
      </c>
    </row>
    <row r="45" spans="1:57" ht="12.95"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0" t="s">
        <v>2467</v>
      </c>
      <c r="BE45" s="1182">
        <f>Application!AE433</f>
        <v>1</v>
      </c>
    </row>
    <row r="46" spans="1:57" ht="12.95" customHeight="1">
      <c r="A46" s="1314" t="s">
        <v>2104</v>
      </c>
      <c r="B46" s="1314"/>
      <c r="C46" s="1314"/>
      <c r="D46" s="1314"/>
      <c r="E46" s="1314"/>
      <c r="F46" s="1314"/>
      <c r="G46" s="1314"/>
      <c r="H46" s="1314"/>
      <c r="I46" s="1314"/>
      <c r="J46" s="1314"/>
      <c r="K46" s="1314"/>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20"/>
      <c r="AV46" s="20"/>
      <c r="AW46" s="20"/>
      <c r="AX46" s="20"/>
      <c r="AY46" s="20"/>
      <c r="AZ46" s="20"/>
      <c r="BD46" s="1181" t="s">
        <v>2468</v>
      </c>
      <c r="BE46" s="1182" t="b">
        <f>Application!T195="Yes"</f>
        <v>1</v>
      </c>
    </row>
    <row r="47" spans="1:57" ht="12.95" customHeight="1">
      <c r="A47" s="1314"/>
      <c r="B47" s="1314"/>
      <c r="C47" s="1314"/>
      <c r="D47" s="1314"/>
      <c r="E47" s="1314"/>
      <c r="F47" s="1314"/>
      <c r="G47" s="1314"/>
      <c r="H47" s="1314"/>
      <c r="I47" s="1314"/>
      <c r="J47" s="1314"/>
      <c r="K47" s="1314"/>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20"/>
      <c r="AV47" s="20"/>
      <c r="AW47" s="20"/>
      <c r="AX47" s="20"/>
      <c r="AY47" s="20"/>
      <c r="AZ47" s="20"/>
      <c r="BD47" s="1180" t="s">
        <v>2469</v>
      </c>
      <c r="BE47" s="1182" t="b">
        <f>Application!T196="Yes"</f>
        <v>0</v>
      </c>
    </row>
    <row r="48" spans="1:57" ht="12.95" customHeight="1">
      <c r="A48" s="1314"/>
      <c r="B48" s="1314"/>
      <c r="C48" s="1314"/>
      <c r="D48" s="1314"/>
      <c r="E48" s="1314"/>
      <c r="F48" s="1314"/>
      <c r="G48" s="1314"/>
      <c r="H48" s="1314"/>
      <c r="I48" s="1314"/>
      <c r="J48" s="1314"/>
      <c r="K48" s="1314"/>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20"/>
      <c r="AV48" s="20"/>
      <c r="AW48" s="20"/>
      <c r="AX48" s="20"/>
      <c r="AY48" s="20"/>
      <c r="AZ48" s="20"/>
      <c r="BD48" s="1181" t="s">
        <v>2470</v>
      </c>
      <c r="BE48" s="1182" t="str">
        <f>Application!M252</f>
        <v>Linc Ross LLC</v>
      </c>
    </row>
    <row r="49" spans="1:57" ht="12.95" customHeight="1">
      <c r="A49" s="1314"/>
      <c r="B49" s="1314"/>
      <c r="C49" s="1314"/>
      <c r="D49" s="1314"/>
      <c r="E49" s="1314"/>
      <c r="F49" s="1314"/>
      <c r="G49" s="1314"/>
      <c r="H49" s="1314"/>
      <c r="I49" s="1314"/>
      <c r="J49" s="1314"/>
      <c r="K49" s="1314"/>
      <c r="L49" s="1314"/>
      <c r="M49" s="1314"/>
      <c r="N49" s="1314"/>
      <c r="O49" s="1314"/>
      <c r="P49" s="1314"/>
      <c r="Q49" s="1314"/>
      <c r="R49" s="1314"/>
      <c r="S49" s="1314"/>
      <c r="T49" s="1314"/>
      <c r="U49" s="1314"/>
      <c r="V49" s="1314"/>
      <c r="W49" s="1314"/>
      <c r="X49" s="1314"/>
      <c r="Y49" s="1314"/>
      <c r="Z49" s="1314"/>
      <c r="AA49" s="1314"/>
      <c r="AB49" s="1314"/>
      <c r="AC49" s="1314"/>
      <c r="AD49" s="1314"/>
      <c r="AE49" s="1314"/>
      <c r="AF49" s="1314"/>
      <c r="AG49" s="1314"/>
      <c r="AH49" s="1314"/>
      <c r="AI49" s="1314"/>
      <c r="AJ49" s="1314"/>
      <c r="AK49" s="1314"/>
      <c r="AL49" s="1314"/>
      <c r="AM49" s="1314"/>
      <c r="AN49" s="1314"/>
      <c r="AO49" s="1314"/>
      <c r="AP49" s="1314"/>
      <c r="AQ49" s="1314"/>
      <c r="AR49" s="1314"/>
      <c r="AS49" s="1314"/>
      <c r="AT49" s="1314"/>
      <c r="AU49" s="20"/>
      <c r="AV49" s="20"/>
      <c r="AW49" s="20"/>
      <c r="AX49" s="20"/>
      <c r="AY49" s="20"/>
      <c r="AZ49" s="20"/>
      <c r="BD49" s="1180" t="s">
        <v>2471</v>
      </c>
      <c r="BE49" s="1182" t="str">
        <f>Application!M255</f>
        <v xml:space="preserve">Cecilia Ngo </v>
      </c>
    </row>
    <row r="50" spans="1:57" ht="12.95"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181" t="s">
        <v>2472</v>
      </c>
      <c r="BE50" s="1182" t="str">
        <f>Application!AA258</f>
        <v>Linc Housing Corporation</v>
      </c>
    </row>
    <row r="51" spans="1:57" ht="12.95" customHeight="1">
      <c r="A51" s="1281" t="s">
        <v>2105</v>
      </c>
      <c r="B51" s="1281"/>
      <c r="C51" s="1281"/>
      <c r="D51" s="1281"/>
      <c r="E51" s="1281"/>
      <c r="F51" s="1281"/>
      <c r="G51" s="1281"/>
      <c r="H51" s="1281"/>
      <c r="I51" s="1281"/>
      <c r="J51" s="1281"/>
      <c r="K51" s="1281"/>
      <c r="L51" s="1281"/>
      <c r="M51" s="1281"/>
      <c r="N51" s="1281"/>
      <c r="O51" s="1281"/>
      <c r="P51" s="1281"/>
      <c r="Q51" s="1281"/>
      <c r="R51" s="1281"/>
      <c r="S51" s="1281"/>
      <c r="T51" s="1281"/>
      <c r="U51" s="1281"/>
      <c r="V51" s="1281"/>
      <c r="W51" s="1281"/>
      <c r="X51" s="1281"/>
      <c r="Y51" s="1281"/>
      <c r="Z51" s="1281"/>
      <c r="AA51" s="1281"/>
      <c r="AB51" s="1281"/>
      <c r="AC51" s="1281"/>
      <c r="AD51" s="1281"/>
      <c r="AE51" s="1281"/>
      <c r="AF51" s="1281"/>
      <c r="AG51" s="1281"/>
      <c r="AH51" s="1281"/>
      <c r="AI51" s="1281"/>
      <c r="AJ51" s="1281"/>
      <c r="AK51" s="1281"/>
      <c r="AL51" s="1281"/>
      <c r="AM51" s="1281"/>
      <c r="AN51" s="1281"/>
      <c r="AO51" s="1281"/>
      <c r="AP51" s="1281"/>
      <c r="AQ51" s="1281"/>
      <c r="AR51" s="1281"/>
      <c r="AS51" s="1281"/>
      <c r="AT51" s="1281"/>
      <c r="AU51" s="20"/>
      <c r="AV51" s="20"/>
      <c r="AW51" s="20"/>
      <c r="AX51" s="20"/>
      <c r="AY51" s="20"/>
      <c r="AZ51" s="20"/>
      <c r="BD51" s="1180" t="s">
        <v>2473</v>
      </c>
      <c r="BE51" s="1182" t="str">
        <f>Application!M260</f>
        <v>N/A</v>
      </c>
    </row>
    <row r="52" spans="1:57" ht="12.95" customHeight="1">
      <c r="A52" s="1281"/>
      <c r="B52" s="1281"/>
      <c r="C52" s="1281"/>
      <c r="D52" s="1281"/>
      <c r="E52" s="1281"/>
      <c r="F52" s="1281"/>
      <c r="G52" s="1281"/>
      <c r="H52" s="1281"/>
      <c r="I52" s="1281"/>
      <c r="J52" s="1281"/>
      <c r="K52" s="1281"/>
      <c r="L52" s="1281"/>
      <c r="M52" s="1281"/>
      <c r="N52" s="1281"/>
      <c r="O52" s="1281"/>
      <c r="P52" s="1281"/>
      <c r="Q52" s="1281"/>
      <c r="R52" s="1281"/>
      <c r="S52" s="1281"/>
      <c r="T52" s="1281"/>
      <c r="U52" s="1281"/>
      <c r="V52" s="1281"/>
      <c r="W52" s="1281"/>
      <c r="X52" s="1281"/>
      <c r="Y52" s="1281"/>
      <c r="Z52" s="1281"/>
      <c r="AA52" s="1281"/>
      <c r="AB52" s="1281"/>
      <c r="AC52" s="1281"/>
      <c r="AD52" s="1281"/>
      <c r="AE52" s="1281"/>
      <c r="AF52" s="1281"/>
      <c r="AG52" s="1281"/>
      <c r="AH52" s="1281"/>
      <c r="AI52" s="1281"/>
      <c r="AJ52" s="1281"/>
      <c r="AK52" s="1281"/>
      <c r="AL52" s="1281"/>
      <c r="AM52" s="1281"/>
      <c r="AN52" s="1281"/>
      <c r="AO52" s="1281"/>
      <c r="AP52" s="1281"/>
      <c r="AQ52" s="1281"/>
      <c r="AR52" s="1281"/>
      <c r="AS52" s="1281"/>
      <c r="AT52" s="1281"/>
      <c r="AU52" s="20"/>
      <c r="AV52" s="20"/>
      <c r="AW52" s="20"/>
      <c r="AX52" s="20"/>
      <c r="AY52" s="20"/>
      <c r="AZ52" s="20"/>
      <c r="BD52" s="1181" t="s">
        <v>2474</v>
      </c>
      <c r="BE52" s="1182" t="str">
        <f>Application!M263</f>
        <v>N/A</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0" t="s">
        <v>2475</v>
      </c>
      <c r="BE53" s="1182" t="str">
        <f>Application!AA266</f>
        <v>N/A</v>
      </c>
    </row>
    <row r="54" spans="1:57" ht="12.95" customHeight="1">
      <c r="A54" s="1281" t="s">
        <v>2106</v>
      </c>
      <c r="B54" s="1281"/>
      <c r="C54" s="1281"/>
      <c r="D54" s="1281"/>
      <c r="E54" s="1281"/>
      <c r="F54" s="1281"/>
      <c r="G54" s="1281"/>
      <c r="H54" s="1281"/>
      <c r="I54" s="1281"/>
      <c r="J54" s="1281"/>
      <c r="K54" s="1281"/>
      <c r="L54" s="1281"/>
      <c r="M54" s="1281"/>
      <c r="N54" s="1281"/>
      <c r="O54" s="1281"/>
      <c r="P54" s="1281"/>
      <c r="Q54" s="1281"/>
      <c r="R54" s="1281"/>
      <c r="S54" s="1281"/>
      <c r="T54" s="1281"/>
      <c r="U54" s="1281"/>
      <c r="V54" s="1281"/>
      <c r="W54" s="1281"/>
      <c r="X54" s="1281"/>
      <c r="Y54" s="1281"/>
      <c r="Z54" s="1281"/>
      <c r="AA54" s="1281"/>
      <c r="AB54" s="1281"/>
      <c r="AC54" s="1281"/>
      <c r="AD54" s="1281"/>
      <c r="AE54" s="1281"/>
      <c r="AF54" s="1281"/>
      <c r="AG54" s="1281"/>
      <c r="AH54" s="1281"/>
      <c r="AI54" s="1281"/>
      <c r="AJ54" s="1281"/>
      <c r="AK54" s="1281"/>
      <c r="AL54" s="1281"/>
      <c r="AM54" s="1281"/>
      <c r="AN54" s="1281"/>
      <c r="AO54" s="1281"/>
      <c r="AP54" s="1281"/>
      <c r="AQ54" s="1281"/>
      <c r="AR54" s="1281"/>
      <c r="AS54" s="1281"/>
      <c r="AT54" s="1281"/>
      <c r="AU54" s="20"/>
      <c r="AV54" s="20"/>
      <c r="AW54" s="20"/>
      <c r="AX54" s="20"/>
      <c r="AY54" s="20"/>
      <c r="AZ54" s="21"/>
      <c r="BD54" s="1181" t="s">
        <v>2476</v>
      </c>
      <c r="BE54" s="1182" t="str">
        <f>Application!M268</f>
        <v>N/A</v>
      </c>
    </row>
    <row r="55" spans="1:57" ht="12.95" customHeight="1">
      <c r="A55" s="1281"/>
      <c r="B55" s="1281"/>
      <c r="C55" s="1281"/>
      <c r="D55" s="1281"/>
      <c r="E55" s="1281"/>
      <c r="F55" s="1281"/>
      <c r="G55" s="1281"/>
      <c r="H55" s="1281"/>
      <c r="I55" s="1281"/>
      <c r="J55" s="1281"/>
      <c r="K55" s="1281"/>
      <c r="L55" s="1281"/>
      <c r="M55" s="1281"/>
      <c r="N55" s="1281"/>
      <c r="O55" s="1281"/>
      <c r="P55" s="1281"/>
      <c r="Q55" s="1281"/>
      <c r="R55" s="1281"/>
      <c r="S55" s="1281"/>
      <c r="T55" s="1281"/>
      <c r="U55" s="1281"/>
      <c r="V55" s="1281"/>
      <c r="W55" s="1281"/>
      <c r="X55" s="1281"/>
      <c r="Y55" s="1281"/>
      <c r="Z55" s="1281"/>
      <c r="AA55" s="1281"/>
      <c r="AB55" s="1281"/>
      <c r="AC55" s="1281"/>
      <c r="AD55" s="1281"/>
      <c r="AE55" s="1281"/>
      <c r="AF55" s="1281"/>
      <c r="AG55" s="1281"/>
      <c r="AH55" s="1281"/>
      <c r="AI55" s="1281"/>
      <c r="AJ55" s="1281"/>
      <c r="AK55" s="1281"/>
      <c r="AL55" s="1281"/>
      <c r="AM55" s="1281"/>
      <c r="AN55" s="1281"/>
      <c r="AO55" s="1281"/>
      <c r="AP55" s="1281"/>
      <c r="AQ55" s="1281"/>
      <c r="AR55" s="1281"/>
      <c r="AS55" s="1281"/>
      <c r="AT55" s="1281"/>
      <c r="AZ55" s="21"/>
      <c r="BD55" s="1180" t="s">
        <v>2477</v>
      </c>
      <c r="BE55" s="1182" t="str">
        <f>Application!M271</f>
        <v>N/A</v>
      </c>
    </row>
    <row r="56" spans="1:57" ht="12.95" customHeight="1">
      <c r="A56" s="1281"/>
      <c r="B56" s="1281"/>
      <c r="C56" s="1281"/>
      <c r="D56" s="1281"/>
      <c r="E56" s="1281"/>
      <c r="F56" s="1281"/>
      <c r="G56" s="1281"/>
      <c r="H56" s="1281"/>
      <c r="I56" s="1281"/>
      <c r="J56" s="1281"/>
      <c r="K56" s="1281"/>
      <c r="L56" s="1281"/>
      <c r="M56" s="1281"/>
      <c r="N56" s="1281"/>
      <c r="O56" s="1281"/>
      <c r="P56" s="1281"/>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1"/>
      <c r="AT56" s="1281"/>
      <c r="BD56" s="1181" t="s">
        <v>2478</v>
      </c>
      <c r="BE56" s="1182" t="str">
        <f>Application!AA274</f>
        <v>N/A</v>
      </c>
    </row>
    <row r="57" spans="1:57" ht="12.95" customHeight="1">
      <c r="A57" s="128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BD57" s="1180" t="s">
        <v>2479</v>
      </c>
      <c r="BE57" s="1182" t="str">
        <f>Application!H296</f>
        <v>Linc Housing Corporation</v>
      </c>
    </row>
    <row r="58" spans="1:57" ht="12.95" customHeight="1">
      <c r="A58" s="128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BD58" s="1181" t="s">
        <v>2480</v>
      </c>
      <c r="BE58" s="1182" t="str">
        <f>Application!H297</f>
        <v>3590 Elm Avenue</v>
      </c>
    </row>
    <row r="59" spans="1:57" ht="12.95"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0" t="s">
        <v>2481</v>
      </c>
      <c r="BE59" s="1182" t="str">
        <f>Application!H298</f>
        <v>Long Beach, CA 90807</v>
      </c>
    </row>
    <row r="60" spans="1:57" ht="12.95" customHeight="1">
      <c r="A60" s="1281" t="s">
        <v>2107</v>
      </c>
      <c r="B60" s="1281"/>
      <c r="C60" s="1281"/>
      <c r="D60" s="1281"/>
      <c r="E60" s="1281"/>
      <c r="F60" s="1281"/>
      <c r="G60" s="1281"/>
      <c r="H60" s="1281"/>
      <c r="I60" s="1281"/>
      <c r="J60" s="1281"/>
      <c r="K60" s="1281"/>
      <c r="L60" s="1281"/>
      <c r="M60" s="1281"/>
      <c r="N60" s="1281"/>
      <c r="O60" s="1281"/>
      <c r="P60" s="1281"/>
      <c r="Q60" s="1281"/>
      <c r="R60" s="1281"/>
      <c r="S60" s="1281"/>
      <c r="T60" s="1281"/>
      <c r="U60" s="1281"/>
      <c r="V60" s="1281"/>
      <c r="W60" s="1281"/>
      <c r="X60" s="1281"/>
      <c r="Y60" s="1281"/>
      <c r="Z60" s="1281"/>
      <c r="AA60" s="1281"/>
      <c r="AB60" s="1281"/>
      <c r="AC60" s="1281"/>
      <c r="AD60" s="1281"/>
      <c r="AE60" s="1281"/>
      <c r="AF60" s="1281"/>
      <c r="AG60" s="1281"/>
      <c r="AH60" s="1281"/>
      <c r="AI60" s="1281"/>
      <c r="AJ60" s="1281"/>
      <c r="AK60" s="1281"/>
      <c r="AL60" s="1281"/>
      <c r="AM60" s="1281"/>
      <c r="AN60" s="1281"/>
      <c r="AO60" s="1281"/>
      <c r="AP60" s="1281"/>
      <c r="AQ60" s="1281"/>
      <c r="AR60" s="1281"/>
      <c r="AS60" s="1281"/>
      <c r="AT60" s="1281"/>
      <c r="AU60" s="20"/>
      <c r="AV60" s="20"/>
      <c r="AW60" s="20"/>
      <c r="AX60" s="20"/>
      <c r="AY60" s="20"/>
      <c r="AZ60" s="20"/>
      <c r="BD60" s="1181" t="s">
        <v>2482</v>
      </c>
      <c r="BE60" s="1182" t="str">
        <f>Application!H299</f>
        <v>Cecilia Ngo</v>
      </c>
    </row>
    <row r="61" spans="1:57" ht="12.95" customHeight="1">
      <c r="A61" s="1281"/>
      <c r="B61" s="1281"/>
      <c r="C61" s="1281"/>
      <c r="D61" s="1281"/>
      <c r="E61" s="1281"/>
      <c r="F61" s="1281"/>
      <c r="G61" s="1281"/>
      <c r="H61" s="1281"/>
      <c r="I61" s="1281"/>
      <c r="J61" s="1281"/>
      <c r="K61" s="1281"/>
      <c r="L61" s="1281"/>
      <c r="M61" s="1281"/>
      <c r="N61" s="1281"/>
      <c r="O61" s="1281"/>
      <c r="P61" s="1281"/>
      <c r="Q61" s="1281"/>
      <c r="R61" s="1281"/>
      <c r="S61" s="1281"/>
      <c r="T61" s="1281"/>
      <c r="U61" s="1281"/>
      <c r="V61" s="1281"/>
      <c r="W61" s="1281"/>
      <c r="X61" s="1281"/>
      <c r="Y61" s="1281"/>
      <c r="Z61" s="1281"/>
      <c r="AA61" s="1281"/>
      <c r="AB61" s="1281"/>
      <c r="AC61" s="1281"/>
      <c r="AD61" s="1281"/>
      <c r="AE61" s="1281"/>
      <c r="AF61" s="1281"/>
      <c r="AG61" s="1281"/>
      <c r="AH61" s="1281"/>
      <c r="AI61" s="1281"/>
      <c r="AJ61" s="1281"/>
      <c r="AK61" s="1281"/>
      <c r="AL61" s="1281"/>
      <c r="AM61" s="1281"/>
      <c r="AN61" s="1281"/>
      <c r="AO61" s="1281"/>
      <c r="AP61" s="1281"/>
      <c r="AQ61" s="1281"/>
      <c r="AR61" s="1281"/>
      <c r="AS61" s="1281"/>
      <c r="AT61" s="1281"/>
      <c r="AU61" s="20"/>
      <c r="AV61" s="20"/>
      <c r="AW61" s="20"/>
      <c r="AX61" s="20"/>
      <c r="AY61" s="20"/>
      <c r="AZ61" s="20"/>
      <c r="BD61" s="1180" t="s">
        <v>2483</v>
      </c>
      <c r="BE61" s="1182" t="str">
        <f>Application!H302</f>
        <v>cngo@linchousing.org</v>
      </c>
    </row>
    <row r="62" spans="1:57" ht="12.95"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1" t="s">
        <v>2484</v>
      </c>
      <c r="BE62" s="1185">
        <f>'Basis &amp; Credits'!AB50</f>
        <v>0.84297870479975001</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0" t="s">
        <v>1248</v>
      </c>
      <c r="BE63" s="1185">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1" t="s">
        <v>2485</v>
      </c>
      <c r="BE64" s="1182" t="b">
        <f>Application!X180="Yes"</f>
        <v>0</v>
      </c>
    </row>
    <row r="65" spans="1:57" ht="12.95" customHeight="1">
      <c r="A65" s="1491" t="s">
        <v>2109</v>
      </c>
      <c r="B65" s="1491"/>
      <c r="C65" s="1491"/>
      <c r="D65" s="1491"/>
      <c r="E65" s="1491"/>
      <c r="F65" s="1491"/>
      <c r="G65" s="1491"/>
      <c r="H65" s="1491"/>
      <c r="I65" s="1491"/>
      <c r="J65" s="1491"/>
      <c r="K65" s="1491"/>
      <c r="L65" s="1491"/>
      <c r="M65" s="1491"/>
      <c r="N65" s="1491"/>
      <c r="O65" s="1491"/>
      <c r="P65" s="1491"/>
      <c r="Q65" s="1491"/>
      <c r="R65" s="1491"/>
      <c r="S65" s="1491"/>
      <c r="T65" s="1491"/>
      <c r="U65" s="1491"/>
      <c r="V65" s="1491"/>
      <c r="W65" s="1491"/>
      <c r="X65" s="1491"/>
      <c r="Y65" s="1491"/>
      <c r="Z65" s="1491"/>
      <c r="AA65" s="1491"/>
      <c r="AB65" s="1491"/>
      <c r="AC65" s="1491"/>
      <c r="AD65" s="1491"/>
      <c r="AE65" s="1491"/>
      <c r="AF65" s="1491"/>
      <c r="AG65" s="1491"/>
      <c r="AH65" s="1491"/>
      <c r="AI65" s="1491"/>
      <c r="AJ65" s="1491"/>
      <c r="AK65" s="1491"/>
      <c r="AL65" s="1491"/>
      <c r="AM65" s="1491"/>
      <c r="AN65" s="1491"/>
      <c r="AO65" s="1491"/>
      <c r="AP65" s="1491"/>
      <c r="AQ65" s="1491"/>
      <c r="AR65" s="1491"/>
      <c r="AS65" s="1491"/>
      <c r="AT65" s="1491"/>
      <c r="AU65" s="21"/>
      <c r="AV65" s="21"/>
      <c r="AW65" s="21"/>
      <c r="AX65" s="21"/>
      <c r="AY65" s="21"/>
      <c r="AZ65" s="20"/>
      <c r="BD65" s="1180" t="s">
        <v>2519</v>
      </c>
      <c r="BE65" s="1182" t="str">
        <f>Z205</f>
        <v>(select)</v>
      </c>
    </row>
    <row r="66" spans="1:57" ht="12.95" customHeight="1">
      <c r="A66" s="1491"/>
      <c r="B66" s="1491"/>
      <c r="C66" s="1491"/>
      <c r="D66" s="1491"/>
      <c r="E66" s="1491"/>
      <c r="F66" s="1491"/>
      <c r="G66" s="1491"/>
      <c r="H66" s="1491"/>
      <c r="I66" s="1491"/>
      <c r="J66" s="1491"/>
      <c r="K66" s="1491"/>
      <c r="L66" s="1491"/>
      <c r="M66" s="1491"/>
      <c r="N66" s="1491"/>
      <c r="O66" s="1491"/>
      <c r="P66" s="1491"/>
      <c r="Q66" s="1491"/>
      <c r="R66" s="1491"/>
      <c r="S66" s="1491"/>
      <c r="T66" s="1491"/>
      <c r="U66" s="1491"/>
      <c r="V66" s="1491"/>
      <c r="W66" s="1491"/>
      <c r="X66" s="1491"/>
      <c r="Y66" s="1491"/>
      <c r="Z66" s="1491"/>
      <c r="AA66" s="1491"/>
      <c r="AB66" s="1491"/>
      <c r="AC66" s="1491"/>
      <c r="AD66" s="1491"/>
      <c r="AE66" s="1491"/>
      <c r="AF66" s="1491"/>
      <c r="AG66" s="1491"/>
      <c r="AH66" s="1491"/>
      <c r="AI66" s="1491"/>
      <c r="AJ66" s="1491"/>
      <c r="AK66" s="1491"/>
      <c r="AL66" s="1491"/>
      <c r="AM66" s="1491"/>
      <c r="AN66" s="1491"/>
      <c r="AO66" s="1491"/>
      <c r="AP66" s="1491"/>
      <c r="AQ66" s="1491"/>
      <c r="AR66" s="1491"/>
      <c r="AS66" s="1491"/>
      <c r="AT66" s="1491"/>
      <c r="AU66" s="21"/>
      <c r="AV66" s="21"/>
      <c r="AW66" s="21"/>
      <c r="AX66" s="21"/>
      <c r="AY66" s="21"/>
      <c r="AZ66" s="20"/>
      <c r="BD66" s="1181" t="s">
        <v>2486</v>
      </c>
      <c r="BE66" s="1182" t="b">
        <f>Application!Z205="State Farmworker Credit"</f>
        <v>0</v>
      </c>
    </row>
    <row r="67" spans="1:57" ht="12.95" customHeight="1">
      <c r="A67" s="1491"/>
      <c r="B67" s="1491"/>
      <c r="C67" s="1491"/>
      <c r="D67" s="1491"/>
      <c r="E67" s="1491"/>
      <c r="F67" s="1491"/>
      <c r="G67" s="1491"/>
      <c r="H67" s="1491"/>
      <c r="I67" s="1491"/>
      <c r="J67" s="1491"/>
      <c r="K67" s="1491"/>
      <c r="L67" s="1491"/>
      <c r="M67" s="1491"/>
      <c r="N67" s="1491"/>
      <c r="O67" s="1491"/>
      <c r="P67" s="1491"/>
      <c r="Q67" s="1491"/>
      <c r="R67" s="1491"/>
      <c r="S67" s="1491"/>
      <c r="T67" s="1491"/>
      <c r="U67" s="1491"/>
      <c r="V67" s="1491"/>
      <c r="W67" s="1491"/>
      <c r="X67" s="1491"/>
      <c r="Y67" s="1491"/>
      <c r="Z67" s="1491"/>
      <c r="AA67" s="1491"/>
      <c r="AB67" s="1491"/>
      <c r="AC67" s="1491"/>
      <c r="AD67" s="1491"/>
      <c r="AE67" s="1491"/>
      <c r="AF67" s="1491"/>
      <c r="AG67" s="1491"/>
      <c r="AH67" s="1491"/>
      <c r="AI67" s="1491"/>
      <c r="AJ67" s="1491"/>
      <c r="AK67" s="1491"/>
      <c r="AL67" s="1491"/>
      <c r="AM67" s="1491"/>
      <c r="AN67" s="1491"/>
      <c r="AO67" s="1491"/>
      <c r="AP67" s="1491"/>
      <c r="AQ67" s="1491"/>
      <c r="AR67" s="1491"/>
      <c r="AS67" s="1491"/>
      <c r="AT67" s="1491"/>
      <c r="AZ67" s="20"/>
      <c r="BD67" s="1180" t="s">
        <v>2487</v>
      </c>
      <c r="BE67" s="1182"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1" t="s">
        <v>2488</v>
      </c>
      <c r="BE68" s="1182">
        <f>'Sources and Uses Budget'!D105</f>
        <v>3148364</v>
      </c>
    </row>
    <row r="69" spans="1:57" ht="12.95" customHeight="1">
      <c r="A69" s="1491" t="s">
        <v>2110</v>
      </c>
      <c r="B69" s="1491"/>
      <c r="C69" s="1491"/>
      <c r="D69" s="1491"/>
      <c r="E69" s="1491"/>
      <c r="F69" s="1491"/>
      <c r="G69" s="1491"/>
      <c r="H69" s="1491"/>
      <c r="I69" s="1491"/>
      <c r="J69" s="1491"/>
      <c r="K69" s="1491"/>
      <c r="L69" s="1491"/>
      <c r="M69" s="1491"/>
      <c r="N69" s="1491"/>
      <c r="O69" s="1491"/>
      <c r="P69" s="1491"/>
      <c r="Q69" s="1491"/>
      <c r="R69" s="1491"/>
      <c r="S69" s="1491"/>
      <c r="T69" s="1491"/>
      <c r="U69" s="1491"/>
      <c r="V69" s="1491"/>
      <c r="W69" s="1491"/>
      <c r="X69" s="1491"/>
      <c r="Y69" s="1491"/>
      <c r="Z69" s="1491"/>
      <c r="AA69" s="1491"/>
      <c r="AB69" s="1491"/>
      <c r="AC69" s="1491"/>
      <c r="AD69" s="1491"/>
      <c r="AE69" s="1491"/>
      <c r="AF69" s="1491"/>
      <c r="AG69" s="1491"/>
      <c r="AH69" s="1491"/>
      <c r="AI69" s="1491"/>
      <c r="AJ69" s="1491"/>
      <c r="AK69" s="1491"/>
      <c r="AL69" s="1491"/>
      <c r="AM69" s="1491"/>
      <c r="AN69" s="1491"/>
      <c r="AO69" s="1491"/>
      <c r="AP69" s="1491"/>
      <c r="AQ69" s="1491"/>
      <c r="AR69" s="1491"/>
      <c r="AS69" s="1491"/>
      <c r="AT69" s="1491"/>
      <c r="AZ69" s="20"/>
      <c r="BD69" s="1180" t="s">
        <v>2489</v>
      </c>
      <c r="BE69" s="1182" t="str">
        <f>Application!W708</f>
        <v>Los Angeles Housing Department</v>
      </c>
    </row>
    <row r="70" spans="1:57" ht="12.95" customHeight="1">
      <c r="A70" s="1491"/>
      <c r="B70" s="1491"/>
      <c r="C70" s="1491"/>
      <c r="D70" s="1491"/>
      <c r="E70" s="1491"/>
      <c r="F70" s="1491"/>
      <c r="G70" s="1491"/>
      <c r="H70" s="1491"/>
      <c r="I70" s="1491"/>
      <c r="J70" s="1491"/>
      <c r="K70" s="1491"/>
      <c r="L70" s="1491"/>
      <c r="M70" s="1491"/>
      <c r="N70" s="1491"/>
      <c r="O70" s="1491"/>
      <c r="P70" s="1491"/>
      <c r="Q70" s="1491"/>
      <c r="R70" s="1491"/>
      <c r="S70" s="1491"/>
      <c r="T70" s="1491"/>
      <c r="U70" s="1491"/>
      <c r="V70" s="1491"/>
      <c r="W70" s="1491"/>
      <c r="X70" s="1491"/>
      <c r="Y70" s="1491"/>
      <c r="Z70" s="1491"/>
      <c r="AA70" s="1491"/>
      <c r="AB70" s="1491"/>
      <c r="AC70" s="1491"/>
      <c r="AD70" s="1491"/>
      <c r="AE70" s="1491"/>
      <c r="AF70" s="1491"/>
      <c r="AG70" s="1491"/>
      <c r="AH70" s="1491"/>
      <c r="AI70" s="1491"/>
      <c r="AJ70" s="1491"/>
      <c r="AK70" s="1491"/>
      <c r="AL70" s="1491"/>
      <c r="AM70" s="1491"/>
      <c r="AN70" s="1491"/>
      <c r="AO70" s="1491"/>
      <c r="AP70" s="1491"/>
      <c r="AQ70" s="1491"/>
      <c r="AR70" s="1491"/>
      <c r="AS70" s="1491"/>
      <c r="AT70" s="1491"/>
      <c r="AU70" s="20"/>
      <c r="AV70" s="20"/>
      <c r="AW70" s="20"/>
      <c r="AX70" s="20"/>
      <c r="AY70" s="20"/>
      <c r="AZ70" s="20"/>
      <c r="BD70" s="1181" t="s">
        <v>2490</v>
      </c>
      <c r="BE70" s="1182">
        <f ca="1">'Points System'!AF843</f>
        <v>111</v>
      </c>
    </row>
    <row r="71" spans="1:57" ht="12.95"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0" t="s">
        <v>2615</v>
      </c>
      <c r="BE71" s="1182">
        <f>'Points System'!AF826</f>
        <v>0</v>
      </c>
    </row>
    <row r="72" spans="1:57" ht="12.95" customHeight="1">
      <c r="A72" s="1513" t="s">
        <v>2111</v>
      </c>
      <c r="B72" s="1513"/>
      <c r="C72" s="1513"/>
      <c r="D72" s="1513"/>
      <c r="E72" s="1513"/>
      <c r="F72" s="1513"/>
      <c r="G72" s="1513"/>
      <c r="H72" s="1513"/>
      <c r="I72" s="1513"/>
      <c r="J72" s="1513"/>
      <c r="K72" s="1513"/>
      <c r="L72" s="1513"/>
      <c r="M72" s="1513"/>
      <c r="N72" s="1513"/>
      <c r="O72" s="1513"/>
      <c r="P72" s="1513"/>
      <c r="Q72" s="1513"/>
      <c r="R72" s="1513"/>
      <c r="S72" s="1513"/>
      <c r="T72" s="1513"/>
      <c r="U72" s="1513"/>
      <c r="V72" s="1513"/>
      <c r="W72" s="1513"/>
      <c r="X72" s="1513"/>
      <c r="Y72" s="1513"/>
      <c r="Z72" s="1513"/>
      <c r="AA72" s="1513"/>
      <c r="AB72" s="1513"/>
      <c r="AC72" s="1513"/>
      <c r="AD72" s="1513"/>
      <c r="AE72" s="1513"/>
      <c r="AF72" s="1513"/>
      <c r="AG72" s="1513"/>
      <c r="AH72" s="1513"/>
      <c r="AI72" s="1513"/>
      <c r="AJ72" s="1513"/>
      <c r="AK72" s="1513"/>
      <c r="AL72" s="1513"/>
      <c r="AM72" s="1513"/>
      <c r="AN72" s="1513"/>
      <c r="AO72" s="1513"/>
      <c r="AP72" s="1513"/>
      <c r="AQ72" s="1513"/>
      <c r="AR72" s="1513"/>
      <c r="AS72" s="1513"/>
      <c r="AT72" s="1513"/>
      <c r="AU72" s="20"/>
      <c r="AV72" s="20"/>
      <c r="AW72" s="20"/>
      <c r="AX72" s="20"/>
      <c r="AY72" s="20"/>
      <c r="AZ72" s="20"/>
      <c r="BD72" s="1181" t="s">
        <v>2491</v>
      </c>
      <c r="BE72" s="1182">
        <f>'Points System'!AF827</f>
        <v>10</v>
      </c>
    </row>
    <row r="73" spans="1:57" ht="12.95" customHeight="1">
      <c r="A73" s="1513"/>
      <c r="B73" s="1513"/>
      <c r="C73" s="1513"/>
      <c r="D73" s="1513"/>
      <c r="E73" s="1513"/>
      <c r="F73" s="1513"/>
      <c r="G73" s="1513"/>
      <c r="H73" s="1513"/>
      <c r="I73" s="1513"/>
      <c r="J73" s="1513"/>
      <c r="K73" s="1513"/>
      <c r="L73" s="1513"/>
      <c r="M73" s="1513"/>
      <c r="N73" s="1513"/>
      <c r="O73" s="1513"/>
      <c r="P73" s="1513"/>
      <c r="Q73" s="1513"/>
      <c r="R73" s="1513"/>
      <c r="S73" s="1513"/>
      <c r="T73" s="1513"/>
      <c r="U73" s="1513"/>
      <c r="V73" s="1513"/>
      <c r="W73" s="1513"/>
      <c r="X73" s="1513"/>
      <c r="Y73" s="1513"/>
      <c r="Z73" s="1513"/>
      <c r="AA73" s="1513"/>
      <c r="AB73" s="1513"/>
      <c r="AC73" s="1513"/>
      <c r="AD73" s="1513"/>
      <c r="AE73" s="1513"/>
      <c r="AF73" s="1513"/>
      <c r="AG73" s="1513"/>
      <c r="AH73" s="1513"/>
      <c r="AI73" s="1513"/>
      <c r="AJ73" s="1513"/>
      <c r="AK73" s="1513"/>
      <c r="AL73" s="1513"/>
      <c r="AM73" s="1513"/>
      <c r="AN73" s="1513"/>
      <c r="AO73" s="1513"/>
      <c r="AP73" s="1513"/>
      <c r="AQ73" s="1513"/>
      <c r="AR73" s="1513"/>
      <c r="AS73" s="1513"/>
      <c r="AT73" s="1513"/>
      <c r="AU73" s="20"/>
      <c r="AV73" s="20"/>
      <c r="AW73" s="20"/>
      <c r="AX73" s="20"/>
      <c r="AY73" s="20"/>
      <c r="AZ73" s="20"/>
      <c r="BD73" s="1180" t="s">
        <v>2492</v>
      </c>
      <c r="BE73" s="1182">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1" t="s">
        <v>2493</v>
      </c>
      <c r="BE74" s="1182">
        <f>'Points System'!AF829</f>
        <v>10</v>
      </c>
    </row>
    <row r="75" spans="1:57" ht="12.95" customHeight="1">
      <c r="A75" s="1821" t="s">
        <v>2112</v>
      </c>
      <c r="B75" s="1821"/>
      <c r="C75" s="1821"/>
      <c r="D75" s="1821"/>
      <c r="E75" s="1821"/>
      <c r="F75" s="1821"/>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c r="AL75" s="1821"/>
      <c r="AM75" s="1821"/>
      <c r="AN75" s="1821"/>
      <c r="AO75" s="1821"/>
      <c r="AP75" s="1821"/>
      <c r="AQ75" s="1821"/>
      <c r="AR75" s="1821"/>
      <c r="AS75" s="1821"/>
      <c r="AT75" s="1821"/>
      <c r="AU75" s="20"/>
      <c r="AV75" s="20"/>
      <c r="AW75" s="20"/>
      <c r="AX75" s="20"/>
      <c r="AY75" s="20"/>
      <c r="AZ75" s="20"/>
      <c r="BD75" s="1180" t="s">
        <v>2494</v>
      </c>
      <c r="BE75" s="1182">
        <f>'Points System'!AF830</f>
        <v>10</v>
      </c>
    </row>
    <row r="76" spans="1:57" ht="12.95" customHeight="1">
      <c r="A76" s="1821"/>
      <c r="B76" s="1821"/>
      <c r="C76" s="1821"/>
      <c r="D76" s="1821"/>
      <c r="E76" s="1821"/>
      <c r="F76" s="1821"/>
      <c r="G76" s="1821"/>
      <c r="H76" s="1821"/>
      <c r="I76" s="1821"/>
      <c r="J76" s="1821"/>
      <c r="K76" s="1821"/>
      <c r="L76" s="1821"/>
      <c r="M76" s="1821"/>
      <c r="N76" s="1821"/>
      <c r="O76" s="1821"/>
      <c r="P76" s="1821"/>
      <c r="Q76" s="1821"/>
      <c r="R76" s="1821"/>
      <c r="S76" s="1821"/>
      <c r="T76" s="1821"/>
      <c r="U76" s="1821"/>
      <c r="V76" s="1821"/>
      <c r="W76" s="1821"/>
      <c r="X76" s="1821"/>
      <c r="Y76" s="1821"/>
      <c r="Z76" s="1821"/>
      <c r="AA76" s="1821"/>
      <c r="AB76" s="1821"/>
      <c r="AC76" s="1821"/>
      <c r="AD76" s="1821"/>
      <c r="AE76" s="1821"/>
      <c r="AF76" s="1821"/>
      <c r="AG76" s="1821"/>
      <c r="AH76" s="1821"/>
      <c r="AI76" s="1821"/>
      <c r="AJ76" s="1821"/>
      <c r="AK76" s="1821"/>
      <c r="AL76" s="1821"/>
      <c r="AM76" s="1821"/>
      <c r="AN76" s="1821"/>
      <c r="AO76" s="1821"/>
      <c r="AP76" s="1821"/>
      <c r="AQ76" s="1821"/>
      <c r="AR76" s="1821"/>
      <c r="AS76" s="1821"/>
      <c r="AT76" s="1821"/>
      <c r="AU76" s="20"/>
      <c r="AV76" s="20"/>
      <c r="AW76" s="20"/>
      <c r="AX76" s="20"/>
      <c r="AY76" s="20"/>
      <c r="AZ76" s="17"/>
      <c r="BD76" s="1181" t="s">
        <v>2495</v>
      </c>
      <c r="BE76" s="1182">
        <f>'Points System'!AF833</f>
        <v>10</v>
      </c>
    </row>
    <row r="77" spans="1:57" ht="12.95" customHeight="1">
      <c r="A77" s="1821"/>
      <c r="B77" s="1821"/>
      <c r="C77" s="1821"/>
      <c r="D77" s="1821"/>
      <c r="E77" s="1821"/>
      <c r="F77" s="1821"/>
      <c r="G77" s="1821"/>
      <c r="H77" s="1821"/>
      <c r="I77" s="1821"/>
      <c r="J77" s="1821"/>
      <c r="K77" s="1821"/>
      <c r="L77" s="1821"/>
      <c r="M77" s="1821"/>
      <c r="N77" s="1821"/>
      <c r="O77" s="1821"/>
      <c r="P77" s="1821"/>
      <c r="Q77" s="1821"/>
      <c r="R77" s="1821"/>
      <c r="S77" s="1821"/>
      <c r="T77" s="1821"/>
      <c r="U77" s="1821"/>
      <c r="V77" s="1821"/>
      <c r="W77" s="1821"/>
      <c r="X77" s="1821"/>
      <c r="Y77" s="1821"/>
      <c r="Z77" s="1821"/>
      <c r="AA77" s="1821"/>
      <c r="AB77" s="1821"/>
      <c r="AC77" s="1821"/>
      <c r="AD77" s="1821"/>
      <c r="AE77" s="1821"/>
      <c r="AF77" s="1821"/>
      <c r="AG77" s="1821"/>
      <c r="AH77" s="1821"/>
      <c r="AI77" s="1821"/>
      <c r="AJ77" s="1821"/>
      <c r="AK77" s="1821"/>
      <c r="AL77" s="1821"/>
      <c r="AM77" s="1821"/>
      <c r="AN77" s="1821"/>
      <c r="AO77" s="1821"/>
      <c r="AP77" s="1821"/>
      <c r="AQ77" s="1821"/>
      <c r="AR77" s="1821"/>
      <c r="AS77" s="1821"/>
      <c r="AT77" s="1821"/>
      <c r="AU77" s="20"/>
      <c r="AV77" s="20"/>
      <c r="AW77" s="20"/>
      <c r="AX77" s="20"/>
      <c r="AY77" s="20"/>
      <c r="AZ77" s="17"/>
      <c r="BD77" s="1180" t="s">
        <v>2496</v>
      </c>
      <c r="BE77" s="1182">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1" t="s">
        <v>2497</v>
      </c>
      <c r="BE78" s="1182">
        <f>'Points System'!AF836</f>
        <v>10</v>
      </c>
    </row>
    <row r="79" spans="1:57" ht="12.95" customHeight="1">
      <c r="A79" s="1491" t="s">
        <v>2113</v>
      </c>
      <c r="B79" s="1491"/>
      <c r="C79" s="1491"/>
      <c r="D79" s="1491"/>
      <c r="E79" s="1491"/>
      <c r="F79" s="1491"/>
      <c r="G79" s="1491"/>
      <c r="H79" s="1491"/>
      <c r="I79" s="1491"/>
      <c r="J79" s="1491"/>
      <c r="K79" s="1491"/>
      <c r="L79" s="1491"/>
      <c r="M79" s="1491"/>
      <c r="N79" s="1491"/>
      <c r="O79" s="1491"/>
      <c r="P79" s="1491"/>
      <c r="Q79" s="1491"/>
      <c r="R79" s="1491"/>
      <c r="S79" s="1491"/>
      <c r="T79" s="1491"/>
      <c r="U79" s="1491"/>
      <c r="V79" s="1491"/>
      <c r="W79" s="1491"/>
      <c r="X79" s="1491"/>
      <c r="Y79" s="1491"/>
      <c r="Z79" s="1491"/>
      <c r="AA79" s="1491"/>
      <c r="AB79" s="1491"/>
      <c r="AC79" s="1491"/>
      <c r="AD79" s="1491"/>
      <c r="AE79" s="1491"/>
      <c r="AF79" s="1491"/>
      <c r="AG79" s="1491"/>
      <c r="AH79" s="1491"/>
      <c r="AI79" s="1491"/>
      <c r="AJ79" s="1491"/>
      <c r="AK79" s="1491"/>
      <c r="AL79" s="1491"/>
      <c r="AM79" s="1491"/>
      <c r="AN79" s="1491"/>
      <c r="AO79" s="1491"/>
      <c r="AP79" s="1491"/>
      <c r="AQ79" s="1491"/>
      <c r="AR79" s="1491"/>
      <c r="AS79" s="1491"/>
      <c r="AT79" s="1491"/>
      <c r="AU79" s="20"/>
      <c r="AV79" s="20"/>
      <c r="AW79" s="20"/>
      <c r="AX79" s="20"/>
      <c r="AY79" s="20"/>
      <c r="AZ79" s="20"/>
      <c r="BD79" s="1180" t="s">
        <v>2616</v>
      </c>
      <c r="BE79" s="1182">
        <f>'Points System'!AF837</f>
        <v>9</v>
      </c>
    </row>
    <row r="80" spans="1:57" ht="12.95" customHeight="1">
      <c r="A80" s="1491"/>
      <c r="B80" s="1491"/>
      <c r="C80" s="1491"/>
      <c r="D80" s="1491"/>
      <c r="E80" s="1491"/>
      <c r="F80" s="1491"/>
      <c r="G80" s="1491"/>
      <c r="H80" s="1491"/>
      <c r="I80" s="1491"/>
      <c r="J80" s="1491"/>
      <c r="K80" s="1491"/>
      <c r="L80" s="1491"/>
      <c r="M80" s="1491"/>
      <c r="N80" s="1491"/>
      <c r="O80" s="1491"/>
      <c r="P80" s="1491"/>
      <c r="Q80" s="1491"/>
      <c r="R80" s="1491"/>
      <c r="S80" s="1491"/>
      <c r="T80" s="1491"/>
      <c r="U80" s="1491"/>
      <c r="V80" s="1491"/>
      <c r="W80" s="1491"/>
      <c r="X80" s="1491"/>
      <c r="Y80" s="1491"/>
      <c r="Z80" s="1491"/>
      <c r="AA80" s="1491"/>
      <c r="AB80" s="1491"/>
      <c r="AC80" s="1491"/>
      <c r="AD80" s="1491"/>
      <c r="AE80" s="1491"/>
      <c r="AF80" s="1491"/>
      <c r="AG80" s="1491"/>
      <c r="AH80" s="1491"/>
      <c r="AI80" s="1491"/>
      <c r="AJ80" s="1491"/>
      <c r="AK80" s="1491"/>
      <c r="AL80" s="1491"/>
      <c r="AM80" s="1491"/>
      <c r="AN80" s="1491"/>
      <c r="AO80" s="1491"/>
      <c r="AP80" s="1491"/>
      <c r="AQ80" s="1491"/>
      <c r="AR80" s="1491"/>
      <c r="AS80" s="1491"/>
      <c r="AT80" s="1491"/>
      <c r="AU80" s="20"/>
      <c r="AV80" s="20"/>
      <c r="AW80" s="20"/>
      <c r="AX80" s="20"/>
      <c r="AY80" s="20"/>
      <c r="AZ80" s="20"/>
      <c r="BD80" s="1181" t="s">
        <v>2498</v>
      </c>
      <c r="BE80" s="1182">
        <f>'Points System'!AF839</f>
        <v>10</v>
      </c>
    </row>
    <row r="81" spans="1:57" ht="12.95" customHeight="1">
      <c r="A81" s="1491"/>
      <c r="B81" s="1491"/>
      <c r="C81" s="1491"/>
      <c r="D81" s="1491"/>
      <c r="E81" s="1491"/>
      <c r="F81" s="1491"/>
      <c r="G81" s="1491"/>
      <c r="H81" s="1491"/>
      <c r="I81" s="1491"/>
      <c r="J81" s="1491"/>
      <c r="K81" s="1491"/>
      <c r="L81" s="1491"/>
      <c r="M81" s="1491"/>
      <c r="N81" s="1491"/>
      <c r="O81" s="1491"/>
      <c r="P81" s="1491"/>
      <c r="Q81" s="1491"/>
      <c r="R81" s="1491"/>
      <c r="S81" s="1491"/>
      <c r="T81" s="1491"/>
      <c r="U81" s="1491"/>
      <c r="V81" s="1491"/>
      <c r="W81" s="1491"/>
      <c r="X81" s="1491"/>
      <c r="Y81" s="1491"/>
      <c r="Z81" s="1491"/>
      <c r="AA81" s="1491"/>
      <c r="AB81" s="1491"/>
      <c r="AC81" s="1491"/>
      <c r="AD81" s="1491"/>
      <c r="AE81" s="1491"/>
      <c r="AF81" s="1491"/>
      <c r="AG81" s="1491"/>
      <c r="AH81" s="1491"/>
      <c r="AI81" s="1491"/>
      <c r="AJ81" s="1491"/>
      <c r="AK81" s="1491"/>
      <c r="AL81" s="1491"/>
      <c r="AM81" s="1491"/>
      <c r="AN81" s="1491"/>
      <c r="AO81" s="1491"/>
      <c r="AP81" s="1491"/>
      <c r="AQ81" s="1491"/>
      <c r="AR81" s="1491"/>
      <c r="AS81" s="1491"/>
      <c r="AT81" s="1491"/>
      <c r="AU81" s="20"/>
      <c r="AV81" s="20"/>
      <c r="AW81" s="20"/>
      <c r="AX81" s="20"/>
      <c r="AY81" s="20"/>
      <c r="AZ81" s="20"/>
      <c r="BD81" s="1180" t="s">
        <v>2499</v>
      </c>
      <c r="BE81" s="1182">
        <f>'Points System'!AF840</f>
        <v>12</v>
      </c>
    </row>
    <row r="82" spans="1:57" ht="12.95"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1" t="s">
        <v>2500</v>
      </c>
      <c r="BE82" s="1182">
        <f>'Points System'!AF841</f>
        <v>10</v>
      </c>
    </row>
    <row r="83" spans="1:57" ht="12.95" customHeight="1">
      <c r="A83" s="1281" t="s">
        <v>2114</v>
      </c>
      <c r="B83" s="1281"/>
      <c r="C83" s="1281"/>
      <c r="D83" s="1281"/>
      <c r="E83" s="1281"/>
      <c r="F83" s="1281"/>
      <c r="G83" s="1281"/>
      <c r="H83" s="1281"/>
      <c r="I83" s="1281"/>
      <c r="J83" s="1281"/>
      <c r="K83" s="1281"/>
      <c r="L83" s="1281"/>
      <c r="M83" s="1281"/>
      <c r="N83" s="1281"/>
      <c r="O83" s="1281"/>
      <c r="P83" s="1281"/>
      <c r="Q83" s="1281"/>
      <c r="R83" s="1281"/>
      <c r="S83" s="1281"/>
      <c r="T83" s="1281"/>
      <c r="U83" s="1281"/>
      <c r="V83" s="1281"/>
      <c r="W83" s="1281"/>
      <c r="X83" s="1281"/>
      <c r="Y83" s="1281"/>
      <c r="Z83" s="1281"/>
      <c r="AA83" s="1281"/>
      <c r="AB83" s="1281"/>
      <c r="AC83" s="1281"/>
      <c r="AD83" s="1281"/>
      <c r="AE83" s="1281"/>
      <c r="AF83" s="1281"/>
      <c r="AG83" s="1281"/>
      <c r="AH83" s="1281"/>
      <c r="AI83" s="1281"/>
      <c r="AJ83" s="1281"/>
      <c r="AK83" s="1281"/>
      <c r="AL83" s="1281"/>
      <c r="AM83" s="1281"/>
      <c r="AN83" s="1281"/>
      <c r="AO83" s="1281"/>
      <c r="AP83" s="1281"/>
      <c r="AQ83" s="1281"/>
      <c r="AR83" s="1281"/>
      <c r="AS83" s="1281"/>
      <c r="AT83" s="1281"/>
      <c r="AU83" s="20"/>
      <c r="AV83" s="20"/>
      <c r="AW83" s="20"/>
      <c r="AX83" s="20"/>
      <c r="AY83" s="20"/>
      <c r="AZ83" s="20"/>
      <c r="BD83" s="1180" t="s">
        <v>2501</v>
      </c>
      <c r="BE83" s="1186">
        <f>'Tie Breaker'!H5</f>
        <v>1.8012491734929303</v>
      </c>
    </row>
    <row r="84" spans="1:57" ht="12.95" customHeight="1">
      <c r="A84" s="1281"/>
      <c r="B84" s="1281"/>
      <c r="C84" s="1281"/>
      <c r="D84" s="1281"/>
      <c r="E84" s="1281"/>
      <c r="F84" s="1281"/>
      <c r="G84" s="1281"/>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c r="AL84" s="1281"/>
      <c r="AM84" s="1281"/>
      <c r="AN84" s="1281"/>
      <c r="AO84" s="1281"/>
      <c r="AP84" s="1281"/>
      <c r="AQ84" s="1281"/>
      <c r="AR84" s="1281"/>
      <c r="AS84" s="1281"/>
      <c r="AT84" s="1281"/>
      <c r="AU84" s="20"/>
      <c r="AV84" s="20"/>
      <c r="AW84" s="20"/>
      <c r="AX84" s="20"/>
      <c r="AY84" s="20"/>
      <c r="AZ84" s="20"/>
      <c r="BD84" s="1181" t="s">
        <v>2502</v>
      </c>
      <c r="BE84" s="1182" t="str">
        <f>Application!O153</f>
        <v xml:space="preserve">City of Los Angeles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0" t="s">
        <v>2503</v>
      </c>
      <c r="BE85" s="1182" t="str">
        <f>Application!O154</f>
        <v>Tiena Johnson Hall</v>
      </c>
    </row>
    <row r="86" spans="1:57" ht="12.95" customHeight="1">
      <c r="A86" s="1281" t="s">
        <v>2115</v>
      </c>
      <c r="B86" s="1281"/>
      <c r="C86" s="1281"/>
      <c r="D86" s="1281"/>
      <c r="E86" s="1281"/>
      <c r="F86" s="1281"/>
      <c r="G86" s="1281"/>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c r="AL86" s="1281"/>
      <c r="AM86" s="1281"/>
      <c r="AN86" s="1281"/>
      <c r="AO86" s="1281"/>
      <c r="AP86" s="1281"/>
      <c r="AQ86" s="1281"/>
      <c r="AR86" s="1281"/>
      <c r="AS86" s="1281"/>
      <c r="AT86" s="1281"/>
      <c r="AU86" s="20"/>
      <c r="AV86" s="20"/>
      <c r="AW86" s="20"/>
      <c r="AX86" s="20"/>
      <c r="AY86" s="20"/>
      <c r="AZ86" s="20"/>
      <c r="BD86" s="1181" t="s">
        <v>2504</v>
      </c>
      <c r="BE86" s="1182" t="str">
        <f>Application!O155</f>
        <v>General Manager</v>
      </c>
    </row>
    <row r="87" spans="1:57" ht="12.95" customHeight="1">
      <c r="A87" s="1281"/>
      <c r="B87" s="1281"/>
      <c r="C87" s="1281"/>
      <c r="D87" s="1281"/>
      <c r="E87" s="1281"/>
      <c r="F87" s="1281"/>
      <c r="G87" s="1281"/>
      <c r="H87" s="1281"/>
      <c r="I87" s="1281"/>
      <c r="J87" s="1281"/>
      <c r="K87" s="1281"/>
      <c r="L87" s="1281"/>
      <c r="M87" s="1281"/>
      <c r="N87" s="1281"/>
      <c r="O87" s="1281"/>
      <c r="P87" s="1281"/>
      <c r="Q87" s="1281"/>
      <c r="R87" s="1281"/>
      <c r="S87" s="1281"/>
      <c r="T87" s="1281"/>
      <c r="U87" s="1281"/>
      <c r="V87" s="1281"/>
      <c r="W87" s="1281"/>
      <c r="X87" s="1281"/>
      <c r="Y87" s="1281"/>
      <c r="Z87" s="1281"/>
      <c r="AA87" s="1281"/>
      <c r="AB87" s="1281"/>
      <c r="AC87" s="1281"/>
      <c r="AD87" s="1281"/>
      <c r="AE87" s="1281"/>
      <c r="AF87" s="1281"/>
      <c r="AG87" s="1281"/>
      <c r="AH87" s="1281"/>
      <c r="AI87" s="1281"/>
      <c r="AJ87" s="1281"/>
      <c r="AK87" s="1281"/>
      <c r="AL87" s="1281"/>
      <c r="AM87" s="1281"/>
      <c r="AN87" s="1281"/>
      <c r="AO87" s="1281"/>
      <c r="AP87" s="1281"/>
      <c r="AQ87" s="1281"/>
      <c r="AR87" s="1281"/>
      <c r="AS87" s="1281"/>
      <c r="AT87" s="1281"/>
      <c r="AU87" s="20"/>
      <c r="AV87" s="20"/>
      <c r="AW87" s="20"/>
      <c r="AX87" s="20"/>
      <c r="AY87" s="20"/>
      <c r="AZ87" s="20"/>
      <c r="BD87" s="1180" t="s">
        <v>2505</v>
      </c>
      <c r="BE87" s="1182" t="str">
        <f>Application!O156</f>
        <v>1910 Sunset Blvd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1" t="s">
        <v>2506</v>
      </c>
      <c r="BE88" s="1182" t="str">
        <f>Application!O157</f>
        <v>Los Angeles</v>
      </c>
    </row>
    <row r="89" spans="1:57" ht="12.95" customHeight="1">
      <c r="A89" s="1276" t="s">
        <v>2116</v>
      </c>
      <c r="B89" s="1276"/>
      <c r="C89" s="1276"/>
      <c r="D89" s="1276"/>
      <c r="E89" s="1276"/>
      <c r="F89" s="1276"/>
      <c r="G89" s="1276"/>
      <c r="H89" s="1276"/>
      <c r="I89" s="1276"/>
      <c r="J89" s="1276"/>
      <c r="K89" s="1276"/>
      <c r="L89" s="1276"/>
      <c r="M89" s="1276"/>
      <c r="N89" s="1276"/>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c r="AL89" s="1276"/>
      <c r="AM89" s="1276"/>
      <c r="AN89" s="1276"/>
      <c r="AO89" s="1276"/>
      <c r="AP89" s="1276"/>
      <c r="AQ89" s="1276"/>
      <c r="AR89" s="1276"/>
      <c r="AS89" s="1276"/>
      <c r="AT89" s="1276"/>
      <c r="AU89" s="17"/>
      <c r="AV89" s="17"/>
      <c r="AW89" s="17"/>
      <c r="AX89" s="17"/>
      <c r="AY89" s="17"/>
      <c r="AZ89" s="20"/>
      <c r="BD89" s="1180" t="s">
        <v>2507</v>
      </c>
      <c r="BE89" s="1182">
        <f>Application!O158</f>
        <v>90026</v>
      </c>
    </row>
    <row r="90" spans="1:57" ht="12.95" customHeight="1">
      <c r="A90" s="1276"/>
      <c r="B90" s="1276"/>
      <c r="C90" s="1276"/>
      <c r="D90" s="1276"/>
      <c r="E90" s="1276"/>
      <c r="F90" s="1276"/>
      <c r="G90" s="1276"/>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c r="AL90" s="1276"/>
      <c r="AM90" s="1276"/>
      <c r="AN90" s="1276"/>
      <c r="AO90" s="1276"/>
      <c r="AP90" s="1276"/>
      <c r="AQ90" s="1276"/>
      <c r="AR90" s="1276"/>
      <c r="AS90" s="1276"/>
      <c r="AT90" s="1276"/>
      <c r="AU90" s="17"/>
      <c r="AV90" s="17"/>
      <c r="AW90" s="17"/>
      <c r="AX90" s="17"/>
      <c r="AY90" s="17"/>
      <c r="AZ90" s="20"/>
      <c r="BD90" s="1181" t="s">
        <v>2508</v>
      </c>
      <c r="BE90" s="1182" t="str">
        <f>Application!H16</f>
        <v>Linc Housing Corporation (as Sole Member/Manager of Linc Ross LLC, the Managing General Partner of Linc Ross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0" t="s">
        <v>2509</v>
      </c>
      <c r="BE91" s="1182" t="str">
        <f>Application!M242</f>
        <v>3590 Elm Avenue</v>
      </c>
    </row>
    <row r="92" spans="1:57" ht="12.95" customHeight="1">
      <c r="A92" s="1821" t="s">
        <v>2117</v>
      </c>
      <c r="B92" s="1821"/>
      <c r="C92" s="1821"/>
      <c r="D92" s="1821"/>
      <c r="E92" s="1821"/>
      <c r="F92" s="1821"/>
      <c r="G92" s="1821"/>
      <c r="H92" s="1821"/>
      <c r="I92" s="1821"/>
      <c r="J92" s="1821"/>
      <c r="K92" s="1821"/>
      <c r="L92" s="1821"/>
      <c r="M92" s="1821"/>
      <c r="N92" s="1821"/>
      <c r="O92" s="1821"/>
      <c r="P92" s="1821"/>
      <c r="Q92" s="1821"/>
      <c r="R92" s="1821"/>
      <c r="S92" s="1821"/>
      <c r="T92" s="1821"/>
      <c r="U92" s="1821"/>
      <c r="V92" s="1821"/>
      <c r="W92" s="1821"/>
      <c r="X92" s="1821"/>
      <c r="Y92" s="1821"/>
      <c r="Z92" s="1821"/>
      <c r="AA92" s="1821"/>
      <c r="AB92" s="1821"/>
      <c r="AC92" s="1821"/>
      <c r="AD92" s="1821"/>
      <c r="AE92" s="1821"/>
      <c r="AF92" s="1821"/>
      <c r="AG92" s="1821"/>
      <c r="AH92" s="1821"/>
      <c r="AI92" s="1821"/>
      <c r="AJ92" s="1821"/>
      <c r="AK92" s="1821"/>
      <c r="AL92" s="1821"/>
      <c r="AM92" s="1821"/>
      <c r="AN92" s="1821"/>
      <c r="AO92" s="1821"/>
      <c r="AP92" s="1821"/>
      <c r="AQ92" s="1821"/>
      <c r="AR92" s="1821"/>
      <c r="AS92" s="1821"/>
      <c r="AT92" s="1821"/>
      <c r="AU92" s="20"/>
      <c r="AV92" s="20"/>
      <c r="AW92" s="20"/>
      <c r="AX92" s="20"/>
      <c r="AY92" s="20"/>
      <c r="AZ92" s="20"/>
      <c r="BD92" s="1181" t="s">
        <v>2510</v>
      </c>
      <c r="BE92" s="1182" t="str">
        <f>Application!M243</f>
        <v>Long Beach</v>
      </c>
    </row>
    <row r="93" spans="1:57" ht="12.95" customHeight="1">
      <c r="A93" s="1821"/>
      <c r="B93" s="1821"/>
      <c r="C93" s="1821"/>
      <c r="D93" s="1821"/>
      <c r="E93" s="1821"/>
      <c r="F93" s="1821"/>
      <c r="G93" s="1821"/>
      <c r="H93" s="1821"/>
      <c r="I93" s="1821"/>
      <c r="J93" s="1821"/>
      <c r="K93" s="1821"/>
      <c r="L93" s="1821"/>
      <c r="M93" s="1821"/>
      <c r="N93" s="1821"/>
      <c r="O93" s="1821"/>
      <c r="P93" s="1821"/>
      <c r="Q93" s="1821"/>
      <c r="R93" s="1821"/>
      <c r="S93" s="1821"/>
      <c r="T93" s="1821"/>
      <c r="U93" s="1821"/>
      <c r="V93" s="1821"/>
      <c r="W93" s="1821"/>
      <c r="X93" s="1821"/>
      <c r="Y93" s="1821"/>
      <c r="Z93" s="1821"/>
      <c r="AA93" s="1821"/>
      <c r="AB93" s="1821"/>
      <c r="AC93" s="1821"/>
      <c r="AD93" s="1821"/>
      <c r="AE93" s="1821"/>
      <c r="AF93" s="1821"/>
      <c r="AG93" s="1821"/>
      <c r="AH93" s="1821"/>
      <c r="AI93" s="1821"/>
      <c r="AJ93" s="1821"/>
      <c r="AK93" s="1821"/>
      <c r="AL93" s="1821"/>
      <c r="AM93" s="1821"/>
      <c r="AN93" s="1821"/>
      <c r="AO93" s="1821"/>
      <c r="AP93" s="1821"/>
      <c r="AQ93" s="1821"/>
      <c r="AR93" s="1821"/>
      <c r="AS93" s="1821"/>
      <c r="AT93" s="1821"/>
      <c r="AU93" s="20"/>
      <c r="AV93" s="20"/>
      <c r="AW93" s="20"/>
      <c r="AX93" s="20"/>
      <c r="AY93" s="20"/>
      <c r="AZ93" s="20"/>
      <c r="BD93" s="1180" t="s">
        <v>2511</v>
      </c>
      <c r="BE93" s="1182" t="str">
        <f>Application!W243</f>
        <v>CA</v>
      </c>
    </row>
    <row r="94" spans="1:57" ht="12.95" customHeight="1">
      <c r="A94" s="1821"/>
      <c r="B94" s="1821"/>
      <c r="C94" s="1821"/>
      <c r="D94" s="1821"/>
      <c r="E94" s="1821"/>
      <c r="F94" s="1821"/>
      <c r="G94" s="1821"/>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c r="AL94" s="1821"/>
      <c r="AM94" s="1821"/>
      <c r="AN94" s="1821"/>
      <c r="AO94" s="1821"/>
      <c r="AP94" s="1821"/>
      <c r="AQ94" s="1821"/>
      <c r="AR94" s="1821"/>
      <c r="AS94" s="1821"/>
      <c r="AT94" s="1821"/>
      <c r="AU94" s="20"/>
      <c r="AV94" s="20"/>
      <c r="AW94" s="20"/>
      <c r="AX94" s="20"/>
      <c r="AY94" s="20"/>
      <c r="AZ94" s="20"/>
      <c r="BD94" s="1181" t="s">
        <v>2512</v>
      </c>
      <c r="BE94" s="1182">
        <f>Application!AC243</f>
        <v>90807</v>
      </c>
    </row>
    <row r="95" spans="1:57" ht="12.95" customHeight="1">
      <c r="A95" s="1821"/>
      <c r="B95" s="1821"/>
      <c r="C95" s="1821"/>
      <c r="D95" s="1821"/>
      <c r="E95" s="1821"/>
      <c r="F95" s="1821"/>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c r="AL95" s="1821"/>
      <c r="AM95" s="1821"/>
      <c r="AN95" s="1821"/>
      <c r="AO95" s="1821"/>
      <c r="AP95" s="1821"/>
      <c r="AQ95" s="1821"/>
      <c r="AR95" s="1821"/>
      <c r="AS95" s="1821"/>
      <c r="AT95" s="1821"/>
      <c r="AU95" s="20"/>
      <c r="AV95" s="20"/>
      <c r="AW95" s="20"/>
      <c r="AX95" s="20"/>
      <c r="AY95" s="20"/>
      <c r="AZ95" s="20"/>
      <c r="BD95" s="1180" t="s">
        <v>2513</v>
      </c>
      <c r="BE95" s="1182" t="str">
        <f>Application!M244</f>
        <v xml:space="preserve">Cecilia Ngo </v>
      </c>
    </row>
    <row r="96" spans="1:57" ht="12.95" customHeight="1">
      <c r="A96" s="1821"/>
      <c r="B96" s="1821"/>
      <c r="C96" s="1821"/>
      <c r="D96" s="1821"/>
      <c r="E96" s="1821"/>
      <c r="F96" s="1821"/>
      <c r="G96" s="1821"/>
      <c r="H96" s="1821"/>
      <c r="I96" s="1821"/>
      <c r="J96" s="1821"/>
      <c r="K96" s="1821"/>
      <c r="L96" s="1821"/>
      <c r="M96" s="1821"/>
      <c r="N96" s="1821"/>
      <c r="O96" s="1821"/>
      <c r="P96" s="1821"/>
      <c r="Q96" s="1821"/>
      <c r="R96" s="1821"/>
      <c r="S96" s="1821"/>
      <c r="T96" s="1821"/>
      <c r="U96" s="1821"/>
      <c r="V96" s="1821"/>
      <c r="W96" s="1821"/>
      <c r="X96" s="1821"/>
      <c r="Y96" s="1821"/>
      <c r="Z96" s="1821"/>
      <c r="AA96" s="1821"/>
      <c r="AB96" s="1821"/>
      <c r="AC96" s="1821"/>
      <c r="AD96" s="1821"/>
      <c r="AE96" s="1821"/>
      <c r="AF96" s="1821"/>
      <c r="AG96" s="1821"/>
      <c r="AH96" s="1821"/>
      <c r="AI96" s="1821"/>
      <c r="AJ96" s="1821"/>
      <c r="AK96" s="1821"/>
      <c r="AL96" s="1821"/>
      <c r="AM96" s="1821"/>
      <c r="AN96" s="1821"/>
      <c r="AO96" s="1821"/>
      <c r="AP96" s="1821"/>
      <c r="AQ96" s="1821"/>
      <c r="AR96" s="1821"/>
      <c r="AS96" s="1821"/>
      <c r="AT96" s="1821"/>
      <c r="AU96" s="20"/>
      <c r="AV96" s="20"/>
      <c r="AW96" s="20"/>
      <c r="AX96" s="20"/>
      <c r="AY96" s="20"/>
      <c r="AZ96" s="20"/>
      <c r="BD96" s="1181" t="s">
        <v>2514</v>
      </c>
      <c r="BE96" s="1182" t="str">
        <f>Application!M246</f>
        <v>cngo@linchousing.org</v>
      </c>
    </row>
    <row r="97" spans="1:57" ht="12.95" customHeight="1">
      <c r="A97" s="1821"/>
      <c r="B97" s="1821"/>
      <c r="C97" s="1821"/>
      <c r="D97" s="1821"/>
      <c r="E97" s="1821"/>
      <c r="F97" s="1821"/>
      <c r="G97" s="1821"/>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c r="AL97" s="1821"/>
      <c r="AM97" s="1821"/>
      <c r="AN97" s="1821"/>
      <c r="AO97" s="1821"/>
      <c r="AP97" s="1821"/>
      <c r="AQ97" s="1821"/>
      <c r="AR97" s="1821"/>
      <c r="AS97" s="1821"/>
      <c r="AT97" s="1821"/>
      <c r="AU97" s="20"/>
      <c r="AV97" s="20"/>
      <c r="AW97" s="20"/>
      <c r="AX97" s="20"/>
      <c r="AY97" s="20"/>
      <c r="AZ97" s="20"/>
      <c r="BD97" s="1180" t="s">
        <v>2515</v>
      </c>
      <c r="BE97" s="1182" t="str">
        <f>Application!M257</f>
        <v>cngo@linchousing.org</v>
      </c>
    </row>
    <row r="98" spans="1:57" ht="12.95" customHeight="1">
      <c r="A98" s="1821"/>
      <c r="B98" s="1821"/>
      <c r="C98" s="1821"/>
      <c r="D98" s="1821"/>
      <c r="E98" s="1821"/>
      <c r="F98" s="1821"/>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1821"/>
      <c r="AM98" s="1821"/>
      <c r="AN98" s="1821"/>
      <c r="AO98" s="1821"/>
      <c r="AP98" s="1821"/>
      <c r="AQ98" s="1821"/>
      <c r="AR98" s="1821"/>
      <c r="AS98" s="1821"/>
      <c r="AT98" s="1821"/>
      <c r="AU98" s="20"/>
      <c r="AV98" s="20"/>
      <c r="AW98" s="20"/>
      <c r="AX98" s="20"/>
      <c r="AY98" s="20"/>
      <c r="AZ98" s="20"/>
      <c r="BD98" s="1181" t="s">
        <v>2516</v>
      </c>
      <c r="BE98" s="1182" t="str">
        <f>Application!M265</f>
        <v>N/A</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0" t="s">
        <v>2517</v>
      </c>
      <c r="BE99" s="1182" t="str">
        <f>Application!M273</f>
        <v>N/A</v>
      </c>
    </row>
    <row r="100" spans="1:57" ht="12.95" customHeight="1">
      <c r="A100" s="1822" t="s">
        <v>2118</v>
      </c>
      <c r="B100" s="1822"/>
      <c r="C100" s="1822"/>
      <c r="D100" s="1822"/>
      <c r="E100" s="1822"/>
      <c r="F100" s="1822"/>
      <c r="G100" s="1822"/>
      <c r="H100" s="1822"/>
      <c r="I100" s="1822"/>
      <c r="J100" s="1822"/>
      <c r="K100" s="1822"/>
      <c r="L100" s="1822"/>
      <c r="M100" s="1822"/>
      <c r="N100" s="1822"/>
      <c r="O100" s="1822"/>
      <c r="P100" s="1822"/>
      <c r="Q100" s="1822"/>
      <c r="R100" s="1822"/>
      <c r="S100" s="1822"/>
      <c r="T100" s="1822"/>
      <c r="U100" s="1822"/>
      <c r="V100" s="1822"/>
      <c r="W100" s="1822"/>
      <c r="X100" s="1822"/>
      <c r="Y100" s="1822"/>
      <c r="Z100" s="1822"/>
      <c r="AA100" s="1822"/>
      <c r="AB100" s="1822"/>
      <c r="AC100" s="1822"/>
      <c r="AD100" s="1822"/>
      <c r="AE100" s="1822"/>
      <c r="AF100" s="1822"/>
      <c r="AG100" s="1822"/>
      <c r="AH100" s="1822"/>
      <c r="AI100" s="1822"/>
      <c r="AJ100" s="1822"/>
      <c r="AK100" s="1822"/>
      <c r="AL100" s="1822"/>
      <c r="AM100" s="1822"/>
      <c r="AN100" s="1822"/>
      <c r="AO100" s="1822"/>
      <c r="AP100" s="1822"/>
      <c r="AQ100" s="1822"/>
      <c r="AR100" s="1822"/>
      <c r="AS100" s="1822"/>
      <c r="AT100" s="1822"/>
      <c r="AU100" s="20"/>
      <c r="AV100" s="20"/>
      <c r="AW100" s="20"/>
      <c r="AX100" s="20"/>
      <c r="AY100" s="20"/>
      <c r="AZ100" s="20"/>
      <c r="BD100" s="1181" t="s">
        <v>2518</v>
      </c>
      <c r="BE100" s="1182" t="str">
        <f>Application!L288</f>
        <v>fsarmiento@linchousing.org</v>
      </c>
    </row>
    <row r="101" spans="1:57" ht="12.95" customHeight="1">
      <c r="A101" s="1822"/>
      <c r="B101" s="1822"/>
      <c r="C101" s="1822"/>
      <c r="D101" s="1822"/>
      <c r="E101" s="1822"/>
      <c r="F101" s="1822"/>
      <c r="G101" s="1822"/>
      <c r="H101" s="1822"/>
      <c r="I101" s="1822"/>
      <c r="J101" s="1822"/>
      <c r="K101" s="1822"/>
      <c r="L101" s="1822"/>
      <c r="M101" s="1822"/>
      <c r="N101" s="1822"/>
      <c r="O101" s="1822"/>
      <c r="P101" s="1822"/>
      <c r="Q101" s="1822"/>
      <c r="R101" s="1822"/>
      <c r="S101" s="1822"/>
      <c r="T101" s="1822"/>
      <c r="U101" s="1822"/>
      <c r="V101" s="1822"/>
      <c r="W101" s="1822"/>
      <c r="X101" s="1822"/>
      <c r="Y101" s="1822"/>
      <c r="Z101" s="1822"/>
      <c r="AA101" s="1822"/>
      <c r="AB101" s="1822"/>
      <c r="AC101" s="1822"/>
      <c r="AD101" s="1822"/>
      <c r="AE101" s="1822"/>
      <c r="AF101" s="1822"/>
      <c r="AG101" s="1822"/>
      <c r="AH101" s="1822"/>
      <c r="AI101" s="1822"/>
      <c r="AJ101" s="1822"/>
      <c r="AK101" s="1822"/>
      <c r="AL101" s="1822"/>
      <c r="AM101" s="1822"/>
      <c r="AN101" s="1822"/>
      <c r="AO101" s="1822"/>
      <c r="AP101" s="1822"/>
      <c r="AQ101" s="1822"/>
      <c r="AR101" s="1822"/>
      <c r="AS101" s="1822"/>
      <c r="AT101" s="1822"/>
      <c r="AU101" s="20"/>
      <c r="AV101" s="20"/>
      <c r="AW101" s="20"/>
      <c r="AX101" s="20"/>
      <c r="AY101" s="20"/>
      <c r="AZ101" s="20"/>
      <c r="BD101" s="3" t="s">
        <v>2523</v>
      </c>
      <c r="BE101">
        <f>'Sources and Uses Budget'!C105</f>
        <v>104399290</v>
      </c>
    </row>
    <row r="102" spans="1:57" ht="12.95" customHeight="1">
      <c r="A102" s="1822"/>
      <c r="B102" s="1822"/>
      <c r="C102" s="1822"/>
      <c r="D102" s="1822"/>
      <c r="E102" s="1822"/>
      <c r="F102" s="1822"/>
      <c r="G102" s="1822"/>
      <c r="H102" s="1822"/>
      <c r="I102" s="1822"/>
      <c r="J102" s="1822"/>
      <c r="K102" s="1822"/>
      <c r="L102" s="1822"/>
      <c r="M102" s="1822"/>
      <c r="N102" s="1822"/>
      <c r="O102" s="1822"/>
      <c r="P102" s="1822"/>
      <c r="Q102" s="1822"/>
      <c r="R102" s="1822"/>
      <c r="S102" s="1822"/>
      <c r="T102" s="1822"/>
      <c r="U102" s="1822"/>
      <c r="V102" s="1822"/>
      <c r="W102" s="1822"/>
      <c r="X102" s="1822"/>
      <c r="Y102" s="1822"/>
      <c r="Z102" s="1822"/>
      <c r="AA102" s="1822"/>
      <c r="AB102" s="1822"/>
      <c r="AC102" s="1822"/>
      <c r="AD102" s="1822"/>
      <c r="AE102" s="1822"/>
      <c r="AF102" s="1822"/>
      <c r="AG102" s="1822"/>
      <c r="AH102" s="1822"/>
      <c r="AI102" s="1822"/>
      <c r="AJ102" s="1822"/>
      <c r="AK102" s="1822"/>
      <c r="AL102" s="1822"/>
      <c r="AM102" s="1822"/>
      <c r="AN102" s="1822"/>
      <c r="AO102" s="1822"/>
      <c r="AP102" s="1822"/>
      <c r="AQ102" s="1822"/>
      <c r="AR102" s="1822"/>
      <c r="AS102" s="1822"/>
      <c r="AT102" s="1822"/>
      <c r="AU102" s="20"/>
      <c r="AV102" s="20"/>
      <c r="AW102" s="20"/>
      <c r="AX102" s="20"/>
      <c r="AY102" s="20"/>
      <c r="AZ102" s="20"/>
      <c r="BD102" s="3" t="s">
        <v>2524</v>
      </c>
      <c r="BE102" t="b">
        <f>T197="Yes"</f>
        <v>0</v>
      </c>
    </row>
    <row r="103" spans="1:57" ht="12.95" customHeight="1">
      <c r="A103" s="1822"/>
      <c r="B103" s="1822"/>
      <c r="C103" s="1822"/>
      <c r="D103" s="1822"/>
      <c r="E103" s="1822"/>
      <c r="F103" s="1822"/>
      <c r="G103" s="1822"/>
      <c r="H103" s="1822"/>
      <c r="I103" s="1822"/>
      <c r="J103" s="1822"/>
      <c r="K103" s="1822"/>
      <c r="L103" s="1822"/>
      <c r="M103" s="1822"/>
      <c r="N103" s="1822"/>
      <c r="O103" s="1822"/>
      <c r="P103" s="1822"/>
      <c r="Q103" s="1822"/>
      <c r="R103" s="1822"/>
      <c r="S103" s="1822"/>
      <c r="T103" s="1822"/>
      <c r="U103" s="1822"/>
      <c r="V103" s="1822"/>
      <c r="W103" s="1822"/>
      <c r="X103" s="1822"/>
      <c r="Y103" s="1822"/>
      <c r="Z103" s="1822"/>
      <c r="AA103" s="1822"/>
      <c r="AB103" s="1822"/>
      <c r="AC103" s="1822"/>
      <c r="AD103" s="1822"/>
      <c r="AE103" s="1822"/>
      <c r="AF103" s="1822"/>
      <c r="AG103" s="1822"/>
      <c r="AH103" s="1822"/>
      <c r="AI103" s="1822"/>
      <c r="AJ103" s="1822"/>
      <c r="AK103" s="1822"/>
      <c r="AL103" s="1822"/>
      <c r="AM103" s="1822"/>
      <c r="AN103" s="1822"/>
      <c r="AO103" s="1822"/>
      <c r="AP103" s="1822"/>
      <c r="AQ103" s="1822"/>
      <c r="AR103" s="1822"/>
      <c r="AS103" s="1822"/>
      <c r="AT103" s="1822"/>
      <c r="AU103" s="20"/>
      <c r="AV103" s="20"/>
      <c r="AW103" s="20"/>
      <c r="AX103" s="20"/>
      <c r="AY103" s="20"/>
      <c r="BD103" t="s">
        <v>2128</v>
      </c>
      <c r="BE103" s="1182"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2" t="b">
        <f>T200="Yes"</f>
        <v>0</v>
      </c>
    </row>
    <row r="105" spans="1:57" ht="12.95" customHeight="1">
      <c r="A105" s="1822" t="s">
        <v>2119</v>
      </c>
      <c r="B105" s="1822"/>
      <c r="C105" s="1822"/>
      <c r="D105" s="1822"/>
      <c r="E105" s="1822"/>
      <c r="F105" s="1822"/>
      <c r="G105" s="1822"/>
      <c r="H105" s="1822"/>
      <c r="I105" s="1822"/>
      <c r="J105" s="1822"/>
      <c r="K105" s="1822"/>
      <c r="L105" s="1822"/>
      <c r="M105" s="1822"/>
      <c r="N105" s="1822"/>
      <c r="O105" s="1822"/>
      <c r="P105" s="1822"/>
      <c r="Q105" s="1822"/>
      <c r="R105" s="1822"/>
      <c r="S105" s="1822"/>
      <c r="T105" s="1822"/>
      <c r="U105" s="1822"/>
      <c r="V105" s="1822"/>
      <c r="W105" s="1822"/>
      <c r="X105" s="1822"/>
      <c r="Y105" s="1822"/>
      <c r="Z105" s="1822"/>
      <c r="AA105" s="1822"/>
      <c r="AB105" s="1822"/>
      <c r="AC105" s="1822"/>
      <c r="AD105" s="1822"/>
      <c r="AE105" s="1822"/>
      <c r="AF105" s="1822"/>
      <c r="AG105" s="1822"/>
      <c r="AH105" s="1822"/>
      <c r="AI105" s="1822"/>
      <c r="AJ105" s="1822"/>
      <c r="AK105" s="1822"/>
      <c r="AL105" s="1822"/>
      <c r="AM105" s="1822"/>
      <c r="AN105" s="1822"/>
      <c r="AO105" s="1822"/>
      <c r="AP105" s="1822"/>
      <c r="AQ105" s="1822"/>
      <c r="AR105" s="1822"/>
      <c r="AS105" s="1822"/>
      <c r="AT105" s="1822"/>
      <c r="AU105" s="20"/>
      <c r="AV105" s="20"/>
      <c r="AW105" s="20"/>
      <c r="AX105" s="20"/>
      <c r="AY105" s="20"/>
      <c r="BD105" s="3" t="s">
        <v>2540</v>
      </c>
      <c r="BE105" s="1182" t="b">
        <f>V224="Yes"</f>
        <v>0</v>
      </c>
    </row>
    <row r="106" spans="1:57" ht="12.95" customHeight="1">
      <c r="A106" s="1822"/>
      <c r="B106" s="1822"/>
      <c r="C106" s="1822"/>
      <c r="D106" s="1822"/>
      <c r="E106" s="1822"/>
      <c r="F106" s="1822"/>
      <c r="G106" s="1822"/>
      <c r="H106" s="1822"/>
      <c r="I106" s="1822"/>
      <c r="J106" s="1822"/>
      <c r="K106" s="1822"/>
      <c r="L106" s="1822"/>
      <c r="M106" s="1822"/>
      <c r="N106" s="1822"/>
      <c r="O106" s="1822"/>
      <c r="P106" s="1822"/>
      <c r="Q106" s="1822"/>
      <c r="R106" s="1822"/>
      <c r="S106" s="1822"/>
      <c r="T106" s="1822"/>
      <c r="U106" s="1822"/>
      <c r="V106" s="1822"/>
      <c r="W106" s="1822"/>
      <c r="X106" s="1822"/>
      <c r="Y106" s="1822"/>
      <c r="Z106" s="1822"/>
      <c r="AA106" s="1822"/>
      <c r="AB106" s="1822"/>
      <c r="AC106" s="1822"/>
      <c r="AD106" s="1822"/>
      <c r="AE106" s="1822"/>
      <c r="AF106" s="1822"/>
      <c r="AG106" s="1822"/>
      <c r="AH106" s="1822"/>
      <c r="AI106" s="1822"/>
      <c r="AJ106" s="1822"/>
      <c r="AK106" s="1822"/>
      <c r="AL106" s="1822"/>
      <c r="AM106" s="1822"/>
      <c r="AN106" s="1822"/>
      <c r="AO106" s="1822"/>
      <c r="AP106" s="1822"/>
      <c r="AQ106" s="1822"/>
      <c r="AR106" s="1822"/>
      <c r="AS106" s="1822"/>
      <c r="AT106" s="1822"/>
      <c r="AU106" s="20"/>
      <c r="AV106" s="20"/>
      <c r="AW106" s="20"/>
      <c r="AX106" s="20"/>
      <c r="AY106" s="20"/>
      <c r="BD106" s="3" t="s">
        <v>2541</v>
      </c>
      <c r="BE106" s="1182" t="b">
        <f t="shared" ref="BE106:BE110" si="0">V225="Yes"</f>
        <v>0</v>
      </c>
    </row>
    <row r="107" spans="1:57" ht="12.95"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2" t="b">
        <f t="shared" si="0"/>
        <v>0</v>
      </c>
    </row>
    <row r="108" spans="1:57" ht="12.95" customHeight="1">
      <c r="A108" s="516"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2"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2" t="b">
        <f t="shared" si="0"/>
        <v>1</v>
      </c>
    </row>
    <row r="110" spans="1:57" ht="12.95"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2" t="b">
        <f t="shared" si="0"/>
        <v>0</v>
      </c>
    </row>
    <row r="111" spans="1:57" ht="12.95"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8"/>
      <c r="C113" s="3" t="s">
        <v>180</v>
      </c>
      <c r="G113" s="1823">
        <v>1</v>
      </c>
      <c r="H113" s="1823"/>
      <c r="I113" s="3" t="s">
        <v>181</v>
      </c>
      <c r="L113" s="1823" t="s">
        <v>2749</v>
      </c>
      <c r="M113" s="1823"/>
      <c r="N113" s="1823"/>
      <c r="O113" s="1823"/>
      <c r="P113" s="1830" t="s">
        <v>2608</v>
      </c>
      <c r="Q113" s="1830"/>
      <c r="R113" s="1830"/>
      <c r="S113" s="183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32" t="s">
        <v>2643</v>
      </c>
      <c r="D115" s="1832"/>
      <c r="E115" s="1832"/>
      <c r="F115" s="1832"/>
      <c r="G115" s="1832"/>
      <c r="H115" s="1832"/>
      <c r="I115" s="1832"/>
      <c r="J115" s="1832"/>
      <c r="K115" s="1832"/>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823"/>
      <c r="Z117" s="1823"/>
      <c r="AA117" s="1823"/>
      <c r="AB117" s="1823"/>
      <c r="AC117" s="1823"/>
      <c r="AD117" s="1823"/>
      <c r="AE117" s="1823"/>
      <c r="AF117" s="1823"/>
      <c r="AG117" s="1823"/>
      <c r="AH117" s="1823"/>
      <c r="AI117" s="1823"/>
      <c r="AJ117" s="1823"/>
      <c r="AK117" s="1823"/>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23" t="s">
        <v>2698</v>
      </c>
      <c r="Z120" s="1823"/>
      <c r="AA120" s="1823"/>
      <c r="AB120" s="1823"/>
      <c r="AC120" s="1823"/>
      <c r="AD120" s="1823"/>
      <c r="AE120" s="1823"/>
      <c r="AF120" s="1823"/>
      <c r="AG120" s="1823"/>
      <c r="AH120" s="1823"/>
      <c r="AI120" s="1823"/>
      <c r="AJ120" s="1823"/>
      <c r="AK120" s="182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95" t="s">
        <v>467</v>
      </c>
      <c r="CV122" s="1696"/>
      <c r="CW122" s="14"/>
      <c r="CX122" s="14" t="s">
        <v>632</v>
      </c>
      <c r="CY122" s="14"/>
      <c r="CZ122" s="14"/>
      <c r="DA122" s="14"/>
      <c r="DB122" s="14"/>
      <c r="DC122" s="14"/>
      <c r="DD122" s="14"/>
      <c r="DE122" s="14"/>
      <c r="DF122" s="14"/>
      <c r="DG122" s="1692" t="str">
        <f>T189</f>
        <v>Los Angeles</v>
      </c>
      <c r="DH122" s="1693"/>
      <c r="DI122" s="1693"/>
      <c r="DJ122" s="1693"/>
      <c r="DK122" s="1693"/>
      <c r="DL122" s="1693"/>
      <c r="DM122" s="1694"/>
    </row>
    <row r="123" spans="1:117" ht="12.95" customHeight="1">
      <c r="A123" s="3"/>
      <c r="B123" s="3"/>
      <c r="T123" s="3"/>
      <c r="U123" s="3"/>
      <c r="V123" s="3"/>
      <c r="W123" s="3"/>
      <c r="X123" s="3"/>
      <c r="Y123" s="1823" t="s">
        <v>2750</v>
      </c>
      <c r="Z123" s="1823"/>
      <c r="AA123" s="1823"/>
      <c r="AB123" s="1823"/>
      <c r="AC123" s="1823"/>
      <c r="AD123" s="1823"/>
      <c r="AE123" s="1823"/>
      <c r="AF123" s="1823"/>
      <c r="AG123" s="1823"/>
      <c r="AH123" s="1823"/>
      <c r="AI123" s="1823"/>
      <c r="AJ123" s="1823"/>
      <c r="AK123" s="182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5" customHeight="1">
      <c r="A128" s="353"/>
      <c r="AL128" s="353"/>
      <c r="AM128" s="353"/>
      <c r="AN128" s="353"/>
      <c r="AO128" s="353"/>
      <c r="AP128" s="353"/>
      <c r="AQ128" s="353"/>
      <c r="AR128" s="353"/>
      <c r="AS128" s="353"/>
      <c r="AT128" s="353"/>
      <c r="AU128" s="353"/>
      <c r="AV128" s="353"/>
      <c r="AW128" s="353"/>
      <c r="AX128" s="353"/>
      <c r="AY128" s="353"/>
    </row>
    <row r="129" spans="1:51" ht="12.95"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2.95"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2.95"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2.95"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2.95"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2.95"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2.95"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2.95"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2.95"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354"/>
      <c r="G150" s="1354"/>
      <c r="H150" s="1354"/>
      <c r="I150" s="1354"/>
      <c r="J150" s="1354"/>
      <c r="K150" s="1354"/>
      <c r="L150" s="1354"/>
      <c r="M150" s="1354"/>
      <c r="N150" s="1354"/>
      <c r="O150" s="1354"/>
      <c r="P150" s="1354"/>
      <c r="Q150" s="1354"/>
      <c r="R150" s="1354"/>
      <c r="S150" s="1354"/>
      <c r="T150" s="135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643</v>
      </c>
      <c r="O153" s="1700" t="s">
        <v>2754</v>
      </c>
      <c r="P153" s="1700"/>
      <c r="Q153" s="1700"/>
      <c r="R153" s="1700"/>
      <c r="S153" s="1700"/>
      <c r="T153" s="1700"/>
      <c r="U153" s="1700"/>
      <c r="V153" s="1700"/>
      <c r="W153" s="1700"/>
      <c r="X153" s="1700"/>
      <c r="Y153" s="1700"/>
      <c r="Z153" s="1700"/>
      <c r="AA153" s="1700"/>
      <c r="AB153" s="1700"/>
      <c r="AC153" s="1700"/>
      <c r="AD153" s="1700"/>
      <c r="AE153" s="1700"/>
      <c r="AF153" s="1700"/>
      <c r="AG153" s="1700"/>
      <c r="AH153" s="1700"/>
      <c r="BM153">
        <v>5</v>
      </c>
      <c r="BN153" s="3" t="s">
        <v>2395</v>
      </c>
      <c r="CR153" s="31" t="s">
        <v>2637</v>
      </c>
      <c r="CS153" s="32"/>
      <c r="CT153" s="32"/>
      <c r="CU153" s="32"/>
      <c r="CV153" s="32"/>
      <c r="CW153" s="32"/>
      <c r="CX153" s="14"/>
      <c r="CY153" s="31" t="s">
        <v>2638</v>
      </c>
      <c r="CZ153" s="14"/>
      <c r="DA153" s="14"/>
      <c r="DB153" s="14"/>
      <c r="DC153" s="14"/>
      <c r="DD153" s="14"/>
    </row>
    <row r="154" spans="1:108" ht="12.95" customHeight="1">
      <c r="D154" s="302" t="s">
        <v>438</v>
      </c>
      <c r="O154" s="1699" t="s">
        <v>2761</v>
      </c>
      <c r="P154" s="1699"/>
      <c r="Q154" s="1699"/>
      <c r="R154" s="1699"/>
      <c r="S154" s="1699"/>
      <c r="T154" s="1699"/>
      <c r="U154" s="1699"/>
      <c r="V154" s="1699"/>
      <c r="W154" s="1699"/>
      <c r="X154" s="1699"/>
      <c r="Y154" s="1699"/>
      <c r="Z154" s="1699"/>
      <c r="AA154" s="1699"/>
      <c r="AB154" s="1699"/>
      <c r="AC154" s="1699"/>
      <c r="AD154" s="1699"/>
      <c r="AE154" s="1699"/>
      <c r="AF154" s="1699"/>
      <c r="AG154" s="1699"/>
      <c r="AH154" s="1699"/>
      <c r="BM154">
        <v>6</v>
      </c>
      <c r="BN154" s="3" t="s">
        <v>2396</v>
      </c>
      <c r="CR154" s="31"/>
      <c r="CS154" s="32"/>
      <c r="CT154" s="32"/>
      <c r="CU154" s="32"/>
      <c r="CV154" s="32"/>
      <c r="CW154" s="32"/>
      <c r="CX154" s="14"/>
      <c r="CY154" s="31"/>
      <c r="CZ154" s="14"/>
      <c r="DA154" s="14"/>
      <c r="DB154" s="14"/>
      <c r="DC154" s="14"/>
      <c r="DD154" s="14"/>
    </row>
    <row r="155" spans="1:108" ht="12.95" customHeight="1">
      <c r="D155" s="8" t="s">
        <v>439</v>
      </c>
      <c r="F155" s="8"/>
      <c r="G155" s="8"/>
      <c r="H155" s="8"/>
      <c r="I155" s="8"/>
      <c r="J155" s="8"/>
      <c r="K155" s="8"/>
      <c r="L155" s="8"/>
      <c r="M155" s="8"/>
      <c r="N155" s="8"/>
      <c r="O155" s="1839" t="s">
        <v>2762</v>
      </c>
      <c r="P155" s="1840"/>
      <c r="Q155" s="1840"/>
      <c r="R155" s="1840"/>
      <c r="S155" s="1840"/>
      <c r="T155" s="1840"/>
      <c r="U155" s="1840"/>
      <c r="V155" s="1840"/>
      <c r="W155" s="1840"/>
      <c r="X155" s="1840"/>
      <c r="Y155" s="1840"/>
      <c r="Z155" s="1840"/>
      <c r="AA155" s="1840"/>
      <c r="AB155" s="1840"/>
      <c r="AC155" s="1840"/>
      <c r="AD155" s="1840"/>
      <c r="AE155" s="1840"/>
      <c r="AF155" s="1840"/>
      <c r="AG155" s="1840"/>
      <c r="AH155" s="1840"/>
      <c r="BM155">
        <v>7</v>
      </c>
      <c r="BN155" s="3" t="s">
        <v>589</v>
      </c>
      <c r="CR155" s="31"/>
      <c r="CS155" s="32"/>
      <c r="CT155" s="32"/>
      <c r="CU155" s="32"/>
      <c r="CV155" s="32"/>
      <c r="CW155" s="32"/>
      <c r="CX155" s="14"/>
      <c r="CY155" s="31"/>
      <c r="CZ155" s="14"/>
      <c r="DA155" s="14"/>
      <c r="DB155" s="14"/>
      <c r="DC155" s="14"/>
      <c r="DD155" s="14"/>
    </row>
    <row r="156" spans="1:108" ht="12.95" customHeight="1">
      <c r="D156" t="s">
        <v>312</v>
      </c>
      <c r="O156" s="1700" t="s">
        <v>2763</v>
      </c>
      <c r="P156" s="1700"/>
      <c r="Q156" s="1700"/>
      <c r="R156" s="1700"/>
      <c r="S156" s="1700"/>
      <c r="T156" s="1700"/>
      <c r="U156" s="1700"/>
      <c r="V156" s="1700"/>
      <c r="W156" s="1700"/>
      <c r="X156" s="1700"/>
      <c r="Y156" s="1700"/>
      <c r="Z156" s="1700"/>
      <c r="AA156" s="1700"/>
      <c r="AB156" s="1700"/>
      <c r="AC156" s="1700"/>
      <c r="AD156" s="1700"/>
      <c r="AE156" s="1700"/>
      <c r="AF156" s="1700"/>
      <c r="AG156" s="1700"/>
      <c r="AH156" s="1700"/>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700" t="s">
        <v>492</v>
      </c>
      <c r="P157" s="1700"/>
      <c r="Q157" s="1700"/>
      <c r="R157" s="1700"/>
      <c r="S157" s="1700"/>
      <c r="T157" s="1700"/>
      <c r="U157" s="1700"/>
      <c r="V157" s="1700"/>
      <c r="W157" s="1700"/>
      <c r="X157" s="1700"/>
      <c r="Y157" s="8"/>
      <c r="Z157" s="8"/>
      <c r="AA157" s="8"/>
      <c r="AB157" s="8"/>
      <c r="AC157" s="8"/>
      <c r="AD157" s="8"/>
      <c r="AE157" s="8"/>
      <c r="AF157" s="8"/>
      <c r="BN157" s="23" t="s">
        <v>634</v>
      </c>
      <c r="BS157">
        <v>2</v>
      </c>
      <c r="BT157" t="s">
        <v>474</v>
      </c>
      <c r="CB157" s="285" t="s">
        <v>645</v>
      </c>
      <c r="CC157" s="196"/>
      <c r="CD157" s="196"/>
      <c r="CE157" s="196"/>
      <c r="CF157" s="196"/>
      <c r="CG157" s="196"/>
      <c r="CH157" s="196"/>
      <c r="CI157" s="3"/>
      <c r="CJ157" s="285"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845">
        <v>90026</v>
      </c>
      <c r="P158" s="1845"/>
      <c r="Q158" s="1845"/>
      <c r="R158" s="1845"/>
      <c r="S158" s="9"/>
      <c r="T158" s="9"/>
      <c r="U158" s="9"/>
      <c r="V158" s="9"/>
      <c r="W158" s="9"/>
      <c r="X158" s="9"/>
      <c r="Y158" s="9"/>
      <c r="Z158" s="9"/>
      <c r="AA158" s="9"/>
      <c r="AB158" s="9"/>
      <c r="AC158" s="9"/>
      <c r="AD158" s="9"/>
      <c r="AE158" s="9"/>
      <c r="AF158" s="9"/>
      <c r="BN158" s="23" t="s">
        <v>635</v>
      </c>
      <c r="BS158">
        <v>7</v>
      </c>
      <c r="BT158" t="s">
        <v>475</v>
      </c>
      <c r="CB158" s="283"/>
      <c r="CC158" s="197"/>
      <c r="CD158" s="284"/>
      <c r="CE158" s="284"/>
      <c r="CF158" s="284"/>
      <c r="CG158" s="284"/>
      <c r="CH158" s="284"/>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846" t="s">
        <v>2764</v>
      </c>
      <c r="P159" s="1846"/>
      <c r="Q159" s="1846"/>
      <c r="R159" s="1846"/>
      <c r="S159" s="1846"/>
      <c r="T159" s="1846"/>
      <c r="V159" s="97" t="s">
        <v>270</v>
      </c>
      <c r="W159" s="1827" t="s">
        <v>589</v>
      </c>
      <c r="X159" s="1828"/>
      <c r="Y159" s="10"/>
      <c r="Z159" s="10"/>
      <c r="AA159" s="10"/>
      <c r="AB159" s="10"/>
      <c r="AC159" s="10"/>
      <c r="AD159" s="10"/>
      <c r="AE159" s="10"/>
      <c r="AF159" s="10"/>
      <c r="BN159" s="23" t="s">
        <v>338</v>
      </c>
      <c r="BS159">
        <v>7</v>
      </c>
      <c r="BT159" t="s">
        <v>476</v>
      </c>
      <c r="CB159" s="346" t="s">
        <v>646</v>
      </c>
      <c r="CC159" s="347" t="s">
        <v>323</v>
      </c>
      <c r="CD159" s="347" t="s">
        <v>324</v>
      </c>
      <c r="CE159" s="347" t="s">
        <v>163</v>
      </c>
      <c r="CF159" s="347" t="s">
        <v>164</v>
      </c>
      <c r="CG159" s="347" t="s">
        <v>165</v>
      </c>
      <c r="CH159" s="347" t="s">
        <v>30</v>
      </c>
      <c r="CI159" s="3"/>
      <c r="CJ159" s="347" t="s">
        <v>323</v>
      </c>
      <c r="CK159" s="347" t="s">
        <v>324</v>
      </c>
      <c r="CL159" s="347" t="s">
        <v>163</v>
      </c>
      <c r="CM159" s="347" t="s">
        <v>164</v>
      </c>
      <c r="CN159" s="347"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2.95" customHeight="1">
      <c r="D160" t="s">
        <v>316</v>
      </c>
      <c r="O160" s="1846" t="s">
        <v>2747</v>
      </c>
      <c r="P160" s="1846"/>
      <c r="Q160" s="1846"/>
      <c r="R160" s="1846"/>
      <c r="S160" s="1846"/>
      <c r="T160" s="1846"/>
      <c r="U160" s="10"/>
      <c r="V160" s="10"/>
      <c r="W160" s="10"/>
      <c r="X160" s="10"/>
      <c r="Y160" s="10"/>
      <c r="Z160" s="10"/>
      <c r="AA160" s="10"/>
      <c r="AB160" s="10"/>
      <c r="AC160" s="10"/>
      <c r="AD160" s="10"/>
      <c r="AE160" s="10"/>
      <c r="AF160" s="10"/>
      <c r="BN160" s="23" t="s">
        <v>658</v>
      </c>
      <c r="BS160">
        <v>6</v>
      </c>
      <c r="BT160" t="s">
        <v>477</v>
      </c>
      <c r="CB160" s="348" t="s">
        <v>474</v>
      </c>
      <c r="CC160" s="456">
        <v>2796</v>
      </c>
      <c r="CD160" s="457">
        <v>2996</v>
      </c>
      <c r="CE160" s="458">
        <v>3596</v>
      </c>
      <c r="CF160" s="457">
        <v>4154</v>
      </c>
      <c r="CG160" s="458">
        <v>4634</v>
      </c>
      <c r="CH160" s="459">
        <v>5114</v>
      </c>
      <c r="CI160" s="3"/>
      <c r="CJ160" s="856">
        <v>1937</v>
      </c>
      <c r="CK160" s="856">
        <v>2201</v>
      </c>
      <c r="CL160" s="856">
        <v>2682</v>
      </c>
      <c r="CM160" s="856">
        <v>3432</v>
      </c>
      <c r="CN160" s="856">
        <v>4077</v>
      </c>
      <c r="CR160" s="23" t="s">
        <v>634</v>
      </c>
      <c r="CS160" s="322">
        <v>491221</v>
      </c>
      <c r="CT160" s="322">
        <v>566373</v>
      </c>
      <c r="CU160" s="322">
        <v>683200</v>
      </c>
      <c r="CV160" s="322">
        <v>874496</v>
      </c>
      <c r="CW160" s="322">
        <v>974243</v>
      </c>
      <c r="CX160" s="14"/>
      <c r="CY160" s="23" t="s">
        <v>634</v>
      </c>
      <c r="CZ160" s="322">
        <v>491221</v>
      </c>
      <c r="DA160" s="322">
        <v>566373</v>
      </c>
      <c r="DB160" s="322">
        <v>683200</v>
      </c>
      <c r="DC160" s="322">
        <v>874496</v>
      </c>
      <c r="DD160" s="322">
        <v>974243</v>
      </c>
    </row>
    <row r="161" spans="1:108" ht="12.95" customHeight="1">
      <c r="D161" t="s">
        <v>317</v>
      </c>
      <c r="O161" s="1819" t="s">
        <v>2765</v>
      </c>
      <c r="P161" s="1819"/>
      <c r="Q161" s="1819"/>
      <c r="R161" s="1819"/>
      <c r="S161" s="1819"/>
      <c r="T161" s="1819"/>
      <c r="U161" s="1819"/>
      <c r="V161" s="1819"/>
      <c r="W161" s="1819"/>
      <c r="X161" s="1819"/>
      <c r="Y161" s="1819"/>
      <c r="Z161" s="1819"/>
      <c r="AA161" s="1819"/>
      <c r="AB161" s="1819"/>
      <c r="AC161" s="1819"/>
      <c r="AD161" s="1819"/>
      <c r="AE161" s="1819"/>
      <c r="AF161" s="1819"/>
      <c r="AG161" s="1819"/>
      <c r="AH161" s="1819"/>
      <c r="BJ161" t="s">
        <v>667</v>
      </c>
      <c r="BN161" s="23" t="s">
        <v>659</v>
      </c>
      <c r="BS161">
        <v>7</v>
      </c>
      <c r="BT161" t="s">
        <v>478</v>
      </c>
      <c r="CB161" s="349" t="s">
        <v>475</v>
      </c>
      <c r="CC161" s="460">
        <v>2020</v>
      </c>
      <c r="CD161" s="461">
        <v>2162</v>
      </c>
      <c r="CE161" s="460">
        <v>2594</v>
      </c>
      <c r="CF161" s="461">
        <v>3000</v>
      </c>
      <c r="CG161" s="461">
        <v>3346</v>
      </c>
      <c r="CH161" s="462">
        <v>3692</v>
      </c>
      <c r="CI161" s="3"/>
      <c r="CJ161" s="856">
        <v>1003</v>
      </c>
      <c r="CK161" s="856">
        <v>1101</v>
      </c>
      <c r="CL161" s="856">
        <v>1445</v>
      </c>
      <c r="CM161" s="856">
        <v>2025</v>
      </c>
      <c r="CN161" s="856">
        <v>2396</v>
      </c>
      <c r="CR161" s="23" t="s">
        <v>635</v>
      </c>
      <c r="CS161" s="320">
        <v>402640</v>
      </c>
      <c r="CT161" s="320">
        <v>464240</v>
      </c>
      <c r="CU161" s="320">
        <v>560000</v>
      </c>
      <c r="CV161" s="320">
        <v>716800</v>
      </c>
      <c r="CW161" s="320">
        <v>798560</v>
      </c>
      <c r="CX161" s="14"/>
      <c r="CY161" s="23" t="s">
        <v>635</v>
      </c>
      <c r="CZ161" s="320">
        <v>402640</v>
      </c>
      <c r="DA161" s="320">
        <v>464240</v>
      </c>
      <c r="DB161" s="320">
        <v>560000</v>
      </c>
      <c r="DC161" s="320">
        <v>716800</v>
      </c>
      <c r="DD161" s="320">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49" t="s">
        <v>476</v>
      </c>
      <c r="CC162" s="463">
        <v>1924</v>
      </c>
      <c r="CD162" s="464">
        <v>2062</v>
      </c>
      <c r="CE162" s="463">
        <v>2474</v>
      </c>
      <c r="CF162" s="464">
        <v>2856</v>
      </c>
      <c r="CG162" s="464">
        <v>3186</v>
      </c>
      <c r="CH162" s="465">
        <v>3516</v>
      </c>
      <c r="CI162" s="3"/>
      <c r="CJ162" s="856">
        <v>1253</v>
      </c>
      <c r="CK162" s="856">
        <v>1260</v>
      </c>
      <c r="CL162" s="856">
        <v>1493</v>
      </c>
      <c r="CM162" s="856">
        <v>2084</v>
      </c>
      <c r="CN162" s="856">
        <v>2507</v>
      </c>
      <c r="CR162" s="23" t="s">
        <v>338</v>
      </c>
      <c r="CS162" s="322">
        <v>402640</v>
      </c>
      <c r="CT162" s="322">
        <v>464240</v>
      </c>
      <c r="CU162" s="322">
        <v>560000</v>
      </c>
      <c r="CV162" s="322">
        <v>716800</v>
      </c>
      <c r="CW162" s="322">
        <v>798560</v>
      </c>
      <c r="CX162" s="14"/>
      <c r="CY162" s="23" t="s">
        <v>338</v>
      </c>
      <c r="CZ162" s="322">
        <v>402640</v>
      </c>
      <c r="DA162" s="322">
        <v>464240</v>
      </c>
      <c r="DB162" s="322">
        <v>560000</v>
      </c>
      <c r="DC162" s="322">
        <v>716800</v>
      </c>
      <c r="DD162" s="322">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49" t="s">
        <v>477</v>
      </c>
      <c r="CC163" s="463">
        <v>1644</v>
      </c>
      <c r="CD163" s="464">
        <v>1762</v>
      </c>
      <c r="CE163" s="463">
        <v>2114</v>
      </c>
      <c r="CF163" s="464">
        <v>2442</v>
      </c>
      <c r="CG163" s="464">
        <v>2724</v>
      </c>
      <c r="CH163" s="465">
        <v>3006</v>
      </c>
      <c r="CI163" s="3"/>
      <c r="CJ163" s="856">
        <v>1069</v>
      </c>
      <c r="CK163" s="856">
        <v>1126</v>
      </c>
      <c r="CL163" s="856">
        <v>1466</v>
      </c>
      <c r="CM163" s="856">
        <v>2054</v>
      </c>
      <c r="CN163" s="856">
        <v>2462</v>
      </c>
      <c r="CR163" s="23" t="s">
        <v>658</v>
      </c>
      <c r="CS163" s="320">
        <v>369278</v>
      </c>
      <c r="CT163" s="320">
        <v>425774</v>
      </c>
      <c r="CU163" s="320">
        <v>513600</v>
      </c>
      <c r="CV163" s="320">
        <v>657408</v>
      </c>
      <c r="CW163" s="320">
        <v>732394</v>
      </c>
      <c r="CX163" s="14"/>
      <c r="CY163" s="23" t="s">
        <v>658</v>
      </c>
      <c r="CZ163" s="320">
        <v>369278</v>
      </c>
      <c r="DA163" s="320">
        <v>425774</v>
      </c>
      <c r="DB163" s="320">
        <v>513600</v>
      </c>
      <c r="DC163" s="320">
        <v>657408</v>
      </c>
      <c r="DD163" s="320">
        <v>732394</v>
      </c>
    </row>
    <row r="164" spans="1:108" ht="12.95" customHeight="1">
      <c r="C164" s="27"/>
      <c r="D164" s="1833" t="s">
        <v>2169</v>
      </c>
      <c r="E164" s="1833"/>
      <c r="F164" s="1833"/>
      <c r="G164" s="1833"/>
      <c r="H164" s="1833"/>
      <c r="I164" s="1833"/>
      <c r="J164" s="1833"/>
      <c r="K164" s="1833"/>
      <c r="L164" s="1833"/>
      <c r="M164" s="1833"/>
      <c r="N164" s="1833"/>
      <c r="O164" s="1833"/>
      <c r="P164" s="1833"/>
      <c r="Q164" s="1833"/>
      <c r="R164" s="1833"/>
      <c r="S164" s="1833"/>
      <c r="T164" s="1833"/>
      <c r="U164" s="1833"/>
      <c r="V164" s="1833"/>
      <c r="W164" s="1833"/>
      <c r="X164" s="1833"/>
      <c r="Y164" s="1833"/>
      <c r="Z164" s="1833"/>
      <c r="AA164" s="1833"/>
      <c r="AB164" s="1833"/>
      <c r="AC164" s="1833"/>
      <c r="AD164" s="1833"/>
      <c r="AE164" s="1833"/>
      <c r="AF164" s="1833"/>
      <c r="AG164" s="1833"/>
      <c r="AH164" s="1833"/>
      <c r="BN164" s="23" t="s">
        <v>662</v>
      </c>
      <c r="BS164">
        <v>7</v>
      </c>
      <c r="BT164" t="s">
        <v>481</v>
      </c>
      <c r="CB164" s="349" t="s">
        <v>478</v>
      </c>
      <c r="CC164" s="463">
        <v>1776</v>
      </c>
      <c r="CD164" s="464">
        <v>1902</v>
      </c>
      <c r="CE164" s="463">
        <v>2284</v>
      </c>
      <c r="CF164" s="464">
        <v>2640</v>
      </c>
      <c r="CG164" s="464">
        <v>2944</v>
      </c>
      <c r="CH164" s="465">
        <v>3248</v>
      </c>
      <c r="CI164" s="3"/>
      <c r="CJ164" s="856">
        <v>989</v>
      </c>
      <c r="CK164" s="856">
        <v>1086</v>
      </c>
      <c r="CL164" s="856">
        <v>1425</v>
      </c>
      <c r="CM164" s="856">
        <v>1997</v>
      </c>
      <c r="CN164" s="856">
        <v>2195</v>
      </c>
      <c r="CR164" s="23" t="s">
        <v>659</v>
      </c>
      <c r="CS164" s="322">
        <v>402640</v>
      </c>
      <c r="CT164" s="322">
        <v>464240</v>
      </c>
      <c r="CU164" s="322">
        <v>560000</v>
      </c>
      <c r="CV164" s="322">
        <v>716800</v>
      </c>
      <c r="CW164" s="322">
        <v>798560</v>
      </c>
      <c r="CX164" s="14"/>
      <c r="CY164" s="23" t="s">
        <v>659</v>
      </c>
      <c r="CZ164" s="322">
        <v>402640</v>
      </c>
      <c r="DA164" s="322">
        <v>464240</v>
      </c>
      <c r="DB164" s="322">
        <v>560000</v>
      </c>
      <c r="DC164" s="322">
        <v>716800</v>
      </c>
      <c r="DD164" s="322">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49" t="s">
        <v>479</v>
      </c>
      <c r="CC165" s="463">
        <v>1680</v>
      </c>
      <c r="CD165" s="464">
        <v>1800</v>
      </c>
      <c r="CE165" s="463">
        <v>2160</v>
      </c>
      <c r="CF165" s="464">
        <v>2496</v>
      </c>
      <c r="CG165" s="464">
        <v>2784</v>
      </c>
      <c r="CH165" s="465">
        <v>3072</v>
      </c>
      <c r="CI165" s="3"/>
      <c r="CJ165" s="856">
        <v>915</v>
      </c>
      <c r="CK165" s="856">
        <v>921</v>
      </c>
      <c r="CL165" s="856">
        <v>1208</v>
      </c>
      <c r="CM165" s="856">
        <v>1625</v>
      </c>
      <c r="CN165" s="856">
        <v>1631</v>
      </c>
      <c r="CR165" s="23" t="s">
        <v>660</v>
      </c>
      <c r="CS165" s="320">
        <v>402640</v>
      </c>
      <c r="CT165" s="320">
        <v>464240</v>
      </c>
      <c r="CU165" s="320">
        <v>560000</v>
      </c>
      <c r="CV165" s="320">
        <v>716800</v>
      </c>
      <c r="CW165" s="320">
        <v>798560</v>
      </c>
      <c r="CX165" s="14"/>
      <c r="CY165" s="23" t="s">
        <v>660</v>
      </c>
      <c r="CZ165" s="320">
        <v>402640</v>
      </c>
      <c r="DA165" s="320">
        <v>464240</v>
      </c>
      <c r="DB165" s="320">
        <v>560000</v>
      </c>
      <c r="DC165" s="320">
        <v>716800</v>
      </c>
      <c r="DD165" s="320">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49" t="s">
        <v>480</v>
      </c>
      <c r="CC166" s="463">
        <v>2796</v>
      </c>
      <c r="CD166" s="464">
        <v>2996</v>
      </c>
      <c r="CE166" s="463">
        <v>3596</v>
      </c>
      <c r="CF166" s="464">
        <v>4154</v>
      </c>
      <c r="CG166" s="464">
        <v>4634</v>
      </c>
      <c r="CH166" s="465">
        <v>5114</v>
      </c>
      <c r="CI166" s="3"/>
      <c r="CJ166" s="856">
        <v>1937</v>
      </c>
      <c r="CK166" s="856">
        <v>2201</v>
      </c>
      <c r="CL166" s="856">
        <v>2682</v>
      </c>
      <c r="CM166" s="856">
        <v>3432</v>
      </c>
      <c r="CN166" s="856">
        <v>4077</v>
      </c>
      <c r="CR166" s="23" t="s">
        <v>661</v>
      </c>
      <c r="CS166" s="322">
        <v>491221</v>
      </c>
      <c r="CT166" s="322">
        <v>566373</v>
      </c>
      <c r="CU166" s="322">
        <v>683200</v>
      </c>
      <c r="CV166" s="322">
        <v>874496</v>
      </c>
      <c r="CW166" s="322">
        <v>974243</v>
      </c>
      <c r="CX166" s="14"/>
      <c r="CY166" s="23" t="s">
        <v>661</v>
      </c>
      <c r="CZ166" s="322">
        <v>491221</v>
      </c>
      <c r="DA166" s="322">
        <v>566373</v>
      </c>
      <c r="DB166" s="322">
        <v>683200</v>
      </c>
      <c r="DC166" s="322">
        <v>874496</v>
      </c>
      <c r="DD166" s="322">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49" t="s">
        <v>481</v>
      </c>
      <c r="CC167" s="463">
        <v>1644</v>
      </c>
      <c r="CD167" s="464">
        <v>1762</v>
      </c>
      <c r="CE167" s="463">
        <v>2114</v>
      </c>
      <c r="CF167" s="464">
        <v>2442</v>
      </c>
      <c r="CG167" s="464">
        <v>2724</v>
      </c>
      <c r="CH167" s="465">
        <v>3006</v>
      </c>
      <c r="CI167" s="3"/>
      <c r="CJ167" s="856">
        <v>869</v>
      </c>
      <c r="CK167" s="856">
        <v>1086</v>
      </c>
      <c r="CL167" s="856">
        <v>1253</v>
      </c>
      <c r="CM167" s="856">
        <v>1756</v>
      </c>
      <c r="CN167" s="856">
        <v>2104</v>
      </c>
      <c r="CR167" s="23" t="s">
        <v>662</v>
      </c>
      <c r="CS167" s="320">
        <v>402640</v>
      </c>
      <c r="CT167" s="320">
        <v>464240</v>
      </c>
      <c r="CU167" s="320">
        <v>560000</v>
      </c>
      <c r="CV167" s="320">
        <v>716800</v>
      </c>
      <c r="CW167" s="320">
        <v>798560</v>
      </c>
      <c r="CX167" s="14"/>
      <c r="CY167" s="23" t="s">
        <v>662</v>
      </c>
      <c r="CZ167" s="320">
        <v>402640</v>
      </c>
      <c r="DA167" s="320">
        <v>464240</v>
      </c>
      <c r="DB167" s="320">
        <v>560000</v>
      </c>
      <c r="DC167" s="320">
        <v>716800</v>
      </c>
      <c r="DD167" s="320">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49" t="s">
        <v>482</v>
      </c>
      <c r="CC168" s="463">
        <v>2252</v>
      </c>
      <c r="CD168" s="464">
        <v>2412</v>
      </c>
      <c r="CE168" s="463">
        <v>2894</v>
      </c>
      <c r="CF168" s="464">
        <v>3342</v>
      </c>
      <c r="CG168" s="464">
        <v>3730</v>
      </c>
      <c r="CH168" s="465">
        <v>4116</v>
      </c>
      <c r="CI168" s="3"/>
      <c r="CJ168" s="856">
        <v>1679</v>
      </c>
      <c r="CK168" s="856">
        <v>1777</v>
      </c>
      <c r="CL168" s="856">
        <v>2206</v>
      </c>
      <c r="CM168" s="856">
        <v>2992</v>
      </c>
      <c r="CN168" s="856">
        <v>3455</v>
      </c>
      <c r="CR168" s="23" t="s">
        <v>663</v>
      </c>
      <c r="CS168" s="322">
        <v>360075</v>
      </c>
      <c r="CT168" s="322">
        <v>415163</v>
      </c>
      <c r="CU168" s="322">
        <v>500800</v>
      </c>
      <c r="CV168" s="322">
        <v>641024</v>
      </c>
      <c r="CW168" s="322">
        <v>714141</v>
      </c>
      <c r="CX168" s="14"/>
      <c r="CY168" s="23" t="s">
        <v>663</v>
      </c>
      <c r="CZ168" s="322">
        <v>360075</v>
      </c>
      <c r="DA168" s="322">
        <v>415163</v>
      </c>
      <c r="DB168" s="322">
        <v>500800</v>
      </c>
      <c r="DC168" s="322">
        <v>641024</v>
      </c>
      <c r="DD168" s="322">
        <v>714141</v>
      </c>
    </row>
    <row r="169" spans="1:108" ht="12.95" customHeight="1">
      <c r="A169" s="1519" t="s">
        <v>537</v>
      </c>
      <c r="B169" s="1519"/>
      <c r="C169" s="1519"/>
      <c r="D169" s="1519"/>
      <c r="E169" s="1519"/>
      <c r="F169" s="1519"/>
      <c r="G169" s="1519"/>
      <c r="H169" s="1519"/>
      <c r="I169" s="1519"/>
      <c r="J169" s="1519"/>
      <c r="K169" s="1519"/>
      <c r="L169" s="1519"/>
      <c r="M169" s="1519"/>
      <c r="N169" s="1519"/>
      <c r="O169" s="1519"/>
      <c r="P169" s="1519"/>
      <c r="Q169" s="1519"/>
      <c r="R169" s="1519"/>
      <c r="S169" s="1519"/>
      <c r="T169" s="1519"/>
      <c r="U169" s="1519"/>
      <c r="V169" s="1519"/>
      <c r="W169" s="1519"/>
      <c r="X169" s="1519"/>
      <c r="Y169" s="1519"/>
      <c r="Z169" s="1519"/>
      <c r="AA169" s="1519"/>
      <c r="AB169" s="1519"/>
      <c r="AC169" s="1519"/>
      <c r="AD169" s="1519"/>
      <c r="AE169" s="1519"/>
      <c r="AF169" s="1519"/>
      <c r="AG169" s="1519"/>
      <c r="AH169" s="1519"/>
      <c r="AI169" s="1519"/>
      <c r="AJ169" s="1519"/>
      <c r="AK169" s="1519"/>
      <c r="AL169" s="1519"/>
      <c r="AM169" s="1519"/>
      <c r="AN169" s="1519"/>
      <c r="AO169" s="1519"/>
      <c r="AP169" s="1519"/>
      <c r="AQ169" s="1519"/>
      <c r="AR169" s="1519"/>
      <c r="AS169" s="1519"/>
      <c r="AT169" s="1519"/>
      <c r="AU169" s="95"/>
      <c r="AV169" s="95"/>
      <c r="AW169" s="95"/>
      <c r="AX169" s="95"/>
      <c r="AY169" s="95"/>
      <c r="BN169" s="23" t="s">
        <v>671</v>
      </c>
      <c r="BS169">
        <v>5</v>
      </c>
      <c r="BT169" t="s">
        <v>486</v>
      </c>
      <c r="CB169" s="349" t="s">
        <v>483</v>
      </c>
      <c r="CC169" s="463">
        <v>1644</v>
      </c>
      <c r="CD169" s="464">
        <v>1762</v>
      </c>
      <c r="CE169" s="463">
        <v>2114</v>
      </c>
      <c r="CF169" s="464">
        <v>2442</v>
      </c>
      <c r="CG169" s="464">
        <v>2724</v>
      </c>
      <c r="CH169" s="465">
        <v>3006</v>
      </c>
      <c r="CI169" s="3"/>
      <c r="CJ169" s="856">
        <v>1210</v>
      </c>
      <c r="CK169" s="856">
        <v>1217</v>
      </c>
      <c r="CL169" s="856">
        <v>1505</v>
      </c>
      <c r="CM169" s="856">
        <v>2109</v>
      </c>
      <c r="CN169" s="856">
        <v>2415</v>
      </c>
      <c r="CR169" s="23" t="s">
        <v>665</v>
      </c>
      <c r="CS169" s="320">
        <v>323262</v>
      </c>
      <c r="CT169" s="320">
        <v>372718</v>
      </c>
      <c r="CU169" s="320">
        <v>449600</v>
      </c>
      <c r="CV169" s="320">
        <v>575488</v>
      </c>
      <c r="CW169" s="320">
        <v>641130</v>
      </c>
      <c r="CX169" s="14"/>
      <c r="CY169" s="23" t="s">
        <v>665</v>
      </c>
      <c r="CZ169" s="320">
        <v>323262</v>
      </c>
      <c r="DA169" s="320">
        <v>372718</v>
      </c>
      <c r="DB169" s="320">
        <v>449600</v>
      </c>
      <c r="DC169" s="320">
        <v>575488</v>
      </c>
      <c r="DD169" s="320">
        <v>641130</v>
      </c>
    </row>
    <row r="170" spans="1:108" ht="12.95" customHeight="1">
      <c r="A170" s="1519"/>
      <c r="B170" s="1519"/>
      <c r="C170" s="1519"/>
      <c r="D170" s="1519"/>
      <c r="E170" s="1519"/>
      <c r="F170" s="1519"/>
      <c r="G170" s="1519"/>
      <c r="H170" s="1519"/>
      <c r="I170" s="1519"/>
      <c r="J170" s="1519"/>
      <c r="K170" s="1519"/>
      <c r="L170" s="1519"/>
      <c r="M170" s="1519"/>
      <c r="N170" s="1519"/>
      <c r="O170" s="1519"/>
      <c r="P170" s="1519"/>
      <c r="Q170" s="1519"/>
      <c r="R170" s="1519"/>
      <c r="S170" s="1519"/>
      <c r="T170" s="1519"/>
      <c r="U170" s="1519"/>
      <c r="V170" s="1519"/>
      <c r="W170" s="1519"/>
      <c r="X170" s="1519"/>
      <c r="Y170" s="1519"/>
      <c r="Z170" s="1519"/>
      <c r="AA170" s="1519"/>
      <c r="AB170" s="1519"/>
      <c r="AC170" s="1519"/>
      <c r="AD170" s="1519"/>
      <c r="AE170" s="1519"/>
      <c r="AF170" s="1519"/>
      <c r="AG170" s="1519"/>
      <c r="AH170" s="1519"/>
      <c r="AI170" s="1519"/>
      <c r="AJ170" s="1519"/>
      <c r="AK170" s="1519"/>
      <c r="AL170" s="1519"/>
      <c r="AM170" s="1519"/>
      <c r="AN170" s="1519"/>
      <c r="AO170" s="1519"/>
      <c r="AP170" s="1519"/>
      <c r="AQ170" s="1519"/>
      <c r="AR170" s="1519"/>
      <c r="AS170" s="1519"/>
      <c r="AT170" s="1519"/>
      <c r="AU170" s="95"/>
      <c r="AV170" s="95"/>
      <c r="AW170" s="95"/>
      <c r="AX170" s="95"/>
      <c r="AY170" s="95"/>
      <c r="BN170" s="23" t="s">
        <v>672</v>
      </c>
      <c r="BS170">
        <v>7</v>
      </c>
      <c r="BT170" t="s">
        <v>487</v>
      </c>
      <c r="CB170" s="349" t="s">
        <v>484</v>
      </c>
      <c r="CC170" s="463">
        <v>1644</v>
      </c>
      <c r="CD170" s="464">
        <v>1762</v>
      </c>
      <c r="CE170" s="463">
        <v>2114</v>
      </c>
      <c r="CF170" s="464">
        <v>2442</v>
      </c>
      <c r="CG170" s="464">
        <v>2724</v>
      </c>
      <c r="CH170" s="465">
        <v>3006</v>
      </c>
      <c r="CI170" s="3"/>
      <c r="CJ170" s="856">
        <v>841</v>
      </c>
      <c r="CK170" s="856">
        <v>935</v>
      </c>
      <c r="CL170" s="856">
        <v>1227</v>
      </c>
      <c r="CM170" s="856">
        <v>1631</v>
      </c>
      <c r="CN170" s="856">
        <v>2060</v>
      </c>
      <c r="CR170" s="23" t="s">
        <v>668</v>
      </c>
      <c r="CS170" s="322">
        <v>402640</v>
      </c>
      <c r="CT170" s="322">
        <v>464240</v>
      </c>
      <c r="CU170" s="322">
        <v>560000</v>
      </c>
      <c r="CV170" s="322">
        <v>716800</v>
      </c>
      <c r="CW170" s="322">
        <v>798560</v>
      </c>
      <c r="CX170" s="14"/>
      <c r="CY170" s="23" t="s">
        <v>668</v>
      </c>
      <c r="CZ170" s="322">
        <v>402640</v>
      </c>
      <c r="DA170" s="322">
        <v>464240</v>
      </c>
      <c r="DB170" s="322">
        <v>560000</v>
      </c>
      <c r="DC170" s="322">
        <v>716800</v>
      </c>
      <c r="DD170" s="322">
        <v>798560</v>
      </c>
    </row>
    <row r="171" spans="1:108" ht="12.95" customHeight="1">
      <c r="BN171" s="23" t="s">
        <v>210</v>
      </c>
      <c r="BS171">
        <v>5</v>
      </c>
      <c r="BT171" t="s">
        <v>488</v>
      </c>
      <c r="CB171" s="349" t="s">
        <v>485</v>
      </c>
      <c r="CC171" s="463">
        <v>1644</v>
      </c>
      <c r="CD171" s="464">
        <v>1762</v>
      </c>
      <c r="CE171" s="463">
        <v>2114</v>
      </c>
      <c r="CF171" s="464">
        <v>2442</v>
      </c>
      <c r="CG171" s="464">
        <v>2724</v>
      </c>
      <c r="CH171" s="465">
        <v>3006</v>
      </c>
      <c r="CI171" s="3"/>
      <c r="CJ171" s="856">
        <v>1065</v>
      </c>
      <c r="CK171" s="856">
        <v>1132</v>
      </c>
      <c r="CL171" s="856">
        <v>1478</v>
      </c>
      <c r="CM171" s="856">
        <v>2071</v>
      </c>
      <c r="CN171" s="856">
        <v>2482</v>
      </c>
      <c r="CR171" s="23" t="s">
        <v>669</v>
      </c>
      <c r="CS171" s="320">
        <v>402640</v>
      </c>
      <c r="CT171" s="320">
        <v>464240</v>
      </c>
      <c r="CU171" s="320">
        <v>560000</v>
      </c>
      <c r="CV171" s="320">
        <v>716800</v>
      </c>
      <c r="CW171" s="320">
        <v>798560</v>
      </c>
      <c r="CX171" s="14"/>
      <c r="CY171" s="23" t="s">
        <v>669</v>
      </c>
      <c r="CZ171" s="320">
        <v>402640</v>
      </c>
      <c r="DA171" s="320">
        <v>464240</v>
      </c>
      <c r="DB171" s="320">
        <v>560000</v>
      </c>
      <c r="DC171" s="320">
        <v>716800</v>
      </c>
      <c r="DD171" s="320">
        <v>798560</v>
      </c>
    </row>
    <row r="172" spans="1:108" ht="12.95" customHeight="1">
      <c r="A172" s="2" t="s">
        <v>318</v>
      </c>
      <c r="C172" s="2" t="s">
        <v>319</v>
      </c>
      <c r="BN172" s="23" t="s">
        <v>212</v>
      </c>
      <c r="BS172">
        <v>5</v>
      </c>
      <c r="BT172" t="s">
        <v>489</v>
      </c>
      <c r="CB172" s="349" t="s">
        <v>486</v>
      </c>
      <c r="CC172" s="463">
        <v>1644</v>
      </c>
      <c r="CD172" s="464">
        <v>1762</v>
      </c>
      <c r="CE172" s="463">
        <v>2114</v>
      </c>
      <c r="CF172" s="464">
        <v>2442</v>
      </c>
      <c r="CG172" s="464">
        <v>2724</v>
      </c>
      <c r="CH172" s="465">
        <v>3006</v>
      </c>
      <c r="CI172" s="3"/>
      <c r="CJ172" s="856">
        <v>940</v>
      </c>
      <c r="CK172" s="856">
        <v>1056</v>
      </c>
      <c r="CL172" s="856">
        <v>1371</v>
      </c>
      <c r="CM172" s="856">
        <v>1873</v>
      </c>
      <c r="CN172" s="856">
        <v>2287</v>
      </c>
      <c r="CR172" s="23" t="s">
        <v>671</v>
      </c>
      <c r="CS172" s="322">
        <v>381933</v>
      </c>
      <c r="CT172" s="322">
        <v>440365</v>
      </c>
      <c r="CU172" s="322">
        <v>531200</v>
      </c>
      <c r="CV172" s="322">
        <v>679936</v>
      </c>
      <c r="CW172" s="322">
        <v>757491</v>
      </c>
      <c r="CX172" s="14"/>
      <c r="CY172" s="23" t="s">
        <v>671</v>
      </c>
      <c r="CZ172" s="322">
        <v>381933</v>
      </c>
      <c r="DA172" s="322">
        <v>440365</v>
      </c>
      <c r="DB172" s="322">
        <v>531200</v>
      </c>
      <c r="DC172" s="322">
        <v>679936</v>
      </c>
      <c r="DD172" s="322">
        <v>757491</v>
      </c>
    </row>
    <row r="173" spans="1:108" ht="12.95" customHeight="1">
      <c r="C173" s="24"/>
      <c r="D173" t="s">
        <v>320</v>
      </c>
      <c r="J173" s="1847" t="s">
        <v>370</v>
      </c>
      <c r="K173" s="1847"/>
      <c r="L173" s="1847"/>
      <c r="M173" s="1847"/>
      <c r="N173" s="1847"/>
      <c r="O173" s="1847"/>
      <c r="P173" s="1847"/>
      <c r="Q173" s="1847"/>
      <c r="R173" s="1847"/>
      <c r="S173" s="1847"/>
      <c r="U173" s="25"/>
      <c r="X173" s="25"/>
      <c r="BB173" s="3" t="s">
        <v>306</v>
      </c>
      <c r="BN173" s="23" t="s">
        <v>213</v>
      </c>
      <c r="BS173">
        <v>7</v>
      </c>
      <c r="BT173" t="s">
        <v>490</v>
      </c>
      <c r="CB173" s="349" t="s">
        <v>487</v>
      </c>
      <c r="CC173" s="463">
        <v>1680</v>
      </c>
      <c r="CD173" s="464">
        <v>1800</v>
      </c>
      <c r="CE173" s="463">
        <v>2160</v>
      </c>
      <c r="CF173" s="464">
        <v>2496</v>
      </c>
      <c r="CG173" s="464">
        <v>2784</v>
      </c>
      <c r="CH173" s="465">
        <v>3072</v>
      </c>
      <c r="CI173" s="3"/>
      <c r="CJ173" s="856">
        <v>978</v>
      </c>
      <c r="CK173" s="856">
        <v>1254</v>
      </c>
      <c r="CL173" s="856">
        <v>1426</v>
      </c>
      <c r="CM173" s="856">
        <v>1734</v>
      </c>
      <c r="CN173" s="856">
        <v>2365</v>
      </c>
      <c r="CR173" s="23" t="s">
        <v>672</v>
      </c>
      <c r="CS173" s="320">
        <v>402640</v>
      </c>
      <c r="CT173" s="320">
        <v>464240</v>
      </c>
      <c r="CU173" s="320">
        <v>560000</v>
      </c>
      <c r="CV173" s="320">
        <v>716800</v>
      </c>
      <c r="CW173" s="320">
        <v>798560</v>
      </c>
      <c r="CX173" s="14"/>
      <c r="CY173" s="23" t="s">
        <v>672</v>
      </c>
      <c r="CZ173" s="320">
        <v>402640</v>
      </c>
      <c r="DA173" s="320">
        <v>464240</v>
      </c>
      <c r="DB173" s="320">
        <v>560000</v>
      </c>
      <c r="DC173" s="320">
        <v>716800</v>
      </c>
      <c r="DD173" s="320">
        <v>798560</v>
      </c>
    </row>
    <row r="174" spans="1:108" ht="12.95" customHeight="1">
      <c r="C174" s="24"/>
      <c r="D174" s="3" t="s">
        <v>1200</v>
      </c>
      <c r="J174" s="1472" t="s">
        <v>2055</v>
      </c>
      <c r="K174" s="1472"/>
      <c r="L174" s="1472"/>
      <c r="M174" s="1472"/>
      <c r="N174" s="1472"/>
      <c r="O174" s="1472"/>
      <c r="P174" s="1472"/>
      <c r="Q174" s="1472"/>
      <c r="R174" s="1472"/>
      <c r="S174" s="1472"/>
      <c r="T174" s="1472"/>
      <c r="U174" s="1472"/>
      <c r="V174" s="1472"/>
      <c r="W174" s="1472"/>
      <c r="X174" s="1472"/>
      <c r="Y174" s="1472"/>
      <c r="Z174" s="1472"/>
      <c r="AA174" s="1472"/>
      <c r="AB174" s="1472"/>
      <c r="BB174" t="s">
        <v>1941</v>
      </c>
      <c r="BN174" s="23" t="s">
        <v>215</v>
      </c>
      <c r="BS174">
        <v>7</v>
      </c>
      <c r="BT174" t="s">
        <v>491</v>
      </c>
      <c r="CB174" s="349" t="s">
        <v>488</v>
      </c>
      <c r="CC174" s="463">
        <v>1644</v>
      </c>
      <c r="CD174" s="464">
        <v>1762</v>
      </c>
      <c r="CE174" s="463">
        <v>2114</v>
      </c>
      <c r="CF174" s="464">
        <v>2442</v>
      </c>
      <c r="CG174" s="464">
        <v>2724</v>
      </c>
      <c r="CH174" s="465">
        <v>3006</v>
      </c>
      <c r="CI174" s="3"/>
      <c r="CJ174" s="856">
        <v>1058</v>
      </c>
      <c r="CK174" s="856">
        <v>1064</v>
      </c>
      <c r="CL174" s="856">
        <v>1380</v>
      </c>
      <c r="CM174" s="856">
        <v>1934</v>
      </c>
      <c r="CN174" s="856">
        <v>2317</v>
      </c>
      <c r="CR174" s="23" t="s">
        <v>210</v>
      </c>
      <c r="CS174" s="322">
        <v>323262</v>
      </c>
      <c r="CT174" s="322">
        <v>372718</v>
      </c>
      <c r="CU174" s="322">
        <v>449600</v>
      </c>
      <c r="CV174" s="322">
        <v>575488</v>
      </c>
      <c r="CW174" s="322">
        <v>641130</v>
      </c>
      <c r="CX174" s="14"/>
      <c r="CY174" s="23" t="s">
        <v>210</v>
      </c>
      <c r="CZ174" s="322">
        <v>323262</v>
      </c>
      <c r="DA174" s="322">
        <v>372718</v>
      </c>
      <c r="DB174" s="322">
        <v>449600</v>
      </c>
      <c r="DC174" s="322">
        <v>575488</v>
      </c>
      <c r="DD174" s="322">
        <v>641130</v>
      </c>
    </row>
    <row r="175" spans="1:108" ht="12.95" customHeight="1">
      <c r="C175" s="8"/>
      <c r="D175" s="3" t="s">
        <v>321</v>
      </c>
      <c r="O175" s="27"/>
      <c r="U175" s="1352" t="s">
        <v>667</v>
      </c>
      <c r="V175" s="1352"/>
      <c r="BB175" t="s">
        <v>1909</v>
      </c>
      <c r="BN175" s="23" t="s">
        <v>216</v>
      </c>
      <c r="BS175">
        <v>1</v>
      </c>
      <c r="BT175" t="s">
        <v>492</v>
      </c>
      <c r="CB175" s="349" t="s">
        <v>489</v>
      </c>
      <c r="CC175" s="463">
        <v>1644</v>
      </c>
      <c r="CD175" s="464">
        <v>1762</v>
      </c>
      <c r="CE175" s="463">
        <v>2114</v>
      </c>
      <c r="CF175" s="464">
        <v>2442</v>
      </c>
      <c r="CG175" s="464">
        <v>2724</v>
      </c>
      <c r="CH175" s="465">
        <v>3006</v>
      </c>
      <c r="CI175" s="3"/>
      <c r="CJ175" s="856">
        <v>1151</v>
      </c>
      <c r="CK175" s="856">
        <v>1158</v>
      </c>
      <c r="CL175" s="856">
        <v>1445</v>
      </c>
      <c r="CM175" s="856">
        <v>2025</v>
      </c>
      <c r="CN175" s="856">
        <v>2427</v>
      </c>
      <c r="CR175" s="23" t="s">
        <v>212</v>
      </c>
      <c r="CS175" s="320">
        <v>323262</v>
      </c>
      <c r="CT175" s="320">
        <v>372718</v>
      </c>
      <c r="CU175" s="320">
        <v>449600</v>
      </c>
      <c r="CV175" s="320">
        <v>575488</v>
      </c>
      <c r="CW175" s="320">
        <v>641130</v>
      </c>
      <c r="CX175" s="14"/>
      <c r="CY175" s="23" t="s">
        <v>212</v>
      </c>
      <c r="CZ175" s="320">
        <v>323262</v>
      </c>
      <c r="DA175" s="320">
        <v>372718</v>
      </c>
      <c r="DB175" s="320">
        <v>449600</v>
      </c>
      <c r="DC175" s="320">
        <v>575488</v>
      </c>
      <c r="DD175" s="320">
        <v>641130</v>
      </c>
    </row>
    <row r="176" spans="1:108" ht="12.95" customHeight="1">
      <c r="C176" s="8"/>
      <c r="D176" s="26"/>
      <c r="E176" t="s">
        <v>303</v>
      </c>
      <c r="O176" s="27"/>
      <c r="P176" t="s">
        <v>2034</v>
      </c>
      <c r="T176" s="27" t="s">
        <v>304</v>
      </c>
      <c r="U176" s="1835" t="s">
        <v>589</v>
      </c>
      <c r="V176" s="1457"/>
      <c r="W176" s="1" t="s">
        <v>305</v>
      </c>
      <c r="X176" s="1817" t="s">
        <v>589</v>
      </c>
      <c r="Y176" s="1818"/>
      <c r="BB176" t="s">
        <v>1942</v>
      </c>
      <c r="BN176" s="23" t="s">
        <v>218</v>
      </c>
      <c r="BS176">
        <v>5</v>
      </c>
      <c r="BT176" t="s">
        <v>493</v>
      </c>
      <c r="CB176" s="349" t="s">
        <v>490</v>
      </c>
      <c r="CC176" s="463">
        <v>1644</v>
      </c>
      <c r="CD176" s="464">
        <v>1762</v>
      </c>
      <c r="CE176" s="463">
        <v>2114</v>
      </c>
      <c r="CF176" s="464">
        <v>2442</v>
      </c>
      <c r="CG176" s="464">
        <v>2724</v>
      </c>
      <c r="CH176" s="465">
        <v>3006</v>
      </c>
      <c r="CI176" s="3"/>
      <c r="CJ176" s="856">
        <v>1053</v>
      </c>
      <c r="CK176" s="856">
        <v>1060</v>
      </c>
      <c r="CL176" s="856">
        <v>1390</v>
      </c>
      <c r="CM176" s="856">
        <v>1948</v>
      </c>
      <c r="CN176" s="856">
        <v>2334</v>
      </c>
      <c r="CR176" s="23" t="s">
        <v>213</v>
      </c>
      <c r="CS176" s="322">
        <v>402640</v>
      </c>
      <c r="CT176" s="322">
        <v>464240</v>
      </c>
      <c r="CU176" s="322">
        <v>560000</v>
      </c>
      <c r="CV176" s="322">
        <v>716800</v>
      </c>
      <c r="CW176" s="322">
        <v>798560</v>
      </c>
      <c r="CX176" s="14"/>
      <c r="CY176" s="23" t="s">
        <v>213</v>
      </c>
      <c r="CZ176" s="322">
        <v>402640</v>
      </c>
      <c r="DA176" s="322">
        <v>464240</v>
      </c>
      <c r="DB176" s="322">
        <v>560000</v>
      </c>
      <c r="DC176" s="322">
        <v>716800</v>
      </c>
      <c r="DD176" s="322">
        <v>798560</v>
      </c>
    </row>
    <row r="177" spans="1:108" ht="12.95" customHeight="1">
      <c r="C177" s="24"/>
      <c r="D177" t="s">
        <v>248</v>
      </c>
      <c r="R177" s="1352" t="s">
        <v>667</v>
      </c>
      <c r="S177" s="1352"/>
      <c r="BB177" t="s">
        <v>2166</v>
      </c>
      <c r="BN177" s="23" t="s">
        <v>219</v>
      </c>
      <c r="BS177">
        <v>2</v>
      </c>
      <c r="BT177" t="s">
        <v>494</v>
      </c>
      <c r="CB177" s="349" t="s">
        <v>491</v>
      </c>
      <c r="CC177" s="463">
        <v>1644</v>
      </c>
      <c r="CD177" s="464">
        <v>1762</v>
      </c>
      <c r="CE177" s="463">
        <v>2114</v>
      </c>
      <c r="CF177" s="464">
        <v>2442</v>
      </c>
      <c r="CG177" s="464">
        <v>2724</v>
      </c>
      <c r="CH177" s="465">
        <v>3006</v>
      </c>
      <c r="CI177" s="3"/>
      <c r="CJ177" s="856">
        <v>819</v>
      </c>
      <c r="CK177" s="856">
        <v>910</v>
      </c>
      <c r="CL177" s="856">
        <v>1194</v>
      </c>
      <c r="CM177" s="856">
        <v>1673</v>
      </c>
      <c r="CN177" s="856">
        <v>2005</v>
      </c>
      <c r="CR177" s="23" t="s">
        <v>215</v>
      </c>
      <c r="CS177" s="320">
        <v>402640</v>
      </c>
      <c r="CT177" s="320">
        <v>464240</v>
      </c>
      <c r="CU177" s="320">
        <v>560000</v>
      </c>
      <c r="CV177" s="320">
        <v>716800</v>
      </c>
      <c r="CW177" s="320">
        <v>798560</v>
      </c>
      <c r="CX177" s="14"/>
      <c r="CY177" s="23" t="s">
        <v>215</v>
      </c>
      <c r="CZ177" s="320">
        <v>402640</v>
      </c>
      <c r="DA177" s="320">
        <v>464240</v>
      </c>
      <c r="DB177" s="320">
        <v>560000</v>
      </c>
      <c r="DC177" s="320">
        <v>716800</v>
      </c>
      <c r="DD177" s="320">
        <v>798560</v>
      </c>
    </row>
    <row r="178" spans="1:108" ht="12.95" customHeight="1">
      <c r="C178" s="24"/>
      <c r="D178" s="3" t="s">
        <v>1201</v>
      </c>
      <c r="AA178" t="s">
        <v>2034</v>
      </c>
      <c r="AE178" s="27" t="s">
        <v>304</v>
      </c>
      <c r="AF178" s="1815" t="s">
        <v>589</v>
      </c>
      <c r="AG178" s="1816"/>
      <c r="AH178" s="1" t="s">
        <v>305</v>
      </c>
      <c r="AI178" s="1844" t="s">
        <v>589</v>
      </c>
      <c r="AJ178" s="1806"/>
      <c r="AK178" s="1806"/>
      <c r="BB178" t="s">
        <v>2167</v>
      </c>
      <c r="BN178" s="23" t="s">
        <v>220</v>
      </c>
      <c r="BS178">
        <v>7</v>
      </c>
      <c r="BT178" t="s">
        <v>53</v>
      </c>
      <c r="CB178" s="349" t="s">
        <v>492</v>
      </c>
      <c r="CC178" s="463">
        <v>2650</v>
      </c>
      <c r="CD178" s="464">
        <v>2840</v>
      </c>
      <c r="CE178" s="463">
        <v>3406</v>
      </c>
      <c r="CF178" s="464">
        <v>3938</v>
      </c>
      <c r="CG178" s="464">
        <v>4392</v>
      </c>
      <c r="CH178" s="465">
        <v>4846</v>
      </c>
      <c r="CI178" s="3"/>
      <c r="CJ178" s="856">
        <v>1856</v>
      </c>
      <c r="CK178" s="856">
        <v>2081</v>
      </c>
      <c r="CL178" s="856">
        <v>2625</v>
      </c>
      <c r="CM178" s="856">
        <v>3335</v>
      </c>
      <c r="CN178" s="856">
        <v>3698</v>
      </c>
      <c r="CR178" s="23" t="s">
        <v>216</v>
      </c>
      <c r="CS178" s="322">
        <v>437727</v>
      </c>
      <c r="CT178" s="322">
        <v>504695</v>
      </c>
      <c r="CU178" s="322">
        <v>608800</v>
      </c>
      <c r="CV178" s="322">
        <v>779264</v>
      </c>
      <c r="CW178" s="322">
        <v>868149</v>
      </c>
      <c r="CX178" s="14"/>
      <c r="CY178" s="23" t="s">
        <v>216</v>
      </c>
      <c r="CZ178" s="322">
        <v>437727</v>
      </c>
      <c r="DA178" s="322">
        <v>504695</v>
      </c>
      <c r="DB178" s="322">
        <v>608800</v>
      </c>
      <c r="DC178" s="322">
        <v>779264</v>
      </c>
      <c r="DD178" s="322">
        <v>868149</v>
      </c>
    </row>
    <row r="179" spans="1:108" ht="12.95" customHeight="1">
      <c r="C179" s="24"/>
      <c r="BN179" s="23" t="s">
        <v>221</v>
      </c>
      <c r="BS179">
        <v>7</v>
      </c>
      <c r="BT179" t="s">
        <v>54</v>
      </c>
      <c r="CB179" s="349" t="s">
        <v>493</v>
      </c>
      <c r="CC179" s="463">
        <v>1644</v>
      </c>
      <c r="CD179" s="464">
        <v>1762</v>
      </c>
      <c r="CE179" s="463">
        <v>2114</v>
      </c>
      <c r="CF179" s="464">
        <v>2442</v>
      </c>
      <c r="CG179" s="464">
        <v>2724</v>
      </c>
      <c r="CH179" s="465">
        <v>3006</v>
      </c>
      <c r="CI179" s="3"/>
      <c r="CJ179" s="856">
        <v>1099</v>
      </c>
      <c r="CK179" s="856">
        <v>1106</v>
      </c>
      <c r="CL179" s="856">
        <v>1433</v>
      </c>
      <c r="CM179" s="856">
        <v>2008</v>
      </c>
      <c r="CN179" s="856">
        <v>2293</v>
      </c>
      <c r="CR179" s="23" t="s">
        <v>218</v>
      </c>
      <c r="CS179" s="320">
        <v>323262</v>
      </c>
      <c r="CT179" s="320">
        <v>372718</v>
      </c>
      <c r="CU179" s="320">
        <v>449600</v>
      </c>
      <c r="CV179" s="320">
        <v>575488</v>
      </c>
      <c r="CW179" s="320">
        <v>641130</v>
      </c>
      <c r="CX179" s="14"/>
      <c r="CY179" s="23" t="s">
        <v>218</v>
      </c>
      <c r="CZ179" s="320">
        <v>323262</v>
      </c>
      <c r="DA179" s="320">
        <v>372718</v>
      </c>
      <c r="DB179" s="320">
        <v>449600</v>
      </c>
      <c r="DC179" s="320">
        <v>575488</v>
      </c>
      <c r="DD179" s="320">
        <v>641130</v>
      </c>
    </row>
    <row r="180" spans="1:108" ht="12.95" customHeight="1">
      <c r="C180" s="24"/>
      <c r="D180" s="3" t="s">
        <v>2633</v>
      </c>
      <c r="X180" s="1352" t="s">
        <v>667</v>
      </c>
      <c r="Y180" s="1352"/>
      <c r="BN180" s="23" t="s">
        <v>223</v>
      </c>
      <c r="BS180">
        <v>5</v>
      </c>
      <c r="BT180" t="s">
        <v>55</v>
      </c>
      <c r="CB180" s="349" t="s">
        <v>494</v>
      </c>
      <c r="CC180" s="463">
        <v>3384</v>
      </c>
      <c r="CD180" s="464">
        <v>3626</v>
      </c>
      <c r="CE180" s="463">
        <v>4352</v>
      </c>
      <c r="CF180" s="464">
        <v>5028</v>
      </c>
      <c r="CG180" s="464">
        <v>5610</v>
      </c>
      <c r="CH180" s="465">
        <v>6190</v>
      </c>
      <c r="CI180" s="3"/>
      <c r="CJ180" s="856">
        <v>2275</v>
      </c>
      <c r="CK180" s="856">
        <v>2780</v>
      </c>
      <c r="CL180" s="856">
        <v>3318</v>
      </c>
      <c r="CM180" s="856">
        <v>4138</v>
      </c>
      <c r="CN180" s="856">
        <v>4399</v>
      </c>
      <c r="CR180" s="23" t="s">
        <v>219</v>
      </c>
      <c r="CS180" s="322">
        <v>406666</v>
      </c>
      <c r="CT180" s="322">
        <v>468882</v>
      </c>
      <c r="CU180" s="322">
        <v>565600</v>
      </c>
      <c r="CV180" s="322">
        <v>723968</v>
      </c>
      <c r="CW180" s="322">
        <v>806546</v>
      </c>
      <c r="CX180" s="14"/>
      <c r="CY180" s="23" t="s">
        <v>219</v>
      </c>
      <c r="CZ180" s="322">
        <v>406666</v>
      </c>
      <c r="DA180" s="322">
        <v>468882</v>
      </c>
      <c r="DB180" s="322">
        <v>565600</v>
      </c>
      <c r="DC180" s="322">
        <v>723968</v>
      </c>
      <c r="DD180" s="322">
        <v>806546</v>
      </c>
    </row>
    <row r="181" spans="1:108" ht="12.95" customHeight="1">
      <c r="C181" s="8"/>
      <c r="E181" s="4" t="s">
        <v>974</v>
      </c>
      <c r="BN181" s="23" t="s">
        <v>224</v>
      </c>
      <c r="BS181">
        <v>7</v>
      </c>
      <c r="BT181" t="s">
        <v>56</v>
      </c>
      <c r="CB181" s="349" t="s">
        <v>53</v>
      </c>
      <c r="CC181" s="463">
        <v>1644</v>
      </c>
      <c r="CD181" s="464">
        <v>1762</v>
      </c>
      <c r="CE181" s="463">
        <v>2114</v>
      </c>
      <c r="CF181" s="464">
        <v>2442</v>
      </c>
      <c r="CG181" s="464">
        <v>2724</v>
      </c>
      <c r="CH181" s="465">
        <v>3006</v>
      </c>
      <c r="CI181" s="3"/>
      <c r="CJ181" s="856">
        <v>928</v>
      </c>
      <c r="CK181" s="856">
        <v>1119</v>
      </c>
      <c r="CL181" s="856">
        <v>1338</v>
      </c>
      <c r="CM181" s="856">
        <v>1875</v>
      </c>
      <c r="CN181" s="856">
        <v>2247</v>
      </c>
      <c r="CR181" s="23" t="s">
        <v>220</v>
      </c>
      <c r="CS181" s="320">
        <v>402640</v>
      </c>
      <c r="CT181" s="320">
        <v>464240</v>
      </c>
      <c r="CU181" s="320">
        <v>560000</v>
      </c>
      <c r="CV181" s="320">
        <v>716800</v>
      </c>
      <c r="CW181" s="320">
        <v>798560</v>
      </c>
      <c r="CX181" s="14"/>
      <c r="CY181" s="23" t="s">
        <v>220</v>
      </c>
      <c r="CZ181" s="320">
        <v>402640</v>
      </c>
      <c r="DA181" s="320">
        <v>464240</v>
      </c>
      <c r="DB181" s="320">
        <v>560000</v>
      </c>
      <c r="DC181" s="320">
        <v>716800</v>
      </c>
      <c r="DD181" s="320">
        <v>798560</v>
      </c>
    </row>
    <row r="182" spans="1:108" ht="12.95" customHeight="1">
      <c r="C182" s="529"/>
      <c r="BN182" s="23" t="s">
        <v>225</v>
      </c>
      <c r="BS182">
        <v>7</v>
      </c>
      <c r="BT182" t="s">
        <v>60</v>
      </c>
      <c r="CB182" s="349" t="s">
        <v>54</v>
      </c>
      <c r="CC182" s="463">
        <v>1644</v>
      </c>
      <c r="CD182" s="464">
        <v>1762</v>
      </c>
      <c r="CE182" s="463">
        <v>2114</v>
      </c>
      <c r="CF182" s="464">
        <v>2442</v>
      </c>
      <c r="CG182" s="464">
        <v>2724</v>
      </c>
      <c r="CH182" s="465">
        <v>3006</v>
      </c>
      <c r="CI182" s="3"/>
      <c r="CJ182" s="856">
        <v>1173</v>
      </c>
      <c r="CK182" s="856">
        <v>1220</v>
      </c>
      <c r="CL182" s="856">
        <v>1601</v>
      </c>
      <c r="CM182" s="856">
        <v>2243</v>
      </c>
      <c r="CN182" s="856">
        <v>2688</v>
      </c>
      <c r="CR182" s="23" t="s">
        <v>221</v>
      </c>
      <c r="CS182" s="322">
        <v>402640</v>
      </c>
      <c r="CT182" s="322">
        <v>464240</v>
      </c>
      <c r="CU182" s="322">
        <v>560000</v>
      </c>
      <c r="CV182" s="322">
        <v>716800</v>
      </c>
      <c r="CW182" s="322">
        <v>798560</v>
      </c>
      <c r="CX182" s="14"/>
      <c r="CY182" s="23" t="s">
        <v>221</v>
      </c>
      <c r="CZ182" s="322">
        <v>402640</v>
      </c>
      <c r="DA182" s="322">
        <v>464240</v>
      </c>
      <c r="DB182" s="322">
        <v>560000</v>
      </c>
      <c r="DC182" s="322">
        <v>716800</v>
      </c>
      <c r="DD182" s="322">
        <v>798560</v>
      </c>
    </row>
    <row r="183" spans="1:108" ht="12.95" customHeight="1">
      <c r="A183" s="2" t="s">
        <v>574</v>
      </c>
      <c r="C183" s="2" t="s">
        <v>575</v>
      </c>
      <c r="BN183" s="23" t="s">
        <v>227</v>
      </c>
      <c r="BS183">
        <v>4</v>
      </c>
      <c r="BT183" t="s">
        <v>61</v>
      </c>
      <c r="CB183" s="349" t="s">
        <v>55</v>
      </c>
      <c r="CC183" s="463">
        <v>1644</v>
      </c>
      <c r="CD183" s="464">
        <v>1762</v>
      </c>
      <c r="CE183" s="463">
        <v>2114</v>
      </c>
      <c r="CF183" s="464">
        <v>2442</v>
      </c>
      <c r="CG183" s="464">
        <v>2724</v>
      </c>
      <c r="CH183" s="465">
        <v>3006</v>
      </c>
      <c r="CI183" s="3"/>
      <c r="CJ183" s="856">
        <v>1071</v>
      </c>
      <c r="CK183" s="856">
        <v>1227</v>
      </c>
      <c r="CL183" s="856">
        <v>1509</v>
      </c>
      <c r="CM183" s="856">
        <v>2081</v>
      </c>
      <c r="CN183" s="856">
        <v>2534</v>
      </c>
      <c r="CR183" s="23" t="s">
        <v>223</v>
      </c>
      <c r="CS183" s="320">
        <v>323262</v>
      </c>
      <c r="CT183" s="320">
        <v>372718</v>
      </c>
      <c r="CU183" s="320">
        <v>449600</v>
      </c>
      <c r="CV183" s="320">
        <v>575488</v>
      </c>
      <c r="CW183" s="320">
        <v>641130</v>
      </c>
      <c r="CX183" s="14"/>
      <c r="CY183" s="23" t="s">
        <v>223</v>
      </c>
      <c r="CZ183" s="320">
        <v>323262</v>
      </c>
      <c r="DA183" s="320">
        <v>372718</v>
      </c>
      <c r="DB183" s="320">
        <v>449600</v>
      </c>
      <c r="DC183" s="320">
        <v>575488</v>
      </c>
      <c r="DD183" s="320">
        <v>641130</v>
      </c>
    </row>
    <row r="184" spans="1:108" ht="12.95" customHeight="1">
      <c r="C184" s="21"/>
      <c r="D184" t="s">
        <v>576</v>
      </c>
      <c r="I184" s="1522" t="str">
        <f>H18</f>
        <v>Ross Center - Affordable Housing</v>
      </c>
      <c r="J184" s="1522"/>
      <c r="K184" s="1522"/>
      <c r="L184" s="1522"/>
      <c r="M184" s="1522"/>
      <c r="N184" s="1522"/>
      <c r="O184" s="1522"/>
      <c r="P184" s="1522"/>
      <c r="Q184" s="1522"/>
      <c r="R184" s="1522"/>
      <c r="S184" s="1522"/>
      <c r="T184" s="1522"/>
      <c r="U184" s="1522"/>
      <c r="V184" s="1522"/>
      <c r="W184" s="1522"/>
      <c r="X184" s="1522"/>
      <c r="Y184" s="1522"/>
      <c r="Z184" s="1522"/>
      <c r="AA184" s="1522"/>
      <c r="AB184" s="1522"/>
      <c r="AC184" s="1522"/>
      <c r="AD184" s="1522"/>
      <c r="AE184" s="1522"/>
      <c r="BC184" t="s">
        <v>585</v>
      </c>
      <c r="BN184" s="23" t="s">
        <v>229</v>
      </c>
      <c r="BS184">
        <v>4</v>
      </c>
      <c r="BT184" t="s">
        <v>62</v>
      </c>
      <c r="CB184" s="349" t="s">
        <v>56</v>
      </c>
      <c r="CC184" s="463">
        <v>1644</v>
      </c>
      <c r="CD184" s="464">
        <v>1762</v>
      </c>
      <c r="CE184" s="463">
        <v>2114</v>
      </c>
      <c r="CF184" s="464">
        <v>2442</v>
      </c>
      <c r="CG184" s="464">
        <v>2724</v>
      </c>
      <c r="CH184" s="465">
        <v>3006</v>
      </c>
      <c r="CI184" s="3"/>
      <c r="CJ184" s="856">
        <v>731</v>
      </c>
      <c r="CK184" s="856">
        <v>886</v>
      </c>
      <c r="CL184" s="856">
        <v>1054</v>
      </c>
      <c r="CM184" s="856">
        <v>1270</v>
      </c>
      <c r="CN184" s="856">
        <v>1748</v>
      </c>
      <c r="CR184" s="23" t="s">
        <v>224</v>
      </c>
      <c r="CS184" s="322">
        <v>402640</v>
      </c>
      <c r="CT184" s="322">
        <v>464240</v>
      </c>
      <c r="CU184" s="322">
        <v>560000</v>
      </c>
      <c r="CV184" s="322">
        <v>716800</v>
      </c>
      <c r="CW184" s="322">
        <v>798560</v>
      </c>
      <c r="CX184" s="14"/>
      <c r="CY184" s="23" t="s">
        <v>224</v>
      </c>
      <c r="CZ184" s="322">
        <v>402640</v>
      </c>
      <c r="DA184" s="322">
        <v>464240</v>
      </c>
      <c r="DB184" s="322">
        <v>560000</v>
      </c>
      <c r="DC184" s="322">
        <v>716800</v>
      </c>
      <c r="DD184" s="322">
        <v>798560</v>
      </c>
    </row>
    <row r="185" spans="1:108" ht="12.95" customHeight="1">
      <c r="C185" s="21"/>
      <c r="D185" t="s">
        <v>577</v>
      </c>
      <c r="I185" s="1496" t="s">
        <v>2775</v>
      </c>
      <c r="J185" s="1496"/>
      <c r="K185" s="1496"/>
      <c r="L185" s="1496"/>
      <c r="M185" s="1496"/>
      <c r="N185" s="1496"/>
      <c r="O185" s="1496"/>
      <c r="P185" s="1496"/>
      <c r="Q185" s="1496"/>
      <c r="R185" s="1496"/>
      <c r="S185" s="1496"/>
      <c r="T185" s="1496"/>
      <c r="U185" s="1496"/>
      <c r="V185" s="1496"/>
      <c r="W185" s="1496"/>
      <c r="X185" s="1496"/>
      <c r="Y185" s="1496"/>
      <c r="Z185" s="1496"/>
      <c r="AA185" s="1496"/>
      <c r="AB185" s="1496"/>
      <c r="AC185" s="1496"/>
      <c r="AD185" s="1496"/>
      <c r="AE185" s="1496"/>
      <c r="BC185" t="s">
        <v>586</v>
      </c>
      <c r="BN185" s="23" t="s">
        <v>230</v>
      </c>
      <c r="BS185">
        <v>7</v>
      </c>
      <c r="BT185" t="s">
        <v>63</v>
      </c>
      <c r="CB185" s="349" t="s">
        <v>60</v>
      </c>
      <c r="CC185" s="463">
        <v>1784</v>
      </c>
      <c r="CD185" s="464">
        <v>1912</v>
      </c>
      <c r="CE185" s="463">
        <v>2294</v>
      </c>
      <c r="CF185" s="464">
        <v>2652</v>
      </c>
      <c r="CG185" s="464">
        <v>2960</v>
      </c>
      <c r="CH185" s="465">
        <v>3266</v>
      </c>
      <c r="CI185" s="3"/>
      <c r="CJ185" s="856">
        <v>1036</v>
      </c>
      <c r="CK185" s="856">
        <v>1348</v>
      </c>
      <c r="CL185" s="856">
        <v>1493</v>
      </c>
      <c r="CM185" s="856">
        <v>2092</v>
      </c>
      <c r="CN185" s="856">
        <v>2476</v>
      </c>
      <c r="CR185" s="23" t="s">
        <v>225</v>
      </c>
      <c r="CS185" s="320">
        <v>402640</v>
      </c>
      <c r="CT185" s="320">
        <v>464240</v>
      </c>
      <c r="CU185" s="320">
        <v>560000</v>
      </c>
      <c r="CV185" s="320">
        <v>716800</v>
      </c>
      <c r="CW185" s="320">
        <v>798560</v>
      </c>
      <c r="CX185" s="14"/>
      <c r="CY185" s="23" t="s">
        <v>225</v>
      </c>
      <c r="CZ185" s="320">
        <v>402640</v>
      </c>
      <c r="DA185" s="320">
        <v>464240</v>
      </c>
      <c r="DB185" s="320">
        <v>560000</v>
      </c>
      <c r="DC185" s="320">
        <v>716800</v>
      </c>
      <c r="DD185" s="320">
        <v>798560</v>
      </c>
    </row>
    <row r="186" spans="1:108" ht="12.95" customHeight="1">
      <c r="C186" s="21"/>
      <c r="E186" t="s">
        <v>167</v>
      </c>
      <c r="BN186" s="23" t="s">
        <v>231</v>
      </c>
      <c r="BS186">
        <v>4</v>
      </c>
      <c r="BT186" t="s">
        <v>64</v>
      </c>
      <c r="CB186" s="349" t="s">
        <v>61</v>
      </c>
      <c r="CC186" s="463">
        <v>2530</v>
      </c>
      <c r="CD186" s="464">
        <v>2710</v>
      </c>
      <c r="CE186" s="463">
        <v>3254</v>
      </c>
      <c r="CF186" s="464">
        <v>3760</v>
      </c>
      <c r="CG186" s="464">
        <v>4192</v>
      </c>
      <c r="CH186" s="465">
        <v>4626</v>
      </c>
      <c r="CI186" s="3"/>
      <c r="CJ186" s="856">
        <v>2414</v>
      </c>
      <c r="CK186" s="856">
        <v>2479</v>
      </c>
      <c r="CL186" s="856">
        <v>2982</v>
      </c>
      <c r="CM186" s="856">
        <v>4025</v>
      </c>
      <c r="CN186" s="856">
        <v>4383</v>
      </c>
      <c r="CR186" s="23" t="s">
        <v>227</v>
      </c>
      <c r="CS186" s="322">
        <v>442904</v>
      </c>
      <c r="CT186" s="322">
        <v>510664</v>
      </c>
      <c r="CU186" s="322">
        <v>616000</v>
      </c>
      <c r="CV186" s="322">
        <v>788480</v>
      </c>
      <c r="CW186" s="322">
        <v>878416</v>
      </c>
      <c r="CX186" s="14"/>
      <c r="CY186" s="23" t="s">
        <v>227</v>
      </c>
      <c r="CZ186" s="322">
        <v>442904</v>
      </c>
      <c r="DA186" s="322">
        <v>510664</v>
      </c>
      <c r="DB186" s="322">
        <v>616000</v>
      </c>
      <c r="DC186" s="322">
        <v>788480</v>
      </c>
      <c r="DD186" s="322">
        <v>878416</v>
      </c>
    </row>
    <row r="187" spans="1:108" ht="12.95" customHeight="1">
      <c r="C187" s="21"/>
      <c r="E187" s="1803" t="s">
        <v>2776</v>
      </c>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49" t="s">
        <v>62</v>
      </c>
      <c r="CC187" s="463">
        <v>2804</v>
      </c>
      <c r="CD187" s="464">
        <v>3004</v>
      </c>
      <c r="CE187" s="463">
        <v>3606</v>
      </c>
      <c r="CF187" s="464">
        <v>4168</v>
      </c>
      <c r="CG187" s="464">
        <v>4650</v>
      </c>
      <c r="CH187" s="465">
        <v>5130</v>
      </c>
      <c r="CI187" s="3"/>
      <c r="CJ187" s="856">
        <v>1915</v>
      </c>
      <c r="CK187" s="856">
        <v>2128</v>
      </c>
      <c r="CL187" s="856">
        <v>2792</v>
      </c>
      <c r="CM187" s="856">
        <v>3636</v>
      </c>
      <c r="CN187" s="856">
        <v>4144</v>
      </c>
      <c r="CR187" s="23" t="s">
        <v>229</v>
      </c>
      <c r="CS187" s="320">
        <v>406666</v>
      </c>
      <c r="CT187" s="320">
        <v>468882</v>
      </c>
      <c r="CU187" s="320">
        <v>565600</v>
      </c>
      <c r="CV187" s="320">
        <v>723968</v>
      </c>
      <c r="CW187" s="320">
        <v>806546</v>
      </c>
      <c r="CX187" s="14"/>
      <c r="CY187" s="23" t="s">
        <v>229</v>
      </c>
      <c r="CZ187" s="320">
        <v>406666</v>
      </c>
      <c r="DA187" s="320">
        <v>468882</v>
      </c>
      <c r="DB187" s="320">
        <v>565600</v>
      </c>
      <c r="DC187" s="320">
        <v>723968</v>
      </c>
      <c r="DD187" s="320">
        <v>806546</v>
      </c>
    </row>
    <row r="188" spans="1:108" ht="12.95" customHeight="1">
      <c r="C188" s="21"/>
      <c r="E188" s="1783"/>
      <c r="F188" s="1783"/>
      <c r="G188" s="1783"/>
      <c r="H188" s="1783"/>
      <c r="I188" s="1783"/>
      <c r="J188" s="1783"/>
      <c r="K188" s="1783"/>
      <c r="L188" s="1783"/>
      <c r="M188" s="1783"/>
      <c r="N188" s="1783"/>
      <c r="O188" s="1783"/>
      <c r="P188" s="1783"/>
      <c r="Q188" s="1783"/>
      <c r="R188" s="1783"/>
      <c r="S188" s="1783"/>
      <c r="T188" s="1783"/>
      <c r="U188" s="1783"/>
      <c r="V188" s="1783"/>
      <c r="W188" s="1783"/>
      <c r="X188" s="1783"/>
      <c r="Y188" s="1783"/>
      <c r="Z188" s="1783"/>
      <c r="AA188" s="1783"/>
      <c r="AB188" s="1783"/>
      <c r="AC188" s="1783"/>
      <c r="AD188" s="1783"/>
      <c r="AE188" s="1783"/>
      <c r="BN188" s="23" t="s">
        <v>234</v>
      </c>
      <c r="BS188">
        <v>7</v>
      </c>
      <c r="BT188" t="s">
        <v>66</v>
      </c>
      <c r="CB188" s="349" t="s">
        <v>63</v>
      </c>
      <c r="CC188" s="463">
        <v>1992</v>
      </c>
      <c r="CD188" s="464">
        <v>2132</v>
      </c>
      <c r="CE188" s="463">
        <v>2560</v>
      </c>
      <c r="CF188" s="464">
        <v>2958</v>
      </c>
      <c r="CG188" s="464">
        <v>3300</v>
      </c>
      <c r="CH188" s="465">
        <v>3642</v>
      </c>
      <c r="CI188" s="3"/>
      <c r="CJ188" s="856">
        <v>1352</v>
      </c>
      <c r="CK188" s="856">
        <v>1361</v>
      </c>
      <c r="CL188" s="856">
        <v>1785</v>
      </c>
      <c r="CM188" s="856">
        <v>2501</v>
      </c>
      <c r="CN188" s="856">
        <v>2997</v>
      </c>
      <c r="CR188" s="23" t="s">
        <v>230</v>
      </c>
      <c r="CS188" s="322">
        <v>402640</v>
      </c>
      <c r="CT188" s="322">
        <v>464240</v>
      </c>
      <c r="CU188" s="322">
        <v>560000</v>
      </c>
      <c r="CV188" s="322">
        <v>716800</v>
      </c>
      <c r="CW188" s="322">
        <v>798560</v>
      </c>
      <c r="CX188" s="14"/>
      <c r="CY188" s="23" t="s">
        <v>230</v>
      </c>
      <c r="CZ188" s="322">
        <v>402640</v>
      </c>
      <c r="DA188" s="322">
        <v>464240</v>
      </c>
      <c r="DB188" s="322">
        <v>560000</v>
      </c>
      <c r="DC188" s="322">
        <v>716800</v>
      </c>
      <c r="DD188" s="322">
        <v>798560</v>
      </c>
    </row>
    <row r="189" spans="1:108" ht="12.95" customHeight="1">
      <c r="C189" s="21"/>
      <c r="D189" t="s">
        <v>578</v>
      </c>
      <c r="I189" s="1490" t="s">
        <v>492</v>
      </c>
      <c r="J189" s="1472"/>
      <c r="K189" s="1472"/>
      <c r="L189" s="1472"/>
      <c r="M189" s="1472"/>
      <c r="N189" s="1472"/>
      <c r="O189" s="1472"/>
      <c r="P189" s="1472"/>
      <c r="Q189" t="s">
        <v>580</v>
      </c>
      <c r="T189" s="1472" t="s">
        <v>492</v>
      </c>
      <c r="U189" s="1472"/>
      <c r="V189" s="1472"/>
      <c r="W189" s="1472"/>
      <c r="X189" s="1472"/>
      <c r="Y189" s="1472"/>
      <c r="Z189" s="1472"/>
      <c r="AA189" s="1472"/>
      <c r="AB189" s="1472"/>
      <c r="AC189" s="1472"/>
      <c r="AD189" s="1472"/>
      <c r="AE189" s="1472"/>
      <c r="BC189" t="s">
        <v>306</v>
      </c>
      <c r="BH189" s="3" t="s">
        <v>589</v>
      </c>
      <c r="BN189" s="23" t="s">
        <v>235</v>
      </c>
      <c r="BS189">
        <v>5</v>
      </c>
      <c r="BT189" t="s">
        <v>67</v>
      </c>
      <c r="CB189" s="349" t="s">
        <v>64</v>
      </c>
      <c r="CC189" s="463">
        <v>2962</v>
      </c>
      <c r="CD189" s="464">
        <v>3172</v>
      </c>
      <c r="CE189" s="463">
        <v>3806</v>
      </c>
      <c r="CF189" s="464">
        <v>4400</v>
      </c>
      <c r="CG189" s="464">
        <v>4906</v>
      </c>
      <c r="CH189" s="465">
        <v>5416</v>
      </c>
      <c r="CI189" s="34"/>
      <c r="CJ189" s="1035">
        <v>2352</v>
      </c>
      <c r="CK189" s="1035">
        <v>2454</v>
      </c>
      <c r="CL189" s="1035">
        <v>2903</v>
      </c>
      <c r="CM189" s="1035">
        <v>3927</v>
      </c>
      <c r="CN189" s="1035">
        <v>4693</v>
      </c>
      <c r="CR189" s="23" t="s">
        <v>231</v>
      </c>
      <c r="CS189" s="320">
        <v>402065</v>
      </c>
      <c r="CT189" s="320">
        <v>463577</v>
      </c>
      <c r="CU189" s="320">
        <v>559200</v>
      </c>
      <c r="CV189" s="320">
        <v>715776</v>
      </c>
      <c r="CW189" s="320">
        <v>797419</v>
      </c>
      <c r="CX189" s="14"/>
      <c r="CY189" s="23" t="s">
        <v>231</v>
      </c>
      <c r="CZ189" s="320">
        <v>402065</v>
      </c>
      <c r="DA189" s="320">
        <v>463577</v>
      </c>
      <c r="DB189" s="320">
        <v>559200</v>
      </c>
      <c r="DC189" s="320">
        <v>715776</v>
      </c>
      <c r="DD189" s="320">
        <v>797419</v>
      </c>
    </row>
    <row r="190" spans="1:108" ht="12.95" customHeight="1">
      <c r="C190" s="21"/>
      <c r="D190" t="s">
        <v>581</v>
      </c>
      <c r="I190" s="1496">
        <v>90012</v>
      </c>
      <c r="J190" s="1496"/>
      <c r="K190" s="1496"/>
      <c r="L190" s="1496"/>
      <c r="M190" s="1496"/>
      <c r="N190" s="1496"/>
      <c r="O190" t="s">
        <v>583</v>
      </c>
      <c r="T190" s="1824">
        <v>2060.1999999999998</v>
      </c>
      <c r="U190" s="1825"/>
      <c r="V190" s="1825"/>
      <c r="W190" s="1825"/>
      <c r="X190" s="1825"/>
      <c r="Y190" s="1825"/>
      <c r="Z190" s="1825"/>
      <c r="AA190" s="1825"/>
      <c r="AB190" s="1825"/>
      <c r="AC190" s="1825"/>
      <c r="AD190" s="1825"/>
      <c r="AE190" s="1825"/>
      <c r="BC190" t="s">
        <v>1039</v>
      </c>
      <c r="BH190" t="s">
        <v>1039</v>
      </c>
      <c r="BN190" s="23" t="s">
        <v>633</v>
      </c>
      <c r="BS190">
        <v>6</v>
      </c>
      <c r="BT190" t="s">
        <v>68</v>
      </c>
      <c r="CB190" s="349" t="s">
        <v>65</v>
      </c>
      <c r="CC190" s="463">
        <v>2252</v>
      </c>
      <c r="CD190" s="464">
        <v>2412</v>
      </c>
      <c r="CE190" s="463">
        <v>2894</v>
      </c>
      <c r="CF190" s="464">
        <v>3342</v>
      </c>
      <c r="CG190" s="464">
        <v>3730</v>
      </c>
      <c r="CH190" s="465">
        <v>4116</v>
      </c>
      <c r="CI190" s="34"/>
      <c r="CJ190" s="1035">
        <v>1679</v>
      </c>
      <c r="CK190" s="1035">
        <v>1777</v>
      </c>
      <c r="CL190" s="1035">
        <v>2206</v>
      </c>
      <c r="CM190" s="1035">
        <v>2992</v>
      </c>
      <c r="CN190" s="1035">
        <v>3455</v>
      </c>
      <c r="CR190" s="23" t="s">
        <v>232</v>
      </c>
      <c r="CS190" s="322">
        <v>360075</v>
      </c>
      <c r="CT190" s="322">
        <v>415163</v>
      </c>
      <c r="CU190" s="322">
        <v>500800</v>
      </c>
      <c r="CV190" s="322">
        <v>641024</v>
      </c>
      <c r="CW190" s="322">
        <v>714141</v>
      </c>
      <c r="CX190" s="14"/>
      <c r="CY190" s="23" t="s">
        <v>232</v>
      </c>
      <c r="CZ190" s="322">
        <v>360075</v>
      </c>
      <c r="DA190" s="322">
        <v>415163</v>
      </c>
      <c r="DB190" s="322">
        <v>500800</v>
      </c>
      <c r="DC190" s="322">
        <v>641024</v>
      </c>
      <c r="DD190" s="322">
        <v>714141</v>
      </c>
    </row>
    <row r="191" spans="1:108" ht="12.95" customHeight="1">
      <c r="C191" s="21"/>
      <c r="D191" t="s">
        <v>460</v>
      </c>
      <c r="N191" s="1803" t="s">
        <v>2817</v>
      </c>
      <c r="O191" s="1804"/>
      <c r="P191" s="1804"/>
      <c r="Q191" s="1804"/>
      <c r="R191" s="1804"/>
      <c r="S191" s="1804"/>
      <c r="T191" s="1804"/>
      <c r="U191" s="1804"/>
      <c r="V191" s="1804"/>
      <c r="W191" s="1804"/>
      <c r="X191" s="1804"/>
      <c r="Y191" s="1804"/>
      <c r="Z191" s="1804"/>
      <c r="AA191" s="1804"/>
      <c r="AB191" s="1804"/>
      <c r="AC191" s="1804"/>
      <c r="AD191" s="1804"/>
      <c r="AE191" s="1804"/>
      <c r="BC191" t="s">
        <v>1038</v>
      </c>
      <c r="BH191" t="s">
        <v>1038</v>
      </c>
      <c r="BN191" s="23" t="s">
        <v>686</v>
      </c>
      <c r="BS191">
        <v>4</v>
      </c>
      <c r="BT191" t="s">
        <v>725</v>
      </c>
      <c r="CB191" s="349" t="s">
        <v>66</v>
      </c>
      <c r="CC191" s="463">
        <v>1670</v>
      </c>
      <c r="CD191" s="464">
        <v>1788</v>
      </c>
      <c r="CE191" s="463">
        <v>2144</v>
      </c>
      <c r="CF191" s="464">
        <v>2478</v>
      </c>
      <c r="CG191" s="464">
        <v>2764</v>
      </c>
      <c r="CH191" s="465">
        <v>3050</v>
      </c>
      <c r="CI191" s="34"/>
      <c r="CJ191" s="1035">
        <v>904</v>
      </c>
      <c r="CK191" s="1035">
        <v>1005</v>
      </c>
      <c r="CL191" s="1035">
        <v>1318</v>
      </c>
      <c r="CM191" s="1035">
        <v>1847</v>
      </c>
      <c r="CN191" s="1035">
        <v>1883</v>
      </c>
      <c r="CR191" s="23" t="s">
        <v>234</v>
      </c>
      <c r="CS191" s="320">
        <v>402640</v>
      </c>
      <c r="CT191" s="320">
        <v>464240</v>
      </c>
      <c r="CU191" s="320">
        <v>560000</v>
      </c>
      <c r="CV191" s="320">
        <v>716800</v>
      </c>
      <c r="CW191" s="320">
        <v>798560</v>
      </c>
      <c r="CX191" s="14"/>
      <c r="CY191" s="23" t="s">
        <v>234</v>
      </c>
      <c r="CZ191" s="320">
        <v>402640</v>
      </c>
      <c r="DA191" s="320">
        <v>464240</v>
      </c>
      <c r="DB191" s="320">
        <v>560000</v>
      </c>
      <c r="DC191" s="320">
        <v>716800</v>
      </c>
      <c r="DD191" s="320">
        <v>798560</v>
      </c>
    </row>
    <row r="192" spans="1:108" ht="12.95" customHeight="1">
      <c r="C192" s="21"/>
      <c r="M192" s="40"/>
      <c r="N192" s="1783"/>
      <c r="O192" s="1783"/>
      <c r="P192" s="1783"/>
      <c r="Q192" s="1783"/>
      <c r="R192" s="1783"/>
      <c r="S192" s="1783"/>
      <c r="T192" s="1783"/>
      <c r="U192" s="1783"/>
      <c r="V192" s="1783"/>
      <c r="W192" s="1783"/>
      <c r="X192" s="1783"/>
      <c r="Y192" s="1783"/>
      <c r="Z192" s="1783"/>
      <c r="AA192" s="1783"/>
      <c r="AB192" s="1783"/>
      <c r="AC192" s="1783"/>
      <c r="AD192" s="1783"/>
      <c r="AE192" s="1783"/>
      <c r="BC192" t="s">
        <v>1041</v>
      </c>
      <c r="BH192" s="3" t="s">
        <v>1356</v>
      </c>
      <c r="BN192" s="23" t="s">
        <v>687</v>
      </c>
      <c r="BS192">
        <v>5</v>
      </c>
      <c r="BT192" t="s">
        <v>726</v>
      </c>
      <c r="CB192" s="349" t="s">
        <v>67</v>
      </c>
      <c r="CC192" s="463">
        <v>1960</v>
      </c>
      <c r="CD192" s="464">
        <v>2098</v>
      </c>
      <c r="CE192" s="463">
        <v>2516</v>
      </c>
      <c r="CF192" s="464">
        <v>2910</v>
      </c>
      <c r="CG192" s="464">
        <v>3244</v>
      </c>
      <c r="CH192" s="465">
        <v>3580</v>
      </c>
      <c r="CI192" s="34"/>
      <c r="CJ192" s="1035">
        <v>1776</v>
      </c>
      <c r="CK192" s="1035">
        <v>1852</v>
      </c>
      <c r="CL192" s="1035">
        <v>2306</v>
      </c>
      <c r="CM192" s="1035">
        <v>3079</v>
      </c>
      <c r="CN192" s="1035">
        <v>3745</v>
      </c>
      <c r="CR192" s="23" t="s">
        <v>235</v>
      </c>
      <c r="CS192" s="322">
        <v>381933</v>
      </c>
      <c r="CT192" s="322">
        <v>440365</v>
      </c>
      <c r="CU192" s="322">
        <v>531200</v>
      </c>
      <c r="CV192" s="322">
        <v>679936</v>
      </c>
      <c r="CW192" s="322">
        <v>757491</v>
      </c>
      <c r="CX192" s="14"/>
      <c r="CY192" s="23" t="s">
        <v>235</v>
      </c>
      <c r="CZ192" s="322">
        <v>381933</v>
      </c>
      <c r="DA192" s="322">
        <v>440365</v>
      </c>
      <c r="DB192" s="322">
        <v>531200</v>
      </c>
      <c r="DC192" s="322">
        <v>679936</v>
      </c>
      <c r="DD192" s="322">
        <v>757491</v>
      </c>
    </row>
    <row r="193" spans="1:108" ht="12.95" customHeight="1">
      <c r="C193" s="21"/>
      <c r="D193" t="s">
        <v>2035</v>
      </c>
      <c r="M193" s="40"/>
      <c r="N193" s="889"/>
      <c r="O193" s="889"/>
      <c r="P193" s="889"/>
      <c r="Q193" s="889"/>
      <c r="R193" s="889"/>
      <c r="S193" s="889"/>
      <c r="T193" s="1829" t="s">
        <v>2167</v>
      </c>
      <c r="U193" s="1829"/>
      <c r="V193" s="1829"/>
      <c r="W193" s="1829"/>
      <c r="X193" s="1829"/>
      <c r="Y193" s="1829"/>
      <c r="Z193" s="1829"/>
      <c r="AA193" s="1829"/>
      <c r="AB193" s="1829"/>
      <c r="AC193" s="1829"/>
      <c r="AD193" s="1829"/>
      <c r="AE193" s="1829"/>
      <c r="AF193" s="1829"/>
      <c r="AG193" s="1829"/>
      <c r="AH193" s="1829"/>
      <c r="AI193" s="1829"/>
      <c r="BC193" t="s">
        <v>1040</v>
      </c>
      <c r="BH193" s="3" t="s">
        <v>1616</v>
      </c>
      <c r="BN193" s="23" t="s">
        <v>688</v>
      </c>
      <c r="BS193">
        <v>4</v>
      </c>
      <c r="BT193" t="s">
        <v>727</v>
      </c>
      <c r="CB193" s="349" t="s">
        <v>68</v>
      </c>
      <c r="CC193" s="463">
        <v>2252</v>
      </c>
      <c r="CD193" s="464">
        <v>2412</v>
      </c>
      <c r="CE193" s="463">
        <v>2894</v>
      </c>
      <c r="CF193" s="464">
        <v>3342</v>
      </c>
      <c r="CG193" s="464">
        <v>3730</v>
      </c>
      <c r="CH193" s="465">
        <v>4116</v>
      </c>
      <c r="CI193" s="34"/>
      <c r="CJ193" s="1035">
        <v>1679</v>
      </c>
      <c r="CK193" s="1035">
        <v>1777</v>
      </c>
      <c r="CL193" s="1035">
        <v>2206</v>
      </c>
      <c r="CM193" s="1035">
        <v>2992</v>
      </c>
      <c r="CN193" s="1035">
        <v>3455</v>
      </c>
      <c r="CR193" s="23" t="s">
        <v>633</v>
      </c>
      <c r="CS193" s="320">
        <v>360075</v>
      </c>
      <c r="CT193" s="320">
        <v>415163</v>
      </c>
      <c r="CU193" s="320">
        <v>500800</v>
      </c>
      <c r="CV193" s="320">
        <v>641024</v>
      </c>
      <c r="CW193" s="320">
        <v>714141</v>
      </c>
      <c r="CX193" s="14"/>
      <c r="CY193" s="23" t="s">
        <v>633</v>
      </c>
      <c r="CZ193" s="320">
        <v>360075</v>
      </c>
      <c r="DA193" s="320">
        <v>415163</v>
      </c>
      <c r="DB193" s="320">
        <v>500800</v>
      </c>
      <c r="DC193" s="320">
        <v>641024</v>
      </c>
      <c r="DD193" s="320">
        <v>714141</v>
      </c>
    </row>
    <row r="194" spans="1:108" ht="12.95" customHeight="1">
      <c r="C194" s="21"/>
      <c r="D194" s="3" t="s">
        <v>2168</v>
      </c>
      <c r="M194" s="40"/>
      <c r="N194" s="889"/>
      <c r="O194" s="889"/>
      <c r="P194" s="889"/>
      <c r="Q194" s="889"/>
      <c r="R194" s="889"/>
      <c r="S194" s="889"/>
      <c r="AH194" s="1352" t="s">
        <v>667</v>
      </c>
      <c r="AI194" s="1352"/>
      <c r="BC194" t="s">
        <v>1356</v>
      </c>
      <c r="BN194" s="23" t="s">
        <v>689</v>
      </c>
      <c r="BS194">
        <v>2</v>
      </c>
      <c r="BT194" t="s">
        <v>728</v>
      </c>
      <c r="CB194" s="349" t="s">
        <v>725</v>
      </c>
      <c r="CC194" s="463">
        <v>2340</v>
      </c>
      <c r="CD194" s="464">
        <v>2506</v>
      </c>
      <c r="CE194" s="463">
        <v>3006</v>
      </c>
      <c r="CF194" s="464">
        <v>3472</v>
      </c>
      <c r="CG194" s="464">
        <v>3874</v>
      </c>
      <c r="CH194" s="465">
        <v>4276</v>
      </c>
      <c r="CI194" s="34"/>
      <c r="CJ194" s="1035">
        <v>1799</v>
      </c>
      <c r="CK194" s="1035">
        <v>1999</v>
      </c>
      <c r="CL194" s="1035">
        <v>2623</v>
      </c>
      <c r="CM194" s="1035">
        <v>3655</v>
      </c>
      <c r="CN194" s="1035">
        <v>4046</v>
      </c>
      <c r="CR194" s="23" t="s">
        <v>686</v>
      </c>
      <c r="CS194" s="322">
        <v>402640</v>
      </c>
      <c r="CT194" s="322">
        <v>464240</v>
      </c>
      <c r="CU194" s="322">
        <v>560000</v>
      </c>
      <c r="CV194" s="322">
        <v>716800</v>
      </c>
      <c r="CW194" s="322">
        <v>798560</v>
      </c>
      <c r="CX194" s="14"/>
      <c r="CY194" s="23" t="s">
        <v>686</v>
      </c>
      <c r="CZ194" s="322">
        <v>402640</v>
      </c>
      <c r="DA194" s="322">
        <v>464240</v>
      </c>
      <c r="DB194" s="322">
        <v>560000</v>
      </c>
      <c r="DC194" s="322">
        <v>716800</v>
      </c>
      <c r="DD194" s="322">
        <v>798560</v>
      </c>
    </row>
    <row r="195" spans="1:108" ht="12.95" customHeight="1">
      <c r="C195" s="21"/>
      <c r="D195" t="s">
        <v>330</v>
      </c>
      <c r="T195" s="1352" t="s">
        <v>543</v>
      </c>
      <c r="U195" s="1352"/>
      <c r="W195" t="s">
        <v>682</v>
      </c>
      <c r="AH195" s="1352">
        <v>14</v>
      </c>
      <c r="AI195" s="1352"/>
      <c r="BC195" t="s">
        <v>1830</v>
      </c>
      <c r="BN195" s="23" t="s">
        <v>241</v>
      </c>
      <c r="BS195">
        <v>6</v>
      </c>
      <c r="BT195" t="s">
        <v>729</v>
      </c>
      <c r="CB195" s="349" t="s">
        <v>726</v>
      </c>
      <c r="CC195" s="463">
        <v>1960</v>
      </c>
      <c r="CD195" s="464">
        <v>2098</v>
      </c>
      <c r="CE195" s="463">
        <v>2516</v>
      </c>
      <c r="CF195" s="464">
        <v>2910</v>
      </c>
      <c r="CG195" s="464">
        <v>3244</v>
      </c>
      <c r="CH195" s="465">
        <v>3580</v>
      </c>
      <c r="CI195" s="34"/>
      <c r="CJ195" s="1035">
        <v>1776</v>
      </c>
      <c r="CK195" s="1035">
        <v>1852</v>
      </c>
      <c r="CL195" s="1035">
        <v>2306</v>
      </c>
      <c r="CM195" s="1035">
        <v>3079</v>
      </c>
      <c r="CN195" s="1035">
        <v>3745</v>
      </c>
      <c r="CR195" s="23" t="s">
        <v>687</v>
      </c>
      <c r="CS195" s="320">
        <v>381933</v>
      </c>
      <c r="CT195" s="320">
        <v>440365</v>
      </c>
      <c r="CU195" s="320">
        <v>531200</v>
      </c>
      <c r="CV195" s="320">
        <v>679936</v>
      </c>
      <c r="CW195" s="320">
        <v>757491</v>
      </c>
      <c r="CX195" s="14"/>
      <c r="CY195" s="23" t="s">
        <v>687</v>
      </c>
      <c r="CZ195" s="320">
        <v>381933</v>
      </c>
      <c r="DA195" s="320">
        <v>440365</v>
      </c>
      <c r="DB195" s="320">
        <v>531200</v>
      </c>
      <c r="DC195" s="320">
        <v>679936</v>
      </c>
      <c r="DD195" s="320">
        <v>757491</v>
      </c>
    </row>
    <row r="196" spans="1:108" ht="12.95" customHeight="1">
      <c r="C196" s="21"/>
      <c r="D196" t="s">
        <v>385</v>
      </c>
      <c r="T196" s="1389" t="s">
        <v>667</v>
      </c>
      <c r="U196" s="1389"/>
      <c r="W196" t="s">
        <v>683</v>
      </c>
      <c r="AH196" s="1352">
        <v>54</v>
      </c>
      <c r="AI196" s="1352"/>
      <c r="BN196" s="23" t="s">
        <v>242</v>
      </c>
      <c r="BS196">
        <v>4</v>
      </c>
      <c r="BT196" t="s">
        <v>69</v>
      </c>
      <c r="CB196" s="349" t="s">
        <v>727</v>
      </c>
      <c r="CC196" s="463">
        <v>2894</v>
      </c>
      <c r="CD196" s="464">
        <v>3100</v>
      </c>
      <c r="CE196" s="463">
        <v>3722</v>
      </c>
      <c r="CF196" s="464">
        <v>4300</v>
      </c>
      <c r="CG196" s="464">
        <v>4796</v>
      </c>
      <c r="CH196" s="465">
        <v>5292</v>
      </c>
      <c r="CI196" s="34"/>
      <c r="CJ196" s="1035">
        <v>2145</v>
      </c>
      <c r="CK196" s="1035">
        <v>2328</v>
      </c>
      <c r="CL196" s="1035">
        <v>2881</v>
      </c>
      <c r="CM196" s="1035">
        <v>3852</v>
      </c>
      <c r="CN196" s="1035">
        <v>4690</v>
      </c>
      <c r="CR196" s="23" t="s">
        <v>688</v>
      </c>
      <c r="CS196" s="322">
        <v>392286</v>
      </c>
      <c r="CT196" s="322">
        <v>452302</v>
      </c>
      <c r="CU196" s="322">
        <v>545600</v>
      </c>
      <c r="CV196" s="322">
        <v>698368</v>
      </c>
      <c r="CW196" s="322">
        <v>778026</v>
      </c>
      <c r="CX196" s="14"/>
      <c r="CY196" s="23" t="s">
        <v>688</v>
      </c>
      <c r="CZ196" s="322">
        <v>392286</v>
      </c>
      <c r="DA196" s="322">
        <v>452302</v>
      </c>
      <c r="DB196" s="322">
        <v>545600</v>
      </c>
      <c r="DC196" s="322">
        <v>698368</v>
      </c>
      <c r="DD196" s="322">
        <v>778026</v>
      </c>
    </row>
    <row r="197" spans="1:108" ht="12.95" customHeight="1">
      <c r="C197" s="21"/>
      <c r="D197" s="3" t="s">
        <v>168</v>
      </c>
      <c r="T197" s="1389" t="s">
        <v>667</v>
      </c>
      <c r="U197" s="1389"/>
      <c r="W197" t="s">
        <v>684</v>
      </c>
      <c r="AH197" s="1352">
        <v>26</v>
      </c>
      <c r="AI197" s="1352"/>
      <c r="BC197" t="s">
        <v>306</v>
      </c>
      <c r="BN197" s="23" t="s">
        <v>243</v>
      </c>
      <c r="BS197">
        <v>2</v>
      </c>
      <c r="BT197" t="s">
        <v>70</v>
      </c>
      <c r="CB197" s="349" t="s">
        <v>728</v>
      </c>
      <c r="CC197" s="463">
        <v>3384</v>
      </c>
      <c r="CD197" s="464">
        <v>3626</v>
      </c>
      <c r="CE197" s="463">
        <v>4352</v>
      </c>
      <c r="CF197" s="464">
        <v>5028</v>
      </c>
      <c r="CG197" s="464">
        <v>5610</v>
      </c>
      <c r="CH197" s="465">
        <v>6190</v>
      </c>
      <c r="CI197" s="34"/>
      <c r="CJ197" s="1035">
        <v>2275</v>
      </c>
      <c r="CK197" s="1035">
        <v>2780</v>
      </c>
      <c r="CL197" s="1035">
        <v>3318</v>
      </c>
      <c r="CM197" s="1035">
        <v>4138</v>
      </c>
      <c r="CN197" s="1035">
        <v>4399</v>
      </c>
      <c r="CR197" s="23" t="s">
        <v>689</v>
      </c>
      <c r="CS197" s="320">
        <v>694266</v>
      </c>
      <c r="CT197" s="320">
        <v>800482</v>
      </c>
      <c r="CU197" s="320">
        <v>965600</v>
      </c>
      <c r="CV197" s="320">
        <v>1235968</v>
      </c>
      <c r="CW197" s="320">
        <v>1376946</v>
      </c>
      <c r="CX197" s="14"/>
      <c r="CY197" s="23" t="s">
        <v>689</v>
      </c>
      <c r="CZ197" s="320">
        <v>694266</v>
      </c>
      <c r="DA197" s="320">
        <v>800482</v>
      </c>
      <c r="DB197" s="320">
        <v>965600</v>
      </c>
      <c r="DC197" s="320">
        <v>1235968</v>
      </c>
      <c r="DD197" s="320">
        <v>1376946</v>
      </c>
    </row>
    <row r="198" spans="1:108" s="14" customFormat="1" ht="12.95" customHeight="1">
      <c r="A198"/>
      <c r="B198"/>
      <c r="C198" s="21"/>
      <c r="D198" s="3" t="s">
        <v>1639</v>
      </c>
      <c r="E198"/>
      <c r="F198"/>
      <c r="G198"/>
      <c r="H198"/>
      <c r="I198"/>
      <c r="J198"/>
      <c r="K198"/>
      <c r="L198"/>
      <c r="M198"/>
      <c r="N198"/>
      <c r="O198"/>
      <c r="P198"/>
      <c r="Q198"/>
      <c r="R198"/>
      <c r="S198"/>
      <c r="T198" s="1389">
        <v>0</v>
      </c>
      <c r="U198" s="1389"/>
      <c r="V198"/>
      <c r="X198" s="1513" t="s">
        <v>2442</v>
      </c>
      <c r="Y198" s="1513"/>
      <c r="Z198" s="1513"/>
      <c r="AA198" s="1513"/>
      <c r="AB198" s="1513"/>
      <c r="AC198" s="1513"/>
      <c r="AD198" s="1513"/>
      <c r="AE198" s="1513"/>
      <c r="AF198" s="1513"/>
      <c r="AG198" s="1513"/>
      <c r="AH198" s="1513"/>
      <c r="AI198" s="1513"/>
      <c r="AJ198" s="1513"/>
      <c r="AK198" s="1513"/>
      <c r="AL198" s="1513"/>
      <c r="AM198" s="1513"/>
      <c r="AN198" s="1513"/>
      <c r="AO198" s="1513"/>
      <c r="AP198" s="1513"/>
      <c r="AQ198" s="1513"/>
      <c r="AR198" s="1513"/>
      <c r="AS198" s="1513"/>
      <c r="AT198" s="1513"/>
      <c r="AU198"/>
      <c r="AV198"/>
      <c r="AW198"/>
      <c r="AX198"/>
      <c r="AY198"/>
      <c r="AZ198" s="30"/>
      <c r="BA198" s="30"/>
      <c r="BC198" s="14" t="s">
        <v>589</v>
      </c>
      <c r="BD198"/>
      <c r="BN198" s="23" t="s">
        <v>695</v>
      </c>
      <c r="BO198"/>
      <c r="BP198"/>
      <c r="BQ198"/>
      <c r="BR198"/>
      <c r="BS198">
        <v>4</v>
      </c>
      <c r="BT198" t="s">
        <v>190</v>
      </c>
      <c r="BU198"/>
      <c r="BV198" s="31"/>
      <c r="CB198" s="349" t="s">
        <v>729</v>
      </c>
      <c r="CC198" s="463">
        <v>1832</v>
      </c>
      <c r="CD198" s="464">
        <v>1962</v>
      </c>
      <c r="CE198" s="463">
        <v>2354</v>
      </c>
      <c r="CF198" s="464">
        <v>2720</v>
      </c>
      <c r="CG198" s="464">
        <v>3034</v>
      </c>
      <c r="CH198" s="465">
        <v>3348</v>
      </c>
      <c r="CI198" s="3"/>
      <c r="CJ198" s="856">
        <v>1248</v>
      </c>
      <c r="CK198" s="856">
        <v>1363</v>
      </c>
      <c r="CL198" s="856">
        <v>1736</v>
      </c>
      <c r="CM198" s="856">
        <v>2433</v>
      </c>
      <c r="CN198" s="856">
        <v>2915</v>
      </c>
      <c r="CR198" s="23" t="s">
        <v>241</v>
      </c>
      <c r="CS198" s="322">
        <v>323262</v>
      </c>
      <c r="CT198" s="322">
        <v>372718</v>
      </c>
      <c r="CU198" s="322">
        <v>449600</v>
      </c>
      <c r="CV198" s="322">
        <v>575488</v>
      </c>
      <c r="CW198" s="322">
        <v>641130</v>
      </c>
      <c r="CY198" s="23" t="s">
        <v>241</v>
      </c>
      <c r="CZ198" s="322">
        <v>323262</v>
      </c>
      <c r="DA198" s="322">
        <v>372718</v>
      </c>
      <c r="DB198" s="322">
        <v>449600</v>
      </c>
      <c r="DC198" s="322">
        <v>575488</v>
      </c>
      <c r="DD198" s="322">
        <v>641130</v>
      </c>
    </row>
    <row r="199" spans="1:108" s="14" customFormat="1" ht="12.95" customHeight="1">
      <c r="A199"/>
      <c r="B199"/>
      <c r="C199" s="21"/>
      <c r="D199" s="118" t="s">
        <v>2445</v>
      </c>
      <c r="E199"/>
      <c r="F199"/>
      <c r="G199"/>
      <c r="H199"/>
      <c r="I199"/>
      <c r="J199"/>
      <c r="K199"/>
      <c r="L199"/>
      <c r="M199"/>
      <c r="N199"/>
      <c r="O199"/>
      <c r="P199"/>
      <c r="Q199"/>
      <c r="R199"/>
      <c r="S199"/>
      <c r="T199" s="1352" t="s">
        <v>667</v>
      </c>
      <c r="U199" s="1352"/>
      <c r="V199"/>
      <c r="W199"/>
      <c r="X199" s="1513"/>
      <c r="Y199" s="1513"/>
      <c r="Z199" s="1513"/>
      <c r="AA199" s="1513"/>
      <c r="AB199" s="1513"/>
      <c r="AC199" s="1513"/>
      <c r="AD199" s="1513"/>
      <c r="AE199" s="1513"/>
      <c r="AF199" s="1513"/>
      <c r="AG199" s="1513"/>
      <c r="AH199" s="1513"/>
      <c r="AI199" s="1513"/>
      <c r="AJ199" s="1513"/>
      <c r="AK199" s="1513"/>
      <c r="AL199" s="1513"/>
      <c r="AM199" s="1513"/>
      <c r="AN199" s="1513"/>
      <c r="AO199" s="1513"/>
      <c r="AP199" s="1513"/>
      <c r="AQ199" s="1513"/>
      <c r="AR199" s="1513"/>
      <c r="AS199" s="1513"/>
      <c r="AT199" s="1513"/>
      <c r="AU199"/>
      <c r="AV199"/>
      <c r="AW199"/>
      <c r="AX199"/>
      <c r="AY199"/>
      <c r="AZ199" s="30"/>
      <c r="BA199" s="30"/>
      <c r="BC199" t="s">
        <v>873</v>
      </c>
      <c r="BD199"/>
      <c r="BN199" s="23" t="s">
        <v>696</v>
      </c>
      <c r="BO199"/>
      <c r="BP199"/>
      <c r="BQ199"/>
      <c r="BR199"/>
      <c r="BS199">
        <v>2</v>
      </c>
      <c r="BT199" s="32" t="s">
        <v>191</v>
      </c>
      <c r="BU199"/>
      <c r="BV199" s="31"/>
      <c r="CB199" s="349" t="s">
        <v>69</v>
      </c>
      <c r="CC199" s="463">
        <v>2432</v>
      </c>
      <c r="CD199" s="464">
        <v>2606</v>
      </c>
      <c r="CE199" s="463">
        <v>3126</v>
      </c>
      <c r="CF199" s="464">
        <v>3612</v>
      </c>
      <c r="CG199" s="464">
        <v>4032</v>
      </c>
      <c r="CH199" s="465">
        <v>4448</v>
      </c>
      <c r="CI199" s="3"/>
      <c r="CJ199" s="856">
        <v>1669</v>
      </c>
      <c r="CK199" s="856">
        <v>1855</v>
      </c>
      <c r="CL199" s="856">
        <v>2434</v>
      </c>
      <c r="CM199" s="856">
        <v>3250</v>
      </c>
      <c r="CN199" s="856">
        <v>3683</v>
      </c>
      <c r="CR199" s="23" t="s">
        <v>242</v>
      </c>
      <c r="CS199" s="320">
        <v>442904</v>
      </c>
      <c r="CT199" s="320">
        <v>510664</v>
      </c>
      <c r="CU199" s="320">
        <v>616000</v>
      </c>
      <c r="CV199" s="320">
        <v>788480</v>
      </c>
      <c r="CW199" s="320">
        <v>878416</v>
      </c>
      <c r="CY199" s="23" t="s">
        <v>242</v>
      </c>
      <c r="CZ199" s="320">
        <v>442904</v>
      </c>
      <c r="DA199" s="320">
        <v>510664</v>
      </c>
      <c r="DB199" s="320">
        <v>616000</v>
      </c>
      <c r="DC199" s="320">
        <v>788480</v>
      </c>
      <c r="DD199" s="320">
        <v>878416</v>
      </c>
    </row>
    <row r="200" spans="1:108" s="14" customFormat="1" ht="12.95" customHeight="1">
      <c r="A200"/>
      <c r="B200"/>
      <c r="C200" s="21"/>
      <c r="D200" s="14" t="s">
        <v>2443</v>
      </c>
      <c r="T200" s="1352" t="s">
        <v>667</v>
      </c>
      <c r="U200" s="1352"/>
      <c r="V200"/>
      <c r="W200"/>
      <c r="X200"/>
      <c r="Y200"/>
      <c r="AA200"/>
      <c r="AB200" s="1183" t="s">
        <v>916</v>
      </c>
      <c r="AC200"/>
      <c r="AF200"/>
      <c r="AG200"/>
      <c r="AH200" s="1"/>
      <c r="AJ200"/>
      <c r="AK200"/>
      <c r="AL200"/>
      <c r="AM200"/>
      <c r="AN200"/>
      <c r="AO200"/>
      <c r="AP200"/>
      <c r="AQ200"/>
      <c r="AR200"/>
      <c r="AS200"/>
      <c r="AU200"/>
      <c r="AV200"/>
      <c r="AW200"/>
      <c r="AX200"/>
      <c r="AY200"/>
      <c r="AZ200" s="30"/>
      <c r="BA200" s="30"/>
      <c r="BC200" s="3" t="s">
        <v>872</v>
      </c>
      <c r="BD200" s="435"/>
      <c r="BN200" s="23" t="s">
        <v>697</v>
      </c>
      <c r="BO200"/>
      <c r="BP200"/>
      <c r="BQ200"/>
      <c r="BR200"/>
      <c r="BS200">
        <v>2</v>
      </c>
      <c r="BT200" s="32" t="s">
        <v>192</v>
      </c>
      <c r="BU200"/>
      <c r="CB200" s="349" t="s">
        <v>70</v>
      </c>
      <c r="CC200" s="463">
        <v>3384</v>
      </c>
      <c r="CD200" s="464">
        <v>3626</v>
      </c>
      <c r="CE200" s="463">
        <v>4352</v>
      </c>
      <c r="CF200" s="464">
        <v>5028</v>
      </c>
      <c r="CG200" s="464">
        <v>5610</v>
      </c>
      <c r="CH200" s="465">
        <v>6190</v>
      </c>
      <c r="CI200" s="3"/>
      <c r="CJ200" s="856">
        <v>2275</v>
      </c>
      <c r="CK200" s="856">
        <v>2780</v>
      </c>
      <c r="CL200" s="856">
        <v>3318</v>
      </c>
      <c r="CM200" s="856">
        <v>4138</v>
      </c>
      <c r="CN200" s="856">
        <v>4399</v>
      </c>
      <c r="CR200" s="23" t="s">
        <v>243</v>
      </c>
      <c r="CS200" s="321">
        <v>532060</v>
      </c>
      <c r="CT200" s="321">
        <v>613460</v>
      </c>
      <c r="CU200" s="322">
        <v>740000</v>
      </c>
      <c r="CV200" s="321">
        <v>947200</v>
      </c>
      <c r="CW200" s="321">
        <v>1055240</v>
      </c>
      <c r="CY200" s="23" t="s">
        <v>243</v>
      </c>
      <c r="CZ200" s="321">
        <v>532060</v>
      </c>
      <c r="DA200" s="321">
        <v>613460</v>
      </c>
      <c r="DB200" s="321">
        <v>740000</v>
      </c>
      <c r="DC200" s="321">
        <v>947200</v>
      </c>
      <c r="DD200" s="321">
        <v>1055240</v>
      </c>
    </row>
    <row r="201" spans="1:108" s="14" customFormat="1" ht="12.95" customHeight="1">
      <c r="A201"/>
      <c r="B201"/>
      <c r="C201" s="21"/>
      <c r="E201" s="3" t="s">
        <v>2444</v>
      </c>
      <c r="V201"/>
      <c r="X201"/>
      <c r="Y201"/>
      <c r="Z201"/>
      <c r="AB201" s="1183" t="s">
        <v>917</v>
      </c>
      <c r="AC201"/>
      <c r="AH201" s="1"/>
      <c r="AJ201"/>
      <c r="AK201"/>
      <c r="AL201"/>
      <c r="AM201"/>
      <c r="AN201"/>
      <c r="AO201"/>
      <c r="AP201"/>
      <c r="AQ201"/>
      <c r="AR201"/>
      <c r="AS201"/>
      <c r="AU201"/>
      <c r="AV201"/>
      <c r="AW201"/>
      <c r="AX201"/>
      <c r="AY201"/>
      <c r="AZ201" s="30"/>
      <c r="BA201" s="30"/>
      <c r="BC201" s="3" t="s">
        <v>1059</v>
      </c>
      <c r="BD201" s="435"/>
      <c r="BN201" s="23" t="s">
        <v>698</v>
      </c>
      <c r="BO201" s="31"/>
      <c r="BP201" s="32"/>
      <c r="BQ201" s="32"/>
      <c r="BR201" s="32"/>
      <c r="BS201">
        <v>6</v>
      </c>
      <c r="BT201" s="32" t="s">
        <v>193</v>
      </c>
      <c r="BU201"/>
      <c r="CB201" s="349" t="s">
        <v>190</v>
      </c>
      <c r="CC201" s="463">
        <v>3090</v>
      </c>
      <c r="CD201" s="464">
        <v>3310</v>
      </c>
      <c r="CE201" s="463">
        <v>3972</v>
      </c>
      <c r="CF201" s="464">
        <v>4590</v>
      </c>
      <c r="CG201" s="464">
        <v>5120</v>
      </c>
      <c r="CH201" s="465">
        <v>5648</v>
      </c>
      <c r="CI201" s="3"/>
      <c r="CJ201" s="856">
        <v>2381</v>
      </c>
      <c r="CK201" s="856">
        <v>2688</v>
      </c>
      <c r="CL201" s="856">
        <v>3028</v>
      </c>
      <c r="CM201" s="856">
        <v>4011</v>
      </c>
      <c r="CN201" s="856">
        <v>4468</v>
      </c>
      <c r="CR201" s="23" t="s">
        <v>695</v>
      </c>
      <c r="CS201" s="320">
        <v>442904</v>
      </c>
      <c r="CT201" s="320">
        <v>510664</v>
      </c>
      <c r="CU201" s="320">
        <v>616000</v>
      </c>
      <c r="CV201" s="320">
        <v>788480</v>
      </c>
      <c r="CW201" s="320">
        <v>878416</v>
      </c>
      <c r="CY201" s="23" t="s">
        <v>695</v>
      </c>
      <c r="CZ201" s="320">
        <v>442904</v>
      </c>
      <c r="DA201" s="320">
        <v>510664</v>
      </c>
      <c r="DB201" s="320">
        <v>616000</v>
      </c>
      <c r="DC201" s="320">
        <v>788480</v>
      </c>
      <c r="DD201" s="320">
        <v>878416</v>
      </c>
    </row>
    <row r="202" spans="1:108" ht="12.95" customHeight="1">
      <c r="C202" s="21"/>
      <c r="AE202" s="8"/>
      <c r="BC202" t="s">
        <v>609</v>
      </c>
      <c r="BD202" s="435"/>
      <c r="BN202" s="23" t="s">
        <v>699</v>
      </c>
      <c r="BO202" s="14"/>
      <c r="BP202" s="32"/>
      <c r="BQ202" s="32"/>
      <c r="BR202" s="32"/>
      <c r="BS202">
        <v>7</v>
      </c>
      <c r="BT202" s="32" t="s">
        <v>194</v>
      </c>
      <c r="CB202" s="349" t="s">
        <v>191</v>
      </c>
      <c r="CC202" s="463">
        <v>3516</v>
      </c>
      <c r="CD202" s="464">
        <v>3768</v>
      </c>
      <c r="CE202" s="463">
        <v>4522</v>
      </c>
      <c r="CF202" s="464">
        <v>5222</v>
      </c>
      <c r="CG202" s="464">
        <v>5826</v>
      </c>
      <c r="CH202" s="465">
        <v>6430</v>
      </c>
      <c r="CI202" s="3"/>
      <c r="CJ202" s="856">
        <v>2608</v>
      </c>
      <c r="CK202" s="856">
        <v>2975</v>
      </c>
      <c r="CL202" s="856">
        <v>3446</v>
      </c>
      <c r="CM202" s="856">
        <v>4477</v>
      </c>
      <c r="CN202" s="856">
        <v>4878</v>
      </c>
      <c r="CR202" s="23" t="s">
        <v>696</v>
      </c>
      <c r="CS202" s="321">
        <v>532060</v>
      </c>
      <c r="CT202" s="321">
        <v>613460</v>
      </c>
      <c r="CU202" s="321">
        <v>740000</v>
      </c>
      <c r="CV202" s="321">
        <v>947200</v>
      </c>
      <c r="CW202" s="321">
        <v>1055240</v>
      </c>
      <c r="CX202" s="14"/>
      <c r="CY202" s="23" t="s">
        <v>696</v>
      </c>
      <c r="CZ202" s="321">
        <v>532060</v>
      </c>
      <c r="DA202" s="321">
        <v>613460</v>
      </c>
      <c r="DB202" s="321">
        <v>740000</v>
      </c>
      <c r="DC202" s="321">
        <v>947200</v>
      </c>
      <c r="DD202" s="321">
        <v>1055240</v>
      </c>
    </row>
    <row r="203" spans="1:108" ht="12.95" customHeight="1">
      <c r="A203" s="2" t="s">
        <v>584</v>
      </c>
      <c r="C203" s="2" t="s">
        <v>136</v>
      </c>
      <c r="BC203" t="s">
        <v>1060</v>
      </c>
      <c r="BN203" s="23" t="s">
        <v>700</v>
      </c>
      <c r="BO203" s="14"/>
      <c r="BP203" s="32"/>
      <c r="BQ203" s="32"/>
      <c r="BR203" s="32"/>
      <c r="BS203">
        <v>7</v>
      </c>
      <c r="BT203" s="32" t="s">
        <v>195</v>
      </c>
      <c r="CB203" s="349" t="s">
        <v>192</v>
      </c>
      <c r="CC203" s="463">
        <v>3462</v>
      </c>
      <c r="CD203" s="464">
        <v>3708</v>
      </c>
      <c r="CE203" s="463">
        <v>4450</v>
      </c>
      <c r="CF203" s="464">
        <v>5142</v>
      </c>
      <c r="CG203" s="464">
        <v>5734</v>
      </c>
      <c r="CH203" s="465">
        <v>6330</v>
      </c>
      <c r="CI203" s="3"/>
      <c r="CJ203" s="856">
        <v>3056</v>
      </c>
      <c r="CK203" s="856">
        <v>3221</v>
      </c>
      <c r="CL203" s="856">
        <v>4223</v>
      </c>
      <c r="CM203" s="856">
        <v>5256</v>
      </c>
      <c r="CN203" s="856">
        <v>5605</v>
      </c>
      <c r="CR203" s="23" t="s">
        <v>697</v>
      </c>
      <c r="CS203" s="320">
        <v>442904</v>
      </c>
      <c r="CT203" s="320">
        <v>510664</v>
      </c>
      <c r="CU203" s="320">
        <v>616000</v>
      </c>
      <c r="CV203" s="320">
        <v>788480</v>
      </c>
      <c r="CW203" s="320">
        <v>878416</v>
      </c>
      <c r="CX203" s="14"/>
      <c r="CY203" s="23" t="s">
        <v>697</v>
      </c>
      <c r="CZ203" s="320">
        <v>442904</v>
      </c>
      <c r="DA203" s="320">
        <v>510664</v>
      </c>
      <c r="DB203" s="320">
        <v>616000</v>
      </c>
      <c r="DC203" s="320">
        <v>788480</v>
      </c>
      <c r="DD203" s="320">
        <v>878416</v>
      </c>
    </row>
    <row r="204" spans="1:108" ht="12.95" customHeight="1">
      <c r="D204" s="1522" t="s">
        <v>384</v>
      </c>
      <c r="E204" s="1522"/>
      <c r="F204" s="1522"/>
      <c r="G204" s="1522"/>
      <c r="H204" s="1522"/>
      <c r="I204" s="1522"/>
      <c r="J204" s="1522"/>
      <c r="K204" s="1522"/>
      <c r="L204" s="1522"/>
      <c r="M204" s="1522"/>
      <c r="P204" s="1834">
        <f>M26</f>
        <v>5192062</v>
      </c>
      <c r="Q204" s="1814"/>
      <c r="R204" s="1814"/>
      <c r="S204" s="1814"/>
      <c r="T204" s="1814"/>
      <c r="U204" s="1814"/>
      <c r="BC204" t="s">
        <v>1061</v>
      </c>
      <c r="BN204" s="23" t="s">
        <v>701</v>
      </c>
      <c r="BS204">
        <v>6</v>
      </c>
      <c r="BT204" s="32" t="s">
        <v>196</v>
      </c>
      <c r="BU204" s="14"/>
      <c r="CB204" s="349" t="s">
        <v>193</v>
      </c>
      <c r="CC204" s="463">
        <v>1702</v>
      </c>
      <c r="CD204" s="464">
        <v>1822</v>
      </c>
      <c r="CE204" s="463">
        <v>2190</v>
      </c>
      <c r="CF204" s="464">
        <v>2530</v>
      </c>
      <c r="CG204" s="464">
        <v>2822</v>
      </c>
      <c r="CH204" s="465">
        <v>3114</v>
      </c>
      <c r="CI204" s="3"/>
      <c r="CJ204" s="856">
        <v>1151</v>
      </c>
      <c r="CK204" s="856">
        <v>1229</v>
      </c>
      <c r="CL204" s="856">
        <v>1613</v>
      </c>
      <c r="CM204" s="856">
        <v>2260</v>
      </c>
      <c r="CN204" s="856">
        <v>2709</v>
      </c>
      <c r="CR204" s="23" t="s">
        <v>698</v>
      </c>
      <c r="CS204" s="322">
        <v>369278</v>
      </c>
      <c r="CT204" s="322">
        <v>425774</v>
      </c>
      <c r="CU204" s="322">
        <v>513600</v>
      </c>
      <c r="CV204" s="322">
        <v>657408</v>
      </c>
      <c r="CW204" s="322">
        <v>732394</v>
      </c>
      <c r="CX204" s="14"/>
      <c r="CY204" s="23" t="s">
        <v>698</v>
      </c>
      <c r="CZ204" s="322">
        <v>369278</v>
      </c>
      <c r="DA204" s="322">
        <v>425774</v>
      </c>
      <c r="DB204" s="322">
        <v>513600</v>
      </c>
      <c r="DC204" s="322">
        <v>657408</v>
      </c>
      <c r="DD204" s="322">
        <v>732394</v>
      </c>
    </row>
    <row r="205" spans="1:108" ht="12.95" customHeight="1">
      <c r="C205" s="21"/>
      <c r="D205" s="1843" t="s">
        <v>1245</v>
      </c>
      <c r="E205" s="1522"/>
      <c r="F205" s="1522"/>
      <c r="G205" s="1522"/>
      <c r="H205" s="1522"/>
      <c r="I205" s="1522"/>
      <c r="J205" s="1522"/>
      <c r="K205" s="1522"/>
      <c r="L205" s="1522"/>
      <c r="M205" s="1522"/>
      <c r="P205" s="1814">
        <f>M27</f>
        <v>0</v>
      </c>
      <c r="Q205" s="1814"/>
      <c r="R205" s="1814"/>
      <c r="S205" s="1814"/>
      <c r="T205" s="1814"/>
      <c r="U205" s="1814"/>
      <c r="V205" s="28"/>
      <c r="W205" s="3" t="s">
        <v>1707</v>
      </c>
      <c r="Z205" s="1841" t="s">
        <v>1182</v>
      </c>
      <c r="AA205" s="1841"/>
      <c r="AB205" s="1841"/>
      <c r="AC205" s="1841"/>
      <c r="AD205" s="1841"/>
      <c r="AE205" s="1841"/>
      <c r="AF205" s="1841"/>
      <c r="AG205" s="1841"/>
      <c r="AH205" s="1841"/>
      <c r="AI205" s="1841"/>
      <c r="AJ205" s="1841"/>
      <c r="AK205" s="1841"/>
      <c r="AL205" s="1841"/>
      <c r="AM205" s="1841"/>
      <c r="AN205" s="1841"/>
      <c r="AP205" s="1354"/>
      <c r="AQ205" s="1354"/>
      <c r="BC205" t="s">
        <v>608</v>
      </c>
      <c r="BN205" s="23" t="s">
        <v>109</v>
      </c>
      <c r="BS205">
        <v>4</v>
      </c>
      <c r="BT205" s="32" t="s">
        <v>173</v>
      </c>
      <c r="BU205" s="14"/>
      <c r="CB205" s="349" t="s">
        <v>194</v>
      </c>
      <c r="CC205" s="463">
        <v>1644</v>
      </c>
      <c r="CD205" s="464">
        <v>1762</v>
      </c>
      <c r="CE205" s="463">
        <v>2114</v>
      </c>
      <c r="CF205" s="464">
        <v>2442</v>
      </c>
      <c r="CG205" s="464">
        <v>2724</v>
      </c>
      <c r="CH205" s="465">
        <v>3006</v>
      </c>
      <c r="CI205" s="3"/>
      <c r="CJ205" s="856">
        <v>1003</v>
      </c>
      <c r="CK205" s="856">
        <v>1101</v>
      </c>
      <c r="CL205" s="856">
        <v>1445</v>
      </c>
      <c r="CM205" s="856">
        <v>2025</v>
      </c>
      <c r="CN205" s="856">
        <v>2396</v>
      </c>
      <c r="CR205" s="23" t="s">
        <v>699</v>
      </c>
      <c r="CS205" s="320">
        <v>402640</v>
      </c>
      <c r="CT205" s="320">
        <v>464240</v>
      </c>
      <c r="CU205" s="320">
        <v>560000</v>
      </c>
      <c r="CV205" s="320">
        <v>716800</v>
      </c>
      <c r="CW205" s="320">
        <v>798560</v>
      </c>
      <c r="CX205" s="14"/>
      <c r="CY205" s="23" t="s">
        <v>699</v>
      </c>
      <c r="CZ205" s="320">
        <v>402640</v>
      </c>
      <c r="DA205" s="320">
        <v>464240</v>
      </c>
      <c r="DB205" s="320">
        <v>560000</v>
      </c>
      <c r="DC205" s="320">
        <v>716800</v>
      </c>
      <c r="DD205" s="320">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49" t="s">
        <v>195</v>
      </c>
      <c r="CC206" s="463">
        <v>1644</v>
      </c>
      <c r="CD206" s="464">
        <v>1762</v>
      </c>
      <c r="CE206" s="463">
        <v>2114</v>
      </c>
      <c r="CF206" s="464">
        <v>2442</v>
      </c>
      <c r="CG206" s="464">
        <v>2724</v>
      </c>
      <c r="CH206" s="465">
        <v>3006</v>
      </c>
      <c r="CI206" s="3"/>
      <c r="CJ206" s="856">
        <v>924</v>
      </c>
      <c r="CK206" s="856">
        <v>930</v>
      </c>
      <c r="CL206" s="856">
        <v>1201</v>
      </c>
      <c r="CM206" s="856">
        <v>1683</v>
      </c>
      <c r="CN206" s="856">
        <v>1834</v>
      </c>
      <c r="CR206" s="23" t="s">
        <v>700</v>
      </c>
      <c r="CS206" s="322">
        <v>402640</v>
      </c>
      <c r="CT206" s="322">
        <v>464240</v>
      </c>
      <c r="CU206" s="322">
        <v>560000</v>
      </c>
      <c r="CV206" s="322">
        <v>716800</v>
      </c>
      <c r="CW206" s="322">
        <v>798560</v>
      </c>
      <c r="CX206" s="14"/>
      <c r="CY206" s="23" t="s">
        <v>700</v>
      </c>
      <c r="CZ206" s="322">
        <v>402640</v>
      </c>
      <c r="DA206" s="322">
        <v>464240</v>
      </c>
      <c r="DB206" s="322">
        <v>560000</v>
      </c>
      <c r="DC206" s="322">
        <v>716800</v>
      </c>
      <c r="DD206" s="322">
        <v>798560</v>
      </c>
    </row>
    <row r="207" spans="1:108" ht="12.95" customHeight="1">
      <c r="A207" s="2" t="s">
        <v>587</v>
      </c>
      <c r="C207" s="2" t="s">
        <v>549</v>
      </c>
      <c r="BC207" s="436" t="s">
        <v>1062</v>
      </c>
      <c r="BN207" s="23" t="s">
        <v>45</v>
      </c>
      <c r="BS207">
        <v>6</v>
      </c>
      <c r="BT207" s="32" t="s">
        <v>198</v>
      </c>
      <c r="CB207" s="349" t="s">
        <v>196</v>
      </c>
      <c r="CC207" s="463">
        <v>2404</v>
      </c>
      <c r="CD207" s="464">
        <v>2576</v>
      </c>
      <c r="CE207" s="463">
        <v>3092</v>
      </c>
      <c r="CF207" s="464">
        <v>3572</v>
      </c>
      <c r="CG207" s="464">
        <v>3984</v>
      </c>
      <c r="CH207" s="465">
        <v>4396</v>
      </c>
      <c r="CI207" s="3"/>
      <c r="CJ207" s="856">
        <v>1724</v>
      </c>
      <c r="CK207" s="856">
        <v>1894</v>
      </c>
      <c r="CL207" s="856">
        <v>2420</v>
      </c>
      <c r="CM207" s="856">
        <v>3234</v>
      </c>
      <c r="CN207" s="856">
        <v>3663</v>
      </c>
      <c r="CR207" s="23" t="s">
        <v>701</v>
      </c>
      <c r="CS207" s="320">
        <v>406666</v>
      </c>
      <c r="CT207" s="320">
        <v>468882</v>
      </c>
      <c r="CU207" s="320">
        <v>565600</v>
      </c>
      <c r="CV207" s="320">
        <v>723968</v>
      </c>
      <c r="CW207" s="320">
        <v>806546</v>
      </c>
      <c r="CX207" s="14"/>
      <c r="CY207" s="23" t="s">
        <v>701</v>
      </c>
      <c r="CZ207" s="320">
        <v>406666</v>
      </c>
      <c r="DA207" s="320">
        <v>468882</v>
      </c>
      <c r="DB207" s="320">
        <v>565600</v>
      </c>
      <c r="DC207" s="320">
        <v>723968</v>
      </c>
      <c r="DD207" s="320">
        <v>806546</v>
      </c>
    </row>
    <row r="208" spans="1:108" ht="12.95" customHeight="1">
      <c r="C208" s="21"/>
      <c r="D208" s="1515" t="s">
        <v>2755</v>
      </c>
      <c r="E208" s="1515"/>
      <c r="F208" s="1515"/>
      <c r="G208" s="1515"/>
      <c r="H208" s="1515"/>
      <c r="I208" s="1515"/>
      <c r="J208" s="1515"/>
      <c r="K208" s="1515"/>
      <c r="L208" s="1515"/>
      <c r="M208" s="1515"/>
      <c r="BC208" s="3" t="s">
        <v>2159</v>
      </c>
      <c r="BN208" s="23" t="s">
        <v>46</v>
      </c>
      <c r="BS208">
        <v>7</v>
      </c>
      <c r="BT208" s="32" t="s">
        <v>199</v>
      </c>
      <c r="CB208" s="349" t="s">
        <v>173</v>
      </c>
      <c r="CC208" s="463">
        <v>2642</v>
      </c>
      <c r="CD208" s="464">
        <v>2830</v>
      </c>
      <c r="CE208" s="463">
        <v>3396</v>
      </c>
      <c r="CF208" s="464">
        <v>3926</v>
      </c>
      <c r="CG208" s="464">
        <v>4380</v>
      </c>
      <c r="CH208" s="465">
        <v>4832</v>
      </c>
      <c r="CI208" s="3"/>
      <c r="CJ208" s="856">
        <v>1879</v>
      </c>
      <c r="CK208" s="856">
        <v>2089</v>
      </c>
      <c r="CL208" s="856">
        <v>2740</v>
      </c>
      <c r="CM208" s="856">
        <v>3743</v>
      </c>
      <c r="CN208" s="856">
        <v>3960</v>
      </c>
      <c r="CR208" s="23" t="s">
        <v>109</v>
      </c>
      <c r="CS208" s="322">
        <v>406666</v>
      </c>
      <c r="CT208" s="322">
        <v>468882</v>
      </c>
      <c r="CU208" s="322">
        <v>565600</v>
      </c>
      <c r="CV208" s="322">
        <v>723968</v>
      </c>
      <c r="CW208" s="322">
        <v>806546</v>
      </c>
      <c r="CX208" s="14"/>
      <c r="CY208" s="23" t="s">
        <v>109</v>
      </c>
      <c r="CZ208" s="322">
        <v>406666</v>
      </c>
      <c r="DA208" s="322">
        <v>468882</v>
      </c>
      <c r="DB208" s="322">
        <v>565600</v>
      </c>
      <c r="DC208" s="322">
        <v>723968</v>
      </c>
      <c r="DD208" s="322">
        <v>806546</v>
      </c>
    </row>
    <row r="209" spans="1:108" ht="12.95" customHeight="1">
      <c r="BC209" t="s">
        <v>1063</v>
      </c>
      <c r="BN209" s="23" t="s">
        <v>47</v>
      </c>
      <c r="BS209">
        <v>7</v>
      </c>
      <c r="BT209" s="32" t="s">
        <v>200</v>
      </c>
      <c r="CB209" s="349" t="s">
        <v>197</v>
      </c>
      <c r="CC209" s="463">
        <v>1724</v>
      </c>
      <c r="CD209" s="464">
        <v>1846</v>
      </c>
      <c r="CE209" s="463">
        <v>2216</v>
      </c>
      <c r="CF209" s="464">
        <v>2560</v>
      </c>
      <c r="CG209" s="464">
        <v>2856</v>
      </c>
      <c r="CH209" s="465">
        <v>3152</v>
      </c>
      <c r="CI209" s="3"/>
      <c r="CJ209" s="856">
        <v>1130</v>
      </c>
      <c r="CK209" s="856">
        <v>1209</v>
      </c>
      <c r="CL209" s="856">
        <v>1566</v>
      </c>
      <c r="CM209" s="856">
        <v>2194</v>
      </c>
      <c r="CN209" s="856">
        <v>2549</v>
      </c>
      <c r="CR209" s="23" t="s">
        <v>110</v>
      </c>
      <c r="CS209" s="320">
        <v>323262</v>
      </c>
      <c r="CT209" s="320">
        <v>372718</v>
      </c>
      <c r="CU209" s="320">
        <v>449600</v>
      </c>
      <c r="CV209" s="320">
        <v>575488</v>
      </c>
      <c r="CW209" s="320">
        <v>641130</v>
      </c>
      <c r="CX209" s="14"/>
      <c r="CY209" s="23" t="s">
        <v>110</v>
      </c>
      <c r="CZ209" s="320">
        <v>323262</v>
      </c>
      <c r="DA209" s="320">
        <v>372718</v>
      </c>
      <c r="DB209" s="320">
        <v>449600</v>
      </c>
      <c r="DC209" s="320">
        <v>575488</v>
      </c>
      <c r="DD209" s="320">
        <v>641130</v>
      </c>
    </row>
    <row r="210" spans="1:108" ht="12.95" customHeight="1">
      <c r="A210" s="2" t="s">
        <v>588</v>
      </c>
      <c r="C210" s="2" t="s">
        <v>387</v>
      </c>
      <c r="BC210" t="s">
        <v>657</v>
      </c>
      <c r="BN210" s="23" t="s">
        <v>48</v>
      </c>
      <c r="BS210">
        <v>5</v>
      </c>
      <c r="BT210" s="32" t="s">
        <v>201</v>
      </c>
      <c r="CB210" s="349" t="s">
        <v>198</v>
      </c>
      <c r="CC210" s="463">
        <v>1680</v>
      </c>
      <c r="CD210" s="464">
        <v>1800</v>
      </c>
      <c r="CE210" s="463">
        <v>2160</v>
      </c>
      <c r="CF210" s="464">
        <v>2496</v>
      </c>
      <c r="CG210" s="464">
        <v>2784</v>
      </c>
      <c r="CH210" s="465">
        <v>3072</v>
      </c>
      <c r="CI210" s="3"/>
      <c r="CJ210" s="856">
        <v>1195</v>
      </c>
      <c r="CK210" s="856">
        <v>1197</v>
      </c>
      <c r="CL210" s="856">
        <v>1522</v>
      </c>
      <c r="CM210" s="856">
        <v>2133</v>
      </c>
      <c r="CN210" s="856">
        <v>2556</v>
      </c>
      <c r="CR210" s="23" t="s">
        <v>45</v>
      </c>
      <c r="CS210" s="322">
        <v>360075</v>
      </c>
      <c r="CT210" s="322">
        <v>415163</v>
      </c>
      <c r="CU210" s="322">
        <v>500800</v>
      </c>
      <c r="CV210" s="322">
        <v>641024</v>
      </c>
      <c r="CW210" s="322">
        <v>714141</v>
      </c>
      <c r="CX210" s="14"/>
      <c r="CY210" s="23" t="s">
        <v>45</v>
      </c>
      <c r="CZ210" s="322">
        <v>360075</v>
      </c>
      <c r="DA210" s="322">
        <v>415163</v>
      </c>
      <c r="DB210" s="322">
        <v>500800</v>
      </c>
      <c r="DC210" s="322">
        <v>641024</v>
      </c>
      <c r="DD210" s="322">
        <v>714141</v>
      </c>
    </row>
    <row r="211" spans="1:108" ht="12.95" customHeight="1">
      <c r="C211" s="21"/>
      <c r="D211" s="1515" t="s">
        <v>1039</v>
      </c>
      <c r="E211" s="1515"/>
      <c r="F211" s="1515"/>
      <c r="G211" s="1515"/>
      <c r="H211" s="1515"/>
      <c r="I211" s="1515"/>
      <c r="J211" s="1515"/>
      <c r="K211" s="1515"/>
      <c r="L211" s="1515"/>
      <c r="M211" s="1515"/>
      <c r="BN211" s="23" t="s">
        <v>129</v>
      </c>
      <c r="BS211">
        <v>7</v>
      </c>
      <c r="BT211" s="32" t="s">
        <v>130</v>
      </c>
      <c r="CB211" s="349" t="s">
        <v>199</v>
      </c>
      <c r="CC211" s="463">
        <v>1644</v>
      </c>
      <c r="CD211" s="464">
        <v>1762</v>
      </c>
      <c r="CE211" s="463">
        <v>2114</v>
      </c>
      <c r="CF211" s="464">
        <v>2442</v>
      </c>
      <c r="CG211" s="464">
        <v>2724</v>
      </c>
      <c r="CH211" s="465">
        <v>3006</v>
      </c>
      <c r="CI211" s="3"/>
      <c r="CJ211" s="856">
        <v>926</v>
      </c>
      <c r="CK211" s="856">
        <v>1030</v>
      </c>
      <c r="CL211" s="856">
        <v>1351</v>
      </c>
      <c r="CM211" s="856">
        <v>1778</v>
      </c>
      <c r="CN211" s="856">
        <v>2229</v>
      </c>
      <c r="CR211" s="23" t="s">
        <v>46</v>
      </c>
      <c r="CS211" s="320">
        <v>402640</v>
      </c>
      <c r="CT211" s="320">
        <v>464240</v>
      </c>
      <c r="CU211" s="320">
        <v>560000</v>
      </c>
      <c r="CV211" s="320">
        <v>716800</v>
      </c>
      <c r="CW211" s="320">
        <v>798560</v>
      </c>
      <c r="CX211" s="14"/>
      <c r="CY211" s="23" t="s">
        <v>46</v>
      </c>
      <c r="CZ211" s="320">
        <v>402640</v>
      </c>
      <c r="DA211" s="320">
        <v>464240</v>
      </c>
      <c r="DB211" s="320">
        <v>560000</v>
      </c>
      <c r="DC211" s="320">
        <v>716800</v>
      </c>
      <c r="DD211" s="320">
        <v>798560</v>
      </c>
    </row>
    <row r="212" spans="1:108" ht="12.95" customHeight="1">
      <c r="C212" s="21"/>
      <c r="D212" s="3" t="s">
        <v>2183</v>
      </c>
      <c r="Q212" s="1352">
        <v>10</v>
      </c>
      <c r="R212" s="1352"/>
      <c r="T212" s="1836">
        <f>IFERROR(Q212/AG449,0)</f>
        <v>8.1967213114754092E-2</v>
      </c>
      <c r="U212" s="1837"/>
      <c r="BC212" t="s">
        <v>306</v>
      </c>
      <c r="BI212" t="s">
        <v>1182</v>
      </c>
      <c r="BN212" s="23" t="s">
        <v>49</v>
      </c>
      <c r="BS212">
        <v>4</v>
      </c>
      <c r="BT212" s="32" t="s">
        <v>202</v>
      </c>
      <c r="CB212" s="349" t="s">
        <v>200</v>
      </c>
      <c r="CC212" s="463">
        <v>1644</v>
      </c>
      <c r="CD212" s="464">
        <v>1762</v>
      </c>
      <c r="CE212" s="463">
        <v>2114</v>
      </c>
      <c r="CF212" s="464">
        <v>2442</v>
      </c>
      <c r="CG212" s="464">
        <v>2724</v>
      </c>
      <c r="CH212" s="465">
        <v>3006</v>
      </c>
      <c r="CI212" s="3"/>
      <c r="CJ212" s="856">
        <v>777</v>
      </c>
      <c r="CK212" s="856">
        <v>854</v>
      </c>
      <c r="CL212" s="856">
        <v>1120</v>
      </c>
      <c r="CM212" s="856">
        <v>1569</v>
      </c>
      <c r="CN212" s="856">
        <v>1708</v>
      </c>
      <c r="CR212" s="23" t="s">
        <v>47</v>
      </c>
      <c r="CS212" s="322">
        <v>402640</v>
      </c>
      <c r="CT212" s="322">
        <v>464240</v>
      </c>
      <c r="CU212" s="322">
        <v>560000</v>
      </c>
      <c r="CV212" s="322">
        <v>716800</v>
      </c>
      <c r="CW212" s="322">
        <v>798560</v>
      </c>
      <c r="CX212" s="14"/>
      <c r="CY212" s="23" t="s">
        <v>47</v>
      </c>
      <c r="CZ212" s="322">
        <v>402640</v>
      </c>
      <c r="DA212" s="322">
        <v>464240</v>
      </c>
      <c r="DB212" s="322">
        <v>560000</v>
      </c>
      <c r="DC212" s="322">
        <v>716800</v>
      </c>
      <c r="DD212" s="322">
        <v>798560</v>
      </c>
    </row>
    <row r="213" spans="1:108" ht="12.95" customHeight="1">
      <c r="D213" s="1138" t="s">
        <v>2402</v>
      </c>
      <c r="BC213" t="s">
        <v>524</v>
      </c>
      <c r="BI213" s="3" t="s">
        <v>2180</v>
      </c>
      <c r="BN213" s="23" t="s">
        <v>50</v>
      </c>
      <c r="BS213">
        <v>6</v>
      </c>
      <c r="BT213" s="32" t="s">
        <v>203</v>
      </c>
      <c r="CB213" s="349" t="s">
        <v>201</v>
      </c>
      <c r="CC213" s="463">
        <v>1644</v>
      </c>
      <c r="CD213" s="464">
        <v>1762</v>
      </c>
      <c r="CE213" s="463">
        <v>2114</v>
      </c>
      <c r="CF213" s="464">
        <v>2442</v>
      </c>
      <c r="CG213" s="464">
        <v>2724</v>
      </c>
      <c r="CH213" s="465">
        <v>3006</v>
      </c>
      <c r="CI213" s="3"/>
      <c r="CJ213" s="856">
        <v>1082</v>
      </c>
      <c r="CK213" s="856">
        <v>1089</v>
      </c>
      <c r="CL213" s="856">
        <v>1429</v>
      </c>
      <c r="CM213" s="856">
        <v>1967</v>
      </c>
      <c r="CN213" s="856">
        <v>2272</v>
      </c>
      <c r="CR213" s="23" t="s">
        <v>48</v>
      </c>
      <c r="CS213" s="320">
        <v>323262</v>
      </c>
      <c r="CT213" s="320">
        <v>372718</v>
      </c>
      <c r="CU213" s="320">
        <v>449600</v>
      </c>
      <c r="CV213" s="320">
        <v>575488</v>
      </c>
      <c r="CW213" s="320">
        <v>641130</v>
      </c>
      <c r="CX213" s="14"/>
      <c r="CY213" s="23" t="s">
        <v>48</v>
      </c>
      <c r="CZ213" s="320">
        <v>323262</v>
      </c>
      <c r="DA213" s="320">
        <v>372718</v>
      </c>
      <c r="DB213" s="320">
        <v>449600</v>
      </c>
      <c r="DC213" s="320">
        <v>575488</v>
      </c>
      <c r="DD213" s="320">
        <v>641130</v>
      </c>
    </row>
    <row r="214" spans="1:108" ht="12.95" customHeight="1">
      <c r="D214" s="1831" t="s">
        <v>589</v>
      </c>
      <c r="E214" s="1831"/>
      <c r="F214" s="1831"/>
      <c r="G214" s="1831"/>
      <c r="H214" s="1831"/>
      <c r="I214" s="1831"/>
      <c r="J214" s="1831"/>
      <c r="K214" s="1831"/>
      <c r="L214" s="1831"/>
      <c r="M214" s="1831"/>
      <c r="N214" s="1831"/>
      <c r="O214" s="1831"/>
      <c r="P214" s="1831"/>
      <c r="Q214" s="1831"/>
      <c r="R214" s="1831"/>
      <c r="S214" s="1831"/>
      <c r="T214" s="1831"/>
      <c r="U214" s="1831"/>
      <c r="V214" s="1831"/>
      <c r="W214" s="1831"/>
      <c r="X214" s="1831"/>
      <c r="Y214" s="1831"/>
      <c r="Z214" s="1831"/>
      <c r="AU214" s="21"/>
      <c r="AV214" s="21"/>
      <c r="AW214" s="21"/>
      <c r="AX214" s="21"/>
      <c r="AY214" s="21"/>
      <c r="BC214" t="s">
        <v>528</v>
      </c>
      <c r="BI214" s="3" t="s">
        <v>2173</v>
      </c>
      <c r="BN214" s="23" t="s">
        <v>325</v>
      </c>
      <c r="BS214">
        <v>6</v>
      </c>
      <c r="BT214" s="32" t="s">
        <v>204</v>
      </c>
      <c r="CB214" s="349" t="s">
        <v>130</v>
      </c>
      <c r="CC214" s="463">
        <v>1780</v>
      </c>
      <c r="CD214" s="464">
        <v>1906</v>
      </c>
      <c r="CE214" s="463">
        <v>2286</v>
      </c>
      <c r="CF214" s="464">
        <v>2642</v>
      </c>
      <c r="CG214" s="464">
        <v>2946</v>
      </c>
      <c r="CH214" s="465">
        <v>3252</v>
      </c>
      <c r="CI214" s="3"/>
      <c r="CJ214" s="856">
        <v>987</v>
      </c>
      <c r="CK214" s="856">
        <v>1123</v>
      </c>
      <c r="CL214" s="856">
        <v>1439</v>
      </c>
      <c r="CM214" s="856">
        <v>1891</v>
      </c>
      <c r="CN214" s="856">
        <v>2416</v>
      </c>
      <c r="CR214" s="23" t="s">
        <v>129</v>
      </c>
      <c r="CS214" s="322">
        <v>402640</v>
      </c>
      <c r="CT214" s="322">
        <v>464240</v>
      </c>
      <c r="CU214" s="322">
        <v>560000</v>
      </c>
      <c r="CV214" s="322">
        <v>716800</v>
      </c>
      <c r="CW214" s="322">
        <v>798560</v>
      </c>
      <c r="CX214" s="14"/>
      <c r="CY214" s="23" t="s">
        <v>129</v>
      </c>
      <c r="CZ214" s="322">
        <v>402640</v>
      </c>
      <c r="DA214" s="322">
        <v>464240</v>
      </c>
      <c r="DB214" s="322">
        <v>560000</v>
      </c>
      <c r="DC214" s="322">
        <v>716800</v>
      </c>
      <c r="DD214" s="322">
        <v>798560</v>
      </c>
    </row>
    <row r="215" spans="1:108" ht="12.95" customHeight="1">
      <c r="D215" s="3" t="s">
        <v>1640</v>
      </c>
      <c r="Z215" s="40"/>
      <c r="AB215" s="1765"/>
      <c r="AC215" s="1765"/>
      <c r="AD215" s="1765"/>
      <c r="AE215" s="1765"/>
      <c r="AF215" s="1765"/>
      <c r="AG215" s="1765"/>
      <c r="AH215" s="1765"/>
      <c r="AI215" s="1765"/>
      <c r="AJ215" s="1765"/>
      <c r="AK215" s="1765"/>
      <c r="AL215" s="1765"/>
      <c r="AM215" s="21"/>
      <c r="AN215" s="21"/>
      <c r="AO215" s="21"/>
      <c r="AP215" s="21"/>
      <c r="AQ215" s="21"/>
      <c r="AR215" s="21"/>
      <c r="AS215" s="21"/>
      <c r="AT215" s="21"/>
      <c r="AU215" s="21"/>
      <c r="AV215" s="21"/>
      <c r="AW215" s="21"/>
      <c r="AX215" s="21"/>
      <c r="AY215" s="21"/>
      <c r="BC215" t="s">
        <v>525</v>
      </c>
      <c r="BI215" s="3" t="s">
        <v>2174</v>
      </c>
      <c r="CB215" s="349" t="s">
        <v>202</v>
      </c>
      <c r="CC215" s="466">
        <v>2620</v>
      </c>
      <c r="CD215" s="467">
        <v>2806</v>
      </c>
      <c r="CE215" s="466">
        <v>3370</v>
      </c>
      <c r="CF215" s="467">
        <v>3892</v>
      </c>
      <c r="CG215" s="467">
        <v>4342</v>
      </c>
      <c r="CH215" s="468">
        <v>4792</v>
      </c>
      <c r="CI215" s="3"/>
      <c r="CJ215" s="856">
        <v>1871</v>
      </c>
      <c r="CK215" s="856">
        <v>2147</v>
      </c>
      <c r="CL215" s="856">
        <v>2569</v>
      </c>
      <c r="CM215" s="856">
        <v>3505</v>
      </c>
      <c r="CN215" s="856">
        <v>4080</v>
      </c>
      <c r="CR215" s="23" t="s">
        <v>49</v>
      </c>
      <c r="CS215" s="320">
        <v>442904</v>
      </c>
      <c r="CT215" s="320">
        <v>510664</v>
      </c>
      <c r="CU215" s="320">
        <v>616000</v>
      </c>
      <c r="CV215" s="320">
        <v>788480</v>
      </c>
      <c r="CW215" s="320">
        <v>878416</v>
      </c>
      <c r="CX215" s="14"/>
      <c r="CY215" s="23" t="s">
        <v>49</v>
      </c>
      <c r="CZ215" s="320">
        <v>442904</v>
      </c>
      <c r="DA215" s="320">
        <v>510664</v>
      </c>
      <c r="DB215" s="320">
        <v>616000</v>
      </c>
      <c r="DC215" s="320">
        <v>788480</v>
      </c>
      <c r="DD215" s="320">
        <v>878416</v>
      </c>
    </row>
    <row r="216" spans="1:108" ht="12.95" customHeight="1">
      <c r="D216" s="3" t="s">
        <v>1638</v>
      </c>
      <c r="Z216" s="40"/>
      <c r="AB216" s="1765"/>
      <c r="AC216" s="1765"/>
      <c r="AD216" s="1765"/>
      <c r="AE216" s="1765"/>
      <c r="AF216" s="1765"/>
      <c r="AG216" s="1765"/>
      <c r="AH216" s="1765"/>
      <c r="AI216" s="1765"/>
      <c r="AJ216" s="1765"/>
      <c r="AK216" s="1765"/>
      <c r="AL216" s="1765"/>
      <c r="AM216" s="21"/>
      <c r="AN216" s="21"/>
      <c r="AO216" s="21"/>
      <c r="AP216" s="21"/>
      <c r="AQ216" s="21"/>
      <c r="AR216" s="21"/>
      <c r="AS216" s="21"/>
      <c r="AT216" s="21"/>
      <c r="AU216" s="21"/>
      <c r="AV216" s="21"/>
      <c r="AW216" s="21"/>
      <c r="AX216" s="21"/>
      <c r="AY216" s="21"/>
      <c r="BC216" t="s">
        <v>564</v>
      </c>
      <c r="BI216" t="s">
        <v>2172</v>
      </c>
      <c r="CB216" s="349" t="s">
        <v>203</v>
      </c>
      <c r="CC216" s="469">
        <v>2204</v>
      </c>
      <c r="CD216" s="470">
        <v>2362</v>
      </c>
      <c r="CE216" s="469">
        <v>2832</v>
      </c>
      <c r="CF216" s="470">
        <v>3272</v>
      </c>
      <c r="CG216" s="470">
        <v>3652</v>
      </c>
      <c r="CH216" s="471">
        <v>4030</v>
      </c>
      <c r="CI216" s="3"/>
      <c r="CJ216" s="856">
        <v>1602</v>
      </c>
      <c r="CK216" s="856">
        <v>1613</v>
      </c>
      <c r="CL216" s="856">
        <v>2116</v>
      </c>
      <c r="CM216" s="856">
        <v>2944</v>
      </c>
      <c r="CN216" s="856">
        <v>3299</v>
      </c>
      <c r="CR216" s="23" t="s">
        <v>50</v>
      </c>
      <c r="CS216" s="322">
        <v>360075</v>
      </c>
      <c r="CT216" s="322">
        <v>415163</v>
      </c>
      <c r="CU216" s="322">
        <v>500800</v>
      </c>
      <c r="CV216" s="322">
        <v>641024</v>
      </c>
      <c r="CW216" s="322">
        <v>714141</v>
      </c>
      <c r="CX216" s="14"/>
      <c r="CY216" s="23" t="s">
        <v>50</v>
      </c>
      <c r="CZ216" s="322">
        <v>360075</v>
      </c>
      <c r="DA216" s="322">
        <v>415163</v>
      </c>
      <c r="DB216" s="322">
        <v>500800</v>
      </c>
      <c r="DC216" s="322">
        <v>641024</v>
      </c>
      <c r="DD216" s="322">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2176</v>
      </c>
      <c r="CB217" s="349" t="s">
        <v>204</v>
      </c>
      <c r="CC217" s="472">
        <v>1680</v>
      </c>
      <c r="CD217" s="473">
        <v>1800</v>
      </c>
      <c r="CE217" s="472">
        <v>2160</v>
      </c>
      <c r="CF217" s="473">
        <v>2496</v>
      </c>
      <c r="CG217" s="473">
        <v>2784</v>
      </c>
      <c r="CH217" s="474">
        <v>3072</v>
      </c>
      <c r="CI217" s="3"/>
      <c r="CJ217" s="856">
        <v>1195</v>
      </c>
      <c r="CK217" s="856">
        <v>1197</v>
      </c>
      <c r="CL217" s="856">
        <v>1522</v>
      </c>
      <c r="CM217" s="856">
        <v>2133</v>
      </c>
      <c r="CN217" s="856">
        <v>2556</v>
      </c>
      <c r="CR217" s="23" t="s">
        <v>325</v>
      </c>
      <c r="CS217" s="320">
        <v>360075</v>
      </c>
      <c r="CT217" s="320">
        <v>415163</v>
      </c>
      <c r="CU217" s="320">
        <v>500800</v>
      </c>
      <c r="CV217" s="320">
        <v>641024</v>
      </c>
      <c r="CW217" s="320">
        <v>714141</v>
      </c>
      <c r="CX217" s="14"/>
      <c r="CY217" s="23" t="s">
        <v>325</v>
      </c>
      <c r="CZ217" s="320">
        <v>360075</v>
      </c>
      <c r="DA217" s="320">
        <v>415163</v>
      </c>
      <c r="DB217" s="320">
        <v>500800</v>
      </c>
      <c r="DC217" s="320">
        <v>641024</v>
      </c>
      <c r="DD217" s="320">
        <v>714141</v>
      </c>
    </row>
    <row r="218" spans="1:108" ht="12.95" customHeight="1">
      <c r="A218" s="2" t="s">
        <v>590</v>
      </c>
      <c r="C218" s="2" t="s">
        <v>2186</v>
      </c>
      <c r="D218" s="28"/>
      <c r="AC218" s="2" t="s">
        <v>2391</v>
      </c>
      <c r="BC218" t="s">
        <v>527</v>
      </c>
    </row>
    <row r="219" spans="1:108" ht="12.95" customHeight="1">
      <c r="A219" s="2"/>
      <c r="C219" s="2"/>
      <c r="D219" s="3" t="s">
        <v>2392</v>
      </c>
      <c r="AZ219" s="3"/>
      <c r="BA219" s="3"/>
      <c r="BC219" t="s">
        <v>376</v>
      </c>
    </row>
    <row r="220" spans="1:108" ht="12.95" customHeight="1">
      <c r="A220" s="2"/>
      <c r="C220" s="2"/>
      <c r="D220" s="1515" t="s">
        <v>873</v>
      </c>
      <c r="E220" s="1515"/>
      <c r="F220" s="1515"/>
      <c r="G220" s="1515"/>
      <c r="H220" s="1515"/>
      <c r="I220" s="1515"/>
      <c r="J220" s="1515"/>
      <c r="K220" s="1515"/>
      <c r="L220" s="1515"/>
      <c r="M220" s="1515"/>
      <c r="N220" s="1515"/>
      <c r="O220" s="1515"/>
      <c r="P220" s="1515"/>
      <c r="Q220" s="1515"/>
      <c r="R220" s="1515"/>
      <c r="S220" s="1515"/>
      <c r="T220" s="1515"/>
      <c r="U220" s="1515"/>
      <c r="V220" s="1515"/>
      <c r="W220" s="1515"/>
      <c r="X220" s="1515"/>
      <c r="Y220" s="1515"/>
      <c r="Z220" s="1515"/>
      <c r="AC220" s="1842" t="s">
        <v>873</v>
      </c>
      <c r="AD220" s="1842"/>
      <c r="AE220" s="1842"/>
      <c r="AF220" s="1842"/>
      <c r="AG220" s="1842"/>
      <c r="AH220" s="1842"/>
      <c r="AI220" s="1842"/>
      <c r="AJ220" s="1842"/>
      <c r="AK220" s="1842"/>
      <c r="AL220" s="1842"/>
      <c r="AM220" s="1842"/>
      <c r="AN220" s="1842"/>
      <c r="AO220" s="1842"/>
      <c r="AP220" s="1842"/>
      <c r="AQ220" s="1842"/>
      <c r="BA220" s="3"/>
      <c r="BC220" t="s">
        <v>299</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52" t="s">
        <v>667</v>
      </c>
      <c r="W224" s="1352"/>
      <c r="Y224" s="1192"/>
      <c r="BA224" s="3"/>
    </row>
    <row r="225" spans="1:69" ht="12.95" customHeight="1">
      <c r="A225" s="2"/>
      <c r="B225" s="14"/>
      <c r="C225" s="2"/>
      <c r="E225" s="3" t="s">
        <v>2541</v>
      </c>
      <c r="V225" s="1352" t="s">
        <v>667</v>
      </c>
      <c r="W225" s="1352"/>
      <c r="Y225" s="1193" t="str">
        <f>IF(AND(V225="Yes",OR(V226="Yes",V227="Yes",V228="Yes",V229="Yes")),"!","")</f>
        <v/>
      </c>
      <c r="Z225" s="1194" t="str">
        <f>IF(Y225="!","Requirements for pools/set-asides selected are mutually exclusive.","")</f>
        <v/>
      </c>
      <c r="AA225" s="1194"/>
      <c r="AB225" s="1194"/>
      <c r="AC225" s="1194"/>
      <c r="AD225" s="1194"/>
      <c r="AE225" s="1194"/>
      <c r="AF225" s="1194"/>
      <c r="AG225" s="1194"/>
      <c r="AH225" s="1194"/>
      <c r="AI225" s="1194"/>
      <c r="AJ225" s="1194"/>
      <c r="AK225" s="1194"/>
      <c r="AL225" s="1194"/>
      <c r="AM225" s="1194"/>
      <c r="AN225" s="1194"/>
      <c r="AO225" s="1194"/>
      <c r="AP225" s="1194"/>
      <c r="AQ225" s="1194"/>
      <c r="AR225" s="1194"/>
      <c r="AS225" s="1194"/>
      <c r="AT225" s="1194"/>
      <c r="BA225" s="3"/>
    </row>
    <row r="226" spans="1:69" ht="12.95" customHeight="1">
      <c r="A226" s="2"/>
      <c r="B226" s="14"/>
      <c r="C226" s="2"/>
      <c r="E226" s="3" t="s">
        <v>2542</v>
      </c>
      <c r="V226" s="1389" t="s">
        <v>667</v>
      </c>
      <c r="W226" s="1389"/>
      <c r="Y226" s="1193" t="str">
        <f>IF(AND(V226="Yes",OR(V227="Yes",V228="Yes",V229="Yes",V225="Yes")),"!","")</f>
        <v/>
      </c>
      <c r="Z226" s="1194" t="str">
        <f>IF(Y226="!","Requirements for pools/set-asides selected are mutually exclusive.","")</f>
        <v/>
      </c>
      <c r="AA226" s="1194"/>
      <c r="AB226" s="1194"/>
      <c r="AC226" s="1194"/>
      <c r="AD226" s="1194"/>
      <c r="AE226" s="1194"/>
      <c r="AF226" s="1194"/>
      <c r="AG226" s="1194"/>
      <c r="AH226" s="1194"/>
      <c r="AI226" s="1194"/>
      <c r="AJ226" s="1194"/>
      <c r="AK226" s="1194"/>
      <c r="AL226" s="1194"/>
      <c r="AM226" s="1194"/>
      <c r="AN226" s="1194"/>
      <c r="AO226" s="1194"/>
      <c r="AP226" s="1194"/>
      <c r="AQ226" s="1194"/>
      <c r="AR226" s="1194"/>
      <c r="AS226" s="1194"/>
      <c r="AT226" s="1194"/>
      <c r="BA226" s="3"/>
    </row>
    <row r="227" spans="1:69" ht="12.95" customHeight="1">
      <c r="A227" s="2"/>
      <c r="B227" s="14"/>
      <c r="C227" s="2"/>
      <c r="E227" s="3" t="s">
        <v>2543</v>
      </c>
      <c r="V227" s="1389" t="s">
        <v>667</v>
      </c>
      <c r="W227" s="1389"/>
      <c r="Y227" s="1193" t="str">
        <f>IF(AND(V227="Yes",OR(V229="Yes",V225="Yes",V226="Yes")),"!","")</f>
        <v/>
      </c>
      <c r="Z227" s="1194" t="str">
        <f>IF(Y227="!","Requirements for pools/set-asides selected are mutually exclusive.","")</f>
        <v/>
      </c>
      <c r="AA227" s="1194"/>
      <c r="AB227" s="1194"/>
      <c r="AC227" s="1194"/>
      <c r="AD227" s="1194"/>
      <c r="AE227" s="1194"/>
      <c r="AF227" s="1194"/>
      <c r="AG227" s="1194"/>
      <c r="AH227" s="1194"/>
      <c r="AI227" s="1194"/>
      <c r="AJ227" s="1194"/>
      <c r="AK227" s="1194"/>
      <c r="AL227" s="1194"/>
      <c r="AM227" s="1194"/>
      <c r="AN227" s="1194"/>
      <c r="AO227" s="1194"/>
      <c r="AP227" s="1194"/>
      <c r="AQ227" s="1194"/>
      <c r="AR227" s="1194"/>
      <c r="AS227" s="1194"/>
      <c r="AT227" s="1194"/>
      <c r="BA227" s="3"/>
    </row>
    <row r="228" spans="1:69" ht="12.95" customHeight="1">
      <c r="A228" s="2"/>
      <c r="B228" s="14"/>
      <c r="C228" s="2"/>
      <c r="E228" s="3" t="s">
        <v>2544</v>
      </c>
      <c r="V228" s="1389" t="s">
        <v>543</v>
      </c>
      <c r="W228" s="1389"/>
      <c r="Y228" s="1193" t="str">
        <f>IF(AND(V228="Yes",OR(V229="Yes",V225="Yes",V226="Yes")),"!","")</f>
        <v/>
      </c>
      <c r="Z228" s="1194" t="str">
        <f t="shared" ref="Z228:Z229" si="1">IF(Y228="!","Requirements for pools/set-asides selected are mutually exclusive.","")</f>
        <v/>
      </c>
      <c r="AA228" s="1194"/>
      <c r="AB228" s="1194"/>
      <c r="AC228" s="1194"/>
      <c r="AD228" s="1194"/>
      <c r="AE228" s="1194"/>
      <c r="AF228" s="1194"/>
      <c r="AG228" s="1194"/>
      <c r="AH228" s="1194"/>
      <c r="AI228" s="1194"/>
      <c r="AJ228" s="1194"/>
      <c r="AK228" s="1194"/>
      <c r="AL228" s="1194"/>
      <c r="AM228" s="1194"/>
      <c r="AN228" s="1194"/>
      <c r="AO228" s="1194"/>
      <c r="AP228" s="1194"/>
      <c r="AQ228" s="1194"/>
      <c r="AR228" s="1194"/>
      <c r="AS228" s="1194"/>
      <c r="AT228" s="1194"/>
      <c r="BA228" s="3"/>
    </row>
    <row r="229" spans="1:69" ht="12.95" customHeight="1">
      <c r="A229" s="2"/>
      <c r="B229" s="14"/>
      <c r="C229" s="2"/>
      <c r="E229" s="3" t="s">
        <v>2545</v>
      </c>
      <c r="V229" s="1389" t="s">
        <v>667</v>
      </c>
      <c r="W229" s="1389"/>
      <c r="Y229" s="1193" t="str">
        <f>IF(AND(V229="Yes",OR(V228="Yes",V227="Yes",V226="Yes",V225="Yes")),"!","")</f>
        <v/>
      </c>
      <c r="Z229" s="1194" t="str">
        <f t="shared" si="1"/>
        <v/>
      </c>
      <c r="AA229" s="1194"/>
      <c r="AB229" s="1194"/>
      <c r="AC229" s="1194"/>
      <c r="AD229" s="1194"/>
      <c r="AE229" s="1194"/>
      <c r="AF229" s="1194"/>
      <c r="AG229" s="1194"/>
      <c r="AH229" s="1194"/>
      <c r="AI229" s="1194"/>
      <c r="AJ229" s="1194"/>
      <c r="AK229" s="1194"/>
      <c r="AL229" s="1194"/>
      <c r="AM229" s="1194"/>
      <c r="AN229" s="1194"/>
      <c r="AO229" s="1194"/>
      <c r="AP229" s="1194"/>
      <c r="AQ229" s="1194"/>
      <c r="AR229" s="1194"/>
      <c r="AS229" s="1194"/>
      <c r="AT229" s="1194"/>
      <c r="BA229" s="3"/>
    </row>
    <row r="230" spans="1:69" ht="12.95" customHeight="1">
      <c r="A230" s="2"/>
      <c r="B230" s="14"/>
      <c r="C230" s="2"/>
      <c r="BA230" s="3"/>
    </row>
    <row r="231" spans="1:69" ht="12.95" customHeight="1">
      <c r="A231" s="1519" t="s">
        <v>538</v>
      </c>
      <c r="B231" s="1519"/>
      <c r="C231" s="1519"/>
      <c r="D231" s="1519"/>
      <c r="E231" s="1519"/>
      <c r="F231" s="1519"/>
      <c r="G231" s="1519"/>
      <c r="H231" s="1519"/>
      <c r="I231" s="1519"/>
      <c r="J231" s="1519"/>
      <c r="K231" s="1519"/>
      <c r="L231" s="1519"/>
      <c r="M231" s="1519"/>
      <c r="N231" s="1519"/>
      <c r="O231" s="1519"/>
      <c r="P231" s="1519"/>
      <c r="Q231" s="1519"/>
      <c r="R231" s="1519"/>
      <c r="S231" s="1519"/>
      <c r="T231" s="1519"/>
      <c r="U231" s="1519"/>
      <c r="V231" s="1519"/>
      <c r="W231" s="1519"/>
      <c r="X231" s="1519"/>
      <c r="Y231" s="1519"/>
      <c r="Z231" s="1519"/>
      <c r="AA231" s="1519"/>
      <c r="AB231" s="1519"/>
      <c r="AC231" s="1519"/>
      <c r="AD231" s="1519"/>
      <c r="AE231" s="1519"/>
      <c r="AF231" s="1519"/>
      <c r="AG231" s="1519"/>
      <c r="AH231" s="1519"/>
      <c r="AI231" s="1519"/>
      <c r="AJ231" s="1519"/>
      <c r="AK231" s="1519"/>
      <c r="AL231" s="1519"/>
      <c r="AM231" s="1519"/>
      <c r="AN231" s="1519"/>
      <c r="AO231" s="1519"/>
      <c r="AP231" s="1519"/>
      <c r="AQ231" s="1519"/>
      <c r="AR231" s="1519"/>
      <c r="AS231" s="1519"/>
      <c r="AT231" s="1519"/>
      <c r="AU231" s="95"/>
      <c r="AV231" s="95"/>
      <c r="AW231" s="95"/>
      <c r="AX231" s="95"/>
      <c r="AY231" s="95"/>
      <c r="AZ231" s="3"/>
      <c r="BA231" s="3"/>
      <c r="BP231" s="34"/>
    </row>
    <row r="232" spans="1:69" ht="12.95" customHeight="1">
      <c r="A232" s="1519"/>
      <c r="B232" s="1519"/>
      <c r="C232" s="1519"/>
      <c r="D232" s="1519"/>
      <c r="E232" s="1519"/>
      <c r="F232" s="1519"/>
      <c r="G232" s="1519"/>
      <c r="H232" s="1519"/>
      <c r="I232" s="1519"/>
      <c r="J232" s="1519"/>
      <c r="K232" s="1519"/>
      <c r="L232" s="1519"/>
      <c r="M232" s="1519"/>
      <c r="N232" s="1519"/>
      <c r="O232" s="1519"/>
      <c r="P232" s="1519"/>
      <c r="Q232" s="1519"/>
      <c r="R232" s="1519"/>
      <c r="S232" s="1519"/>
      <c r="T232" s="1519"/>
      <c r="U232" s="1519"/>
      <c r="V232" s="1519"/>
      <c r="W232" s="1519"/>
      <c r="X232" s="1519"/>
      <c r="Y232" s="1519"/>
      <c r="Z232" s="1519"/>
      <c r="AA232" s="1519"/>
      <c r="AB232" s="1519"/>
      <c r="AC232" s="1519"/>
      <c r="AD232" s="1519"/>
      <c r="AE232" s="1519"/>
      <c r="AF232" s="1519"/>
      <c r="AG232" s="1519"/>
      <c r="AH232" s="1519"/>
      <c r="AI232" s="1519"/>
      <c r="AJ232" s="1519"/>
      <c r="AK232" s="1519"/>
      <c r="AL232" s="1519"/>
      <c r="AM232" s="1519"/>
      <c r="AN232" s="1519"/>
      <c r="AO232" s="1519"/>
      <c r="AP232" s="1519"/>
      <c r="AQ232" s="1519"/>
      <c r="AR232" s="1519"/>
      <c r="AS232" s="1519"/>
      <c r="AT232" s="1519"/>
      <c r="BA232" s="3"/>
      <c r="BB232" s="3"/>
      <c r="BQ232" s="34"/>
    </row>
    <row r="233" spans="1:69" ht="12.95" customHeight="1">
      <c r="AZ233" s="4"/>
      <c r="BA233" s="3"/>
      <c r="BB233" s="3"/>
      <c r="BQ233" s="34"/>
    </row>
    <row r="234" spans="1:69" ht="12.95"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52" t="s">
        <v>589</v>
      </c>
      <c r="AJ235" s="1352"/>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5"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52" t="s">
        <v>543</v>
      </c>
      <c r="AJ236" s="1352"/>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52" t="s">
        <v>543</v>
      </c>
      <c r="AJ237" s="1352"/>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52" t="s">
        <v>589</v>
      </c>
      <c r="AJ238" s="1352"/>
      <c r="AL238" s="3"/>
      <c r="AM238" s="3"/>
      <c r="AN238" s="3"/>
      <c r="AO238" s="3"/>
      <c r="AP238" s="3"/>
      <c r="AQ238" s="3"/>
      <c r="AR238" s="3"/>
      <c r="AS238" s="3"/>
      <c r="AT238" s="3"/>
      <c r="AU238" s="3"/>
      <c r="AV238" s="3"/>
      <c r="AW238" s="3"/>
      <c r="AX238" s="3"/>
      <c r="AY238" s="3"/>
      <c r="BA238" s="3"/>
      <c r="BB238" s="204" t="s">
        <v>536</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2.95" customHeight="1">
      <c r="A240" s="2" t="s">
        <v>574</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468</v>
      </c>
      <c r="E241" s="4"/>
      <c r="F241" s="4"/>
      <c r="G241" s="4"/>
      <c r="H241" s="4"/>
      <c r="I241" s="4"/>
      <c r="J241" s="4"/>
      <c r="K241" s="4"/>
      <c r="M241" s="1826" t="str">
        <f>H16</f>
        <v>Linc Housing Corporation (as Sole Member/Manager of Linc Ross LLC, the Managing General Partner of Linc Ross LP)</v>
      </c>
      <c r="N241" s="1826"/>
      <c r="O241" s="1826"/>
      <c r="P241" s="1826"/>
      <c r="Q241" s="1826"/>
      <c r="R241" s="1826"/>
      <c r="S241" s="1826"/>
      <c r="T241" s="1826"/>
      <c r="U241" s="1826"/>
      <c r="V241" s="1826"/>
      <c r="W241" s="1826"/>
      <c r="X241" s="1826"/>
      <c r="Y241" s="1826"/>
      <c r="Z241" s="1826"/>
      <c r="AA241" s="1826"/>
      <c r="AB241" s="1826"/>
      <c r="AC241" s="1826"/>
      <c r="AD241" s="1826"/>
      <c r="AE241" s="1826"/>
      <c r="AF241" s="1826"/>
      <c r="AG241" s="1826"/>
      <c r="AH241" s="1826"/>
      <c r="AI241" s="1826"/>
      <c r="AJ241" s="1826"/>
      <c r="AK241" s="1826"/>
      <c r="AZ241" s="4"/>
      <c r="BA241" s="3"/>
      <c r="BB241" s="205" t="s">
        <v>536</v>
      </c>
      <c r="BG241" s="241">
        <f>IF(AND(AND($M$258="nonprofit",$M$266="nonprofit",$M$274="for profit")),2,0)</f>
        <v>0</v>
      </c>
    </row>
    <row r="242" spans="1:67" ht="12.95" customHeight="1">
      <c r="D242" s="4" t="s">
        <v>85</v>
      </c>
      <c r="E242" s="4"/>
      <c r="F242" s="4"/>
      <c r="G242" s="4"/>
      <c r="H242" s="4"/>
      <c r="I242" s="4"/>
      <c r="J242" s="4"/>
      <c r="K242" s="4"/>
      <c r="M242" s="1490" t="s">
        <v>2642</v>
      </c>
      <c r="N242" s="1515"/>
      <c r="O242" s="1515"/>
      <c r="P242" s="1515"/>
      <c r="Q242" s="1515"/>
      <c r="R242" s="1515"/>
      <c r="S242" s="1515"/>
      <c r="T242" s="1515"/>
      <c r="U242" s="1515"/>
      <c r="V242" s="1515"/>
      <c r="W242" s="1515"/>
      <c r="X242" s="1515"/>
      <c r="Y242" s="1515"/>
      <c r="Z242" s="1515"/>
      <c r="AA242" s="1515"/>
      <c r="AB242" s="1515"/>
      <c r="AC242" s="1515"/>
      <c r="AD242" s="1515"/>
      <c r="AE242" s="1515"/>
      <c r="BB242" s="205" t="s">
        <v>536</v>
      </c>
      <c r="BG242" s="241">
        <f>IF(AND(AND($M$258="nonprofit",$M$266="for profit",$M$274="nonprofit")),2,0)</f>
        <v>0</v>
      </c>
    </row>
    <row r="243" spans="1:67" ht="12.95" customHeight="1">
      <c r="D243" s="4" t="s">
        <v>578</v>
      </c>
      <c r="E243" s="4"/>
      <c r="M243" s="1490" t="s">
        <v>2643</v>
      </c>
      <c r="N243" s="1515"/>
      <c r="O243" s="1515"/>
      <c r="P243" s="1515"/>
      <c r="Q243" s="1515"/>
      <c r="R243" s="1515"/>
      <c r="S243" s="1515"/>
      <c r="T243" s="1515"/>
      <c r="V243" s="33" t="s">
        <v>86</v>
      </c>
      <c r="W243" s="1395" t="s">
        <v>2644</v>
      </c>
      <c r="X243" s="1529"/>
      <c r="Y243" s="4" t="s">
        <v>581</v>
      </c>
      <c r="AC243" s="1515">
        <v>90807</v>
      </c>
      <c r="AD243" s="1515"/>
      <c r="AE243" s="1515"/>
      <c r="AU243" s="4"/>
      <c r="AV243" s="4"/>
      <c r="AW243" s="4"/>
      <c r="AX243" s="4"/>
      <c r="AY243" s="4"/>
      <c r="AZ243" s="4"/>
      <c r="BB243" s="205" t="s">
        <v>536</v>
      </c>
      <c r="BG243" s="240">
        <f>IF(AND(AND($M$258="for profit",$M$266="nonprofit",$M$274="nonprofit")),2,0)</f>
        <v>0</v>
      </c>
    </row>
    <row r="244" spans="1:67" ht="12.95" customHeight="1">
      <c r="D244" s="4" t="s">
        <v>87</v>
      </c>
      <c r="E244" s="4"/>
      <c r="F244" s="4"/>
      <c r="G244" s="4"/>
      <c r="H244" s="4"/>
      <c r="I244" s="4"/>
      <c r="J244" s="4"/>
      <c r="K244" s="19"/>
      <c r="M244" s="1490" t="s">
        <v>2661</v>
      </c>
      <c r="N244" s="1515"/>
      <c r="O244" s="1515"/>
      <c r="P244" s="1515"/>
      <c r="Q244" s="1515"/>
      <c r="R244" s="1515"/>
      <c r="S244" s="1515"/>
      <c r="T244" s="1515"/>
      <c r="U244" s="1515"/>
      <c r="V244" s="1515"/>
      <c r="W244" s="1515"/>
      <c r="X244" s="1515"/>
      <c r="Y244" s="1515"/>
      <c r="Z244" s="1515"/>
      <c r="AA244" s="1515"/>
      <c r="AB244" s="1515"/>
      <c r="AC244" s="1515"/>
      <c r="AD244" s="1515"/>
      <c r="AE244" s="1515"/>
      <c r="AI244" s="4"/>
      <c r="AJ244" s="4"/>
      <c r="AK244" s="4"/>
      <c r="AL244" s="4"/>
      <c r="AM244" s="4"/>
      <c r="AN244" s="4"/>
      <c r="AO244" s="4"/>
      <c r="AP244" s="4"/>
      <c r="AQ244" s="4"/>
      <c r="AR244" s="4"/>
      <c r="AS244" s="4"/>
      <c r="AT244" s="4"/>
      <c r="BB244" s="205"/>
      <c r="BG244" s="204"/>
    </row>
    <row r="245" spans="1:67" ht="12.95" customHeight="1">
      <c r="D245" s="4" t="s">
        <v>88</v>
      </c>
      <c r="E245" s="4"/>
      <c r="F245" s="4"/>
      <c r="M245" s="1473" t="s">
        <v>2662</v>
      </c>
      <c r="N245" s="1474"/>
      <c r="O245" s="1474"/>
      <c r="P245" s="1474"/>
      <c r="Q245" s="1474"/>
      <c r="R245" s="1474"/>
      <c r="S245" s="4" t="s">
        <v>205</v>
      </c>
      <c r="T245" s="4"/>
      <c r="U245" s="1395" t="s">
        <v>589</v>
      </c>
      <c r="V245" s="1529"/>
      <c r="W245" s="1529"/>
      <c r="X245" s="4" t="s">
        <v>89</v>
      </c>
      <c r="Z245" s="1473" t="s">
        <v>589</v>
      </c>
      <c r="AA245" s="1474"/>
      <c r="AB245" s="1474"/>
      <c r="AC245" s="1474"/>
      <c r="AD245" s="1474"/>
      <c r="AE245" s="1474"/>
      <c r="AU245" s="4"/>
      <c r="AV245" s="4"/>
      <c r="AW245" s="4"/>
      <c r="AX245" s="4"/>
      <c r="AY245" s="4"/>
      <c r="AZ245" s="4"/>
      <c r="BB245" s="204" t="s">
        <v>535</v>
      </c>
      <c r="BG245" s="241">
        <f>IF(AND(AND($M$258="nonprofit",$M$266="nonprofit",$M$274="(select one)")),1,0)</f>
        <v>0</v>
      </c>
    </row>
    <row r="246" spans="1:67" ht="12.95" customHeight="1">
      <c r="D246" s="4" t="s">
        <v>90</v>
      </c>
      <c r="E246" s="4"/>
      <c r="F246" s="4"/>
      <c r="M246" s="1819" t="s">
        <v>2663</v>
      </c>
      <c r="N246" s="1819"/>
      <c r="O246" s="1819"/>
      <c r="P246" s="1819"/>
      <c r="Q246" s="1819"/>
      <c r="R246" s="1819"/>
      <c r="S246" s="1819"/>
      <c r="T246" s="1819"/>
      <c r="U246" s="1819"/>
      <c r="V246" s="1819"/>
      <c r="W246" s="1819"/>
      <c r="X246" s="1819"/>
      <c r="Y246" s="1819"/>
      <c r="Z246" s="1819"/>
      <c r="AA246" s="1819"/>
      <c r="AB246" s="1819"/>
      <c r="AC246" s="1819"/>
      <c r="AD246" s="1819"/>
      <c r="AE246" s="1819"/>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5" customHeight="1">
      <c r="A247" s="2" t="s">
        <v>584</v>
      </c>
      <c r="C247" s="2" t="s">
        <v>523</v>
      </c>
      <c r="M247" s="1496" t="s">
        <v>376</v>
      </c>
      <c r="N247" s="1496"/>
      <c r="O247" s="1496"/>
      <c r="P247" s="1496"/>
      <c r="Q247" s="1496"/>
      <c r="R247" s="1496"/>
      <c r="S247" s="1496"/>
      <c r="T247" s="1496"/>
      <c r="U247" s="204" t="s">
        <v>904</v>
      </c>
      <c r="V247" s="204"/>
      <c r="W247" s="204"/>
      <c r="X247" s="204"/>
      <c r="Y247" s="204"/>
      <c r="Z247" s="204"/>
      <c r="AA247" s="1820" t="s">
        <v>2645</v>
      </c>
      <c r="AB247" s="1810"/>
      <c r="AC247" s="1810"/>
      <c r="AD247" s="1810"/>
      <c r="AE247" s="1810"/>
      <c r="AF247" s="1810"/>
      <c r="AG247" s="1810"/>
      <c r="AH247" s="1810"/>
      <c r="AI247" s="1810"/>
      <c r="AJ247" s="1810"/>
      <c r="AK247" s="1810"/>
      <c r="AL247" s="3"/>
      <c r="AM247" s="3"/>
      <c r="AN247" s="3"/>
      <c r="AO247" s="3"/>
      <c r="AP247" s="3"/>
      <c r="AQ247" s="3"/>
      <c r="AR247" s="3"/>
      <c r="AS247" s="3"/>
      <c r="AT247" s="3"/>
      <c r="AU247" s="3"/>
      <c r="AV247" s="3"/>
      <c r="AW247" s="3"/>
      <c r="AX247" s="3"/>
      <c r="AY247" s="3"/>
      <c r="BB247" s="204" t="s">
        <v>535</v>
      </c>
      <c r="BG247" s="241">
        <f>IF(AND(AND($M$258="nonprofit",$M$266="(select one)",$M$274="(select one)")),1,0)</f>
        <v>1</v>
      </c>
    </row>
    <row r="248" spans="1:67" ht="12.95" customHeight="1">
      <c r="D248" t="s">
        <v>529</v>
      </c>
      <c r="M248" s="1490" t="s">
        <v>589</v>
      </c>
      <c r="N248" s="1472"/>
      <c r="O248" s="1472"/>
      <c r="P248" s="1472"/>
      <c r="Q248" s="1472"/>
      <c r="R248" s="1472"/>
      <c r="S248" s="1472"/>
      <c r="T248" s="1472"/>
      <c r="U248" s="1472"/>
      <c r="V248" s="1472"/>
      <c r="W248" s="1472"/>
      <c r="X248" s="1472"/>
      <c r="Y248" s="1472"/>
      <c r="Z248" s="1472"/>
      <c r="AA248" s="1472"/>
      <c r="AB248" s="1472"/>
      <c r="AC248" s="1472"/>
      <c r="AD248" s="1472"/>
      <c r="AE248" s="1472"/>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471</v>
      </c>
      <c r="D252" s="4" t="s">
        <v>530</v>
      </c>
      <c r="E252" s="4"/>
      <c r="F252" s="4"/>
      <c r="G252" s="4"/>
      <c r="H252" s="4"/>
      <c r="I252" s="4"/>
      <c r="J252" s="4"/>
      <c r="K252" s="4"/>
      <c r="L252" s="4"/>
      <c r="M252" s="1517" t="s">
        <v>2664</v>
      </c>
      <c r="N252" s="1518"/>
      <c r="O252" s="1518"/>
      <c r="P252" s="1518"/>
      <c r="Q252" s="1518"/>
      <c r="R252" s="1518"/>
      <c r="S252" s="1518"/>
      <c r="T252" s="1518"/>
      <c r="U252" s="1518"/>
      <c r="V252" s="1518"/>
      <c r="W252" s="1518"/>
      <c r="X252" s="1518"/>
      <c r="Y252" s="1518"/>
      <c r="Z252" s="1518"/>
      <c r="AA252" s="1518"/>
      <c r="AB252" s="1518"/>
      <c r="AC252" s="1518"/>
      <c r="AD252" s="1518"/>
      <c r="AE252" s="1518"/>
      <c r="AF252" s="1518" t="s">
        <v>2756</v>
      </c>
      <c r="AG252" s="1518"/>
      <c r="AH252" s="1518"/>
      <c r="AI252" s="1518"/>
      <c r="AJ252" s="1518"/>
      <c r="AK252" s="1518"/>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15" t="s">
        <v>2642</v>
      </c>
      <c r="N253" s="1515"/>
      <c r="O253" s="1515"/>
      <c r="P253" s="1515"/>
      <c r="Q253" s="1515"/>
      <c r="R253" s="1515"/>
      <c r="S253" s="1515"/>
      <c r="T253" s="1515"/>
      <c r="U253" s="1515"/>
      <c r="V253" s="1515"/>
      <c r="W253" s="1515"/>
      <c r="X253" s="1515"/>
      <c r="Y253" s="1515"/>
      <c r="Z253" s="1515"/>
      <c r="AA253" s="1515"/>
      <c r="AB253" s="1515"/>
      <c r="AC253" s="1515"/>
      <c r="AD253" s="1515"/>
      <c r="AE253" s="1515"/>
      <c r="AF253" s="3" t="s">
        <v>1177</v>
      </c>
      <c r="AL253" s="4"/>
      <c r="AM253" s="4"/>
      <c r="AN253" s="4"/>
      <c r="AO253" s="4"/>
      <c r="AP253" s="4"/>
      <c r="AQ253" s="4"/>
      <c r="AR253" s="4"/>
      <c r="AS253" s="4"/>
      <c r="AT253" s="4"/>
      <c r="BB253" t="s">
        <v>306</v>
      </c>
      <c r="BG253">
        <v>1</v>
      </c>
      <c r="BH253" t="s">
        <v>532</v>
      </c>
    </row>
    <row r="254" spans="1:67" ht="12.95" customHeight="1">
      <c r="A254" s="19"/>
      <c r="B254" s="4"/>
      <c r="C254" s="4"/>
      <c r="D254" s="4" t="s">
        <v>578</v>
      </c>
      <c r="E254" s="4"/>
      <c r="M254" s="1490" t="s">
        <v>2643</v>
      </c>
      <c r="N254" s="1515"/>
      <c r="O254" s="1515"/>
      <c r="P254" s="1515"/>
      <c r="Q254" s="1515"/>
      <c r="R254" s="1515"/>
      <c r="S254" s="1515"/>
      <c r="T254" s="1515"/>
      <c r="V254" s="33" t="s">
        <v>86</v>
      </c>
      <c r="W254" s="1529" t="s">
        <v>2644</v>
      </c>
      <c r="X254" s="1529"/>
      <c r="Y254" s="4" t="s">
        <v>581</v>
      </c>
      <c r="AC254" s="1515">
        <v>90807</v>
      </c>
      <c r="AD254" s="1515"/>
      <c r="AE254" s="1515"/>
      <c r="AF254" s="3" t="s">
        <v>1178</v>
      </c>
      <c r="AU254" s="4"/>
      <c r="AV254" s="4"/>
      <c r="AW254" s="4"/>
      <c r="AX254" s="4"/>
      <c r="AY254" s="4"/>
      <c r="BB254" s="4" t="s">
        <v>279</v>
      </c>
      <c r="BG254">
        <v>2</v>
      </c>
      <c r="BH254" t="s">
        <v>564</v>
      </c>
      <c r="BO254" s="239" t="str">
        <f>VLOOKUP(BG252,BG253:BH256,2,FALSE)</f>
        <v>Nonprofit</v>
      </c>
    </row>
    <row r="255" spans="1:67" ht="12.95" customHeight="1">
      <c r="A255" s="19"/>
      <c r="B255" s="4"/>
      <c r="C255" s="4"/>
      <c r="D255" s="4" t="s">
        <v>87</v>
      </c>
      <c r="E255" s="4"/>
      <c r="F255" s="4"/>
      <c r="G255" s="4"/>
      <c r="H255" s="4"/>
      <c r="I255" s="4"/>
      <c r="J255" s="4"/>
      <c r="K255" s="4"/>
      <c r="L255" s="19"/>
      <c r="M255" s="1515" t="s">
        <v>2661</v>
      </c>
      <c r="N255" s="1515"/>
      <c r="O255" s="1515"/>
      <c r="P255" s="1515"/>
      <c r="Q255" s="1515"/>
      <c r="R255" s="1515"/>
      <c r="S255" s="1515"/>
      <c r="T255" s="1515"/>
      <c r="U255" s="1515"/>
      <c r="V255" s="1515"/>
      <c r="W255" s="1515"/>
      <c r="X255" s="1515"/>
      <c r="Y255" s="1515"/>
      <c r="Z255" s="1515"/>
      <c r="AA255" s="1515"/>
      <c r="AB255" s="1515"/>
      <c r="AC255" s="1515"/>
      <c r="AD255" s="1515"/>
      <c r="AE255" s="1515"/>
      <c r="AH255" s="1812">
        <v>0.01</v>
      </c>
      <c r="AI255" s="1812"/>
      <c r="AJ255" s="1812"/>
      <c r="AK255" s="1812"/>
      <c r="AL255" s="4"/>
      <c r="AM255" s="4"/>
      <c r="AN255" s="4"/>
      <c r="AO255" s="4"/>
      <c r="AP255" s="4"/>
      <c r="AQ255" s="4"/>
      <c r="AR255" s="4"/>
      <c r="AS255" s="4"/>
      <c r="AT255" s="4"/>
      <c r="BB255" s="4" t="s">
        <v>172</v>
      </c>
      <c r="BG255">
        <v>3</v>
      </c>
      <c r="BH255" t="s">
        <v>534</v>
      </c>
      <c r="BN255" s="34"/>
    </row>
    <row r="256" spans="1:67" ht="12.95" customHeight="1">
      <c r="A256" s="19"/>
      <c r="B256" s="4"/>
      <c r="C256" s="4"/>
      <c r="D256" s="4" t="s">
        <v>88</v>
      </c>
      <c r="E256" s="4"/>
      <c r="F256" s="4"/>
      <c r="M256" s="1474" t="s">
        <v>2662</v>
      </c>
      <c r="N256" s="1474"/>
      <c r="O256" s="1474"/>
      <c r="P256" s="1474"/>
      <c r="Q256" s="1474"/>
      <c r="R256" s="1474"/>
      <c r="S256" s="4" t="s">
        <v>205</v>
      </c>
      <c r="T256" s="4"/>
      <c r="U256" s="1395" t="s">
        <v>589</v>
      </c>
      <c r="V256" s="1529"/>
      <c r="W256" s="1529"/>
      <c r="X256" s="4" t="s">
        <v>89</v>
      </c>
      <c r="Z256" s="1473" t="s">
        <v>589</v>
      </c>
      <c r="AA256" s="1474"/>
      <c r="AB256" s="1474"/>
      <c r="AC256" s="1474"/>
      <c r="AD256" s="1474"/>
      <c r="AE256" s="1474"/>
      <c r="AU256" s="4"/>
      <c r="AV256" s="4"/>
      <c r="AW256" s="4"/>
      <c r="AX256" s="4"/>
      <c r="AY256" s="4"/>
      <c r="BG256">
        <v>0</v>
      </c>
      <c r="BH256" s="3" t="str">
        <f>""</f>
        <v/>
      </c>
      <c r="BN256" s="34"/>
    </row>
    <row r="257" spans="1:66" ht="12.95" customHeight="1">
      <c r="A257" s="19"/>
      <c r="B257" s="4"/>
      <c r="C257" s="4"/>
      <c r="D257" s="4" t="s">
        <v>90</v>
      </c>
      <c r="E257" s="4"/>
      <c r="F257" s="4"/>
      <c r="M257" s="1819" t="s">
        <v>2663</v>
      </c>
      <c r="N257" s="1819"/>
      <c r="O257" s="1819"/>
      <c r="P257" s="1819"/>
      <c r="Q257" s="1819"/>
      <c r="R257" s="1819"/>
      <c r="S257" s="1819"/>
      <c r="T257" s="1819"/>
      <c r="U257" s="1819"/>
      <c r="V257" s="1819"/>
      <c r="W257" s="1819"/>
      <c r="X257" s="1819"/>
      <c r="Y257" s="1819"/>
      <c r="Z257" s="1819"/>
      <c r="AA257" s="1819"/>
      <c r="AB257" s="1819"/>
      <c r="AC257" s="1819"/>
      <c r="AD257" s="1819"/>
      <c r="AE257" s="1819"/>
      <c r="AG257" s="4"/>
      <c r="AH257" s="4"/>
      <c r="AI257" s="4"/>
      <c r="AJ257" s="4"/>
      <c r="AK257" s="4"/>
      <c r="AL257" s="4"/>
      <c r="AM257" s="4"/>
      <c r="AN257" s="4"/>
      <c r="AO257" s="4"/>
      <c r="AP257" s="4"/>
      <c r="AQ257" s="4"/>
      <c r="AR257" s="4"/>
      <c r="AS257" s="4"/>
      <c r="AT257" s="4"/>
      <c r="BN257" s="34"/>
    </row>
    <row r="258" spans="1:66" ht="12.95" customHeight="1">
      <c r="A258" s="13"/>
      <c r="B258" s="4"/>
      <c r="C258" s="56"/>
      <c r="D258" s="4" t="s">
        <v>533</v>
      </c>
      <c r="E258" s="4"/>
      <c r="F258" s="4"/>
      <c r="G258" s="4"/>
      <c r="H258" s="4"/>
      <c r="I258" s="4"/>
      <c r="J258" s="4"/>
      <c r="K258" s="4"/>
      <c r="L258" s="4"/>
      <c r="M258" s="1496" t="s">
        <v>532</v>
      </c>
      <c r="N258" s="1496"/>
      <c r="O258" s="1496"/>
      <c r="P258" s="1496"/>
      <c r="Q258" s="1496"/>
      <c r="R258" s="1496"/>
      <c r="S258" s="1496"/>
      <c r="T258" s="1496"/>
      <c r="U258" s="204" t="s">
        <v>904</v>
      </c>
      <c r="V258" s="204"/>
      <c r="W258" s="204"/>
      <c r="X258" s="204"/>
      <c r="Y258" s="204"/>
      <c r="Z258" s="204"/>
      <c r="AA258" s="1820" t="s">
        <v>2645</v>
      </c>
      <c r="AB258" s="1810"/>
      <c r="AC258" s="1810"/>
      <c r="AD258" s="1810"/>
      <c r="AE258" s="1810"/>
      <c r="AF258" s="1810"/>
      <c r="AG258" s="1810"/>
      <c r="AH258" s="1810"/>
      <c r="AI258" s="1810"/>
      <c r="AJ258" s="1810"/>
      <c r="AK258" s="1810"/>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517" t="s">
        <v>589</v>
      </c>
      <c r="N260" s="1518"/>
      <c r="O260" s="1518"/>
      <c r="P260" s="1518"/>
      <c r="Q260" s="1518"/>
      <c r="R260" s="1518"/>
      <c r="S260" s="1518"/>
      <c r="T260" s="1518"/>
      <c r="U260" s="1518"/>
      <c r="V260" s="1518"/>
      <c r="W260" s="1518"/>
      <c r="X260" s="1518"/>
      <c r="Y260" s="1518"/>
      <c r="Z260" s="1518"/>
      <c r="AA260" s="1518"/>
      <c r="AB260" s="1518"/>
      <c r="AC260" s="1518"/>
      <c r="AD260" s="1518"/>
      <c r="AE260" s="1518"/>
      <c r="AF260" s="1518" t="s">
        <v>306</v>
      </c>
      <c r="AG260" s="1518"/>
      <c r="AH260" s="1518"/>
      <c r="AI260" s="1518"/>
      <c r="AJ260" s="1518"/>
      <c r="AK260" s="1518"/>
      <c r="AU260" s="4"/>
      <c r="AV260" s="4"/>
      <c r="AW260" s="4"/>
      <c r="AX260" s="4"/>
      <c r="AY260" s="4"/>
      <c r="BN260" s="34"/>
    </row>
    <row r="261" spans="1:66" ht="12.95" customHeight="1">
      <c r="A261" s="19"/>
      <c r="B261" s="4"/>
      <c r="C261" s="4"/>
      <c r="D261" s="4" t="s">
        <v>85</v>
      </c>
      <c r="E261" s="4"/>
      <c r="F261" s="4"/>
      <c r="G261" s="4"/>
      <c r="H261" s="4"/>
      <c r="I261" s="4"/>
      <c r="J261" s="4"/>
      <c r="K261" s="4"/>
      <c r="L261" s="4"/>
      <c r="M261" s="1515" t="s">
        <v>589</v>
      </c>
      <c r="N261" s="1515"/>
      <c r="O261" s="1515"/>
      <c r="P261" s="1515"/>
      <c r="Q261" s="1515"/>
      <c r="R261" s="1515"/>
      <c r="S261" s="1515"/>
      <c r="T261" s="1515"/>
      <c r="U261" s="1515"/>
      <c r="V261" s="1515"/>
      <c r="W261" s="1515"/>
      <c r="X261" s="1515"/>
      <c r="Y261" s="1515"/>
      <c r="Z261" s="1515"/>
      <c r="AA261" s="1515"/>
      <c r="AB261" s="1515"/>
      <c r="AC261" s="1515"/>
      <c r="AD261" s="1515"/>
      <c r="AE261" s="1515"/>
      <c r="AF261" s="3" t="s">
        <v>1177</v>
      </c>
      <c r="AL261" s="4"/>
      <c r="AM261" s="4"/>
      <c r="AN261" s="4"/>
      <c r="AO261" s="4"/>
      <c r="AP261" s="4"/>
      <c r="AQ261" s="4"/>
      <c r="AR261" s="4"/>
      <c r="AS261" s="4"/>
      <c r="AT261" s="4"/>
      <c r="BN261" s="34"/>
    </row>
    <row r="262" spans="1:66" ht="12.95" customHeight="1">
      <c r="A262" s="19"/>
      <c r="B262" s="4"/>
      <c r="C262" s="4"/>
      <c r="D262" s="4" t="s">
        <v>578</v>
      </c>
      <c r="E262" s="4"/>
      <c r="M262" s="1515" t="s">
        <v>589</v>
      </c>
      <c r="N262" s="1515"/>
      <c r="O262" s="1515"/>
      <c r="P262" s="1515"/>
      <c r="Q262" s="1515"/>
      <c r="R262" s="1515"/>
      <c r="S262" s="1515"/>
      <c r="T262" s="1515"/>
      <c r="V262" s="33" t="s">
        <v>86</v>
      </c>
      <c r="W262" s="1529" t="s">
        <v>589</v>
      </c>
      <c r="X262" s="1529"/>
      <c r="Y262" s="4" t="s">
        <v>581</v>
      </c>
      <c r="AC262" s="1515" t="s">
        <v>589</v>
      </c>
      <c r="AD262" s="1515"/>
      <c r="AE262" s="1515"/>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15" t="s">
        <v>589</v>
      </c>
      <c r="N263" s="1515"/>
      <c r="O263" s="1515"/>
      <c r="P263" s="1515"/>
      <c r="Q263" s="1515"/>
      <c r="R263" s="1515"/>
      <c r="S263" s="1515"/>
      <c r="T263" s="1515"/>
      <c r="U263" s="1515"/>
      <c r="V263" s="1515"/>
      <c r="W263" s="1515"/>
      <c r="X263" s="1515"/>
      <c r="Y263" s="1515"/>
      <c r="Z263" s="1515"/>
      <c r="AA263" s="1515"/>
      <c r="AB263" s="1515"/>
      <c r="AC263" s="1515"/>
      <c r="AD263" s="1515"/>
      <c r="AE263" s="1515"/>
      <c r="AH263" s="1812" t="s">
        <v>589</v>
      </c>
      <c r="AI263" s="1812"/>
      <c r="AJ263" s="1812"/>
      <c r="AK263" s="1812"/>
      <c r="AL263" s="4"/>
      <c r="AM263" s="4"/>
      <c r="AN263" s="4"/>
      <c r="AO263" s="4"/>
      <c r="AP263" s="4"/>
      <c r="AQ263" s="4"/>
      <c r="AR263" s="4"/>
      <c r="AS263" s="4"/>
      <c r="AT263" s="4"/>
    </row>
    <row r="264" spans="1:66" ht="12.95" customHeight="1">
      <c r="A264" s="19"/>
      <c r="B264" s="4"/>
      <c r="C264" s="4"/>
      <c r="D264" s="4" t="s">
        <v>88</v>
      </c>
      <c r="E264" s="4"/>
      <c r="F264" s="4"/>
      <c r="M264" s="1474" t="s">
        <v>589</v>
      </c>
      <c r="N264" s="1474"/>
      <c r="O264" s="1474"/>
      <c r="P264" s="1474"/>
      <c r="Q264" s="1474"/>
      <c r="R264" s="1474"/>
      <c r="S264" s="4" t="s">
        <v>205</v>
      </c>
      <c r="T264" s="4"/>
      <c r="U264" s="1529" t="s">
        <v>589</v>
      </c>
      <c r="V264" s="1529"/>
      <c r="W264" s="1529"/>
      <c r="X264" s="4" t="s">
        <v>89</v>
      </c>
      <c r="Z264" s="1474" t="s">
        <v>589</v>
      </c>
      <c r="AA264" s="1474"/>
      <c r="AB264" s="1474"/>
      <c r="AC264" s="1474"/>
      <c r="AD264" s="1474"/>
      <c r="AE264" s="1474"/>
      <c r="AU264" s="4"/>
      <c r="AV264" s="4"/>
      <c r="AW264" s="4"/>
      <c r="AX264" s="4"/>
      <c r="AY264" s="4"/>
      <c r="BN264" s="34"/>
    </row>
    <row r="265" spans="1:66" ht="12.95" customHeight="1">
      <c r="A265" s="19"/>
      <c r="B265" s="4"/>
      <c r="C265" s="4"/>
      <c r="D265" s="4" t="s">
        <v>90</v>
      </c>
      <c r="E265" s="4"/>
      <c r="F265" s="4"/>
      <c r="M265" s="1819" t="s">
        <v>589</v>
      </c>
      <c r="N265" s="1819"/>
      <c r="O265" s="1819"/>
      <c r="P265" s="1819"/>
      <c r="Q265" s="1819"/>
      <c r="R265" s="1819"/>
      <c r="S265" s="1819"/>
      <c r="T265" s="1819"/>
      <c r="U265" s="1819"/>
      <c r="V265" s="1819"/>
      <c r="W265" s="1819"/>
      <c r="X265" s="1819"/>
      <c r="Y265" s="1819"/>
      <c r="Z265" s="1819"/>
      <c r="AA265" s="1819"/>
      <c r="AB265" s="1819"/>
      <c r="AC265" s="1819"/>
      <c r="AD265" s="1819"/>
      <c r="AE265" s="1819"/>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533</v>
      </c>
      <c r="E266" s="4"/>
      <c r="F266" s="4"/>
      <c r="G266" s="4"/>
      <c r="H266" s="4"/>
      <c r="I266" s="4"/>
      <c r="J266" s="4"/>
      <c r="K266" s="4"/>
      <c r="L266" s="4"/>
      <c r="M266" s="1496" t="s">
        <v>306</v>
      </c>
      <c r="N266" s="1496"/>
      <c r="O266" s="1496"/>
      <c r="P266" s="1496"/>
      <c r="Q266" s="1496"/>
      <c r="R266" s="1496"/>
      <c r="S266" s="1496"/>
      <c r="T266" s="1496"/>
      <c r="U266" s="204" t="s">
        <v>904</v>
      </c>
      <c r="V266" s="204"/>
      <c r="W266" s="204"/>
      <c r="X266" s="204"/>
      <c r="Y266" s="204"/>
      <c r="Z266" s="204"/>
      <c r="AA266" s="1810" t="s">
        <v>589</v>
      </c>
      <c r="AB266" s="1810"/>
      <c r="AC266" s="1810"/>
      <c r="AD266" s="1810"/>
      <c r="AE266" s="1810"/>
      <c r="AF266" s="1810"/>
      <c r="AG266" s="1810"/>
      <c r="AH266" s="1810"/>
      <c r="AI266" s="1810"/>
      <c r="AJ266" s="1810"/>
      <c r="AK266" s="1810"/>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530</v>
      </c>
      <c r="E268" s="4"/>
      <c r="F268" s="4"/>
      <c r="G268" s="4"/>
      <c r="H268" s="4"/>
      <c r="I268" s="4"/>
      <c r="J268" s="4"/>
      <c r="K268" s="4"/>
      <c r="L268" s="4"/>
      <c r="M268" s="1517" t="s">
        <v>589</v>
      </c>
      <c r="N268" s="1518"/>
      <c r="O268" s="1518"/>
      <c r="P268" s="1518"/>
      <c r="Q268" s="1518"/>
      <c r="R268" s="1518"/>
      <c r="S268" s="1518"/>
      <c r="T268" s="1518"/>
      <c r="U268" s="1518"/>
      <c r="V268" s="1518"/>
      <c r="W268" s="1518"/>
      <c r="X268" s="1518"/>
      <c r="Y268" s="1518"/>
      <c r="Z268" s="1518"/>
      <c r="AA268" s="1518"/>
      <c r="AB268" s="1518"/>
      <c r="AC268" s="1518"/>
      <c r="AD268" s="1518"/>
      <c r="AE268" s="1518"/>
      <c r="AF268" s="1518" t="s">
        <v>306</v>
      </c>
      <c r="AG268" s="1518"/>
      <c r="AH268" s="1518"/>
      <c r="AI268" s="1518"/>
      <c r="AJ268" s="1518"/>
      <c r="AK268" s="1518"/>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5" t="s">
        <v>589</v>
      </c>
      <c r="N269" s="1515"/>
      <c r="O269" s="1515"/>
      <c r="P269" s="1515"/>
      <c r="Q269" s="1515"/>
      <c r="R269" s="1515"/>
      <c r="S269" s="1515"/>
      <c r="T269" s="1515"/>
      <c r="U269" s="1515"/>
      <c r="V269" s="1515"/>
      <c r="W269" s="1515"/>
      <c r="X269" s="1515"/>
      <c r="Y269" s="1515"/>
      <c r="Z269" s="1515"/>
      <c r="AA269" s="1515"/>
      <c r="AB269" s="1515"/>
      <c r="AC269" s="1515"/>
      <c r="AD269" s="1515"/>
      <c r="AE269" s="1515"/>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578</v>
      </c>
      <c r="E270" s="4"/>
      <c r="M270" s="1515" t="s">
        <v>589</v>
      </c>
      <c r="N270" s="1515"/>
      <c r="O270" s="1515"/>
      <c r="P270" s="1515"/>
      <c r="Q270" s="1515"/>
      <c r="R270" s="1515"/>
      <c r="S270" s="1515"/>
      <c r="T270" s="1515"/>
      <c r="V270" s="33" t="s">
        <v>86</v>
      </c>
      <c r="W270" s="1529" t="s">
        <v>589</v>
      </c>
      <c r="X270" s="1529"/>
      <c r="Y270" s="4" t="s">
        <v>581</v>
      </c>
      <c r="AC270" s="1515" t="s">
        <v>589</v>
      </c>
      <c r="AD270" s="1515"/>
      <c r="AE270" s="1515"/>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5" t="s">
        <v>589</v>
      </c>
      <c r="N271" s="1515"/>
      <c r="O271" s="1515"/>
      <c r="P271" s="1515"/>
      <c r="Q271" s="1515"/>
      <c r="R271" s="1515"/>
      <c r="S271" s="1515"/>
      <c r="T271" s="1515"/>
      <c r="U271" s="1515"/>
      <c r="V271" s="1515"/>
      <c r="W271" s="1515"/>
      <c r="X271" s="1515"/>
      <c r="Y271" s="1515"/>
      <c r="Z271" s="1515"/>
      <c r="AA271" s="1515"/>
      <c r="AB271" s="1515"/>
      <c r="AC271" s="1515"/>
      <c r="AD271" s="1515"/>
      <c r="AE271" s="1515"/>
      <c r="AH271" s="1812" t="s">
        <v>589</v>
      </c>
      <c r="AI271" s="1812"/>
      <c r="AJ271" s="1812"/>
      <c r="AK271" s="181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74" t="s">
        <v>589</v>
      </c>
      <c r="N272" s="1474"/>
      <c r="O272" s="1474"/>
      <c r="P272" s="1474"/>
      <c r="Q272" s="1474"/>
      <c r="R272" s="1474"/>
      <c r="S272" s="4" t="s">
        <v>205</v>
      </c>
      <c r="T272" s="4"/>
      <c r="U272" s="1529" t="s">
        <v>589</v>
      </c>
      <c r="V272" s="1529"/>
      <c r="W272" s="1529"/>
      <c r="X272" s="4" t="s">
        <v>89</v>
      </c>
      <c r="Z272" s="1474" t="s">
        <v>589</v>
      </c>
      <c r="AA272" s="1474"/>
      <c r="AB272" s="1474"/>
      <c r="AC272" s="1474"/>
      <c r="AD272" s="1474"/>
      <c r="AE272" s="147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819" t="s">
        <v>589</v>
      </c>
      <c r="N273" s="1819"/>
      <c r="O273" s="1819"/>
      <c r="P273" s="1819"/>
      <c r="Q273" s="1819"/>
      <c r="R273" s="1819"/>
      <c r="S273" s="1819"/>
      <c r="T273" s="1819"/>
      <c r="U273" s="1819"/>
      <c r="V273" s="1819"/>
      <c r="W273" s="1819"/>
      <c r="X273" s="1819"/>
      <c r="Y273" s="1819"/>
      <c r="Z273" s="1819"/>
      <c r="AA273" s="1838"/>
      <c r="AB273" s="1838"/>
      <c r="AC273" s="1838"/>
      <c r="AD273" s="1838"/>
      <c r="AE273" s="183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533</v>
      </c>
      <c r="E274" s="4"/>
      <c r="F274" s="4"/>
      <c r="G274" s="4"/>
      <c r="H274" s="4"/>
      <c r="I274" s="4"/>
      <c r="J274" s="4"/>
      <c r="K274" s="4"/>
      <c r="L274" s="4"/>
      <c r="M274" s="1496" t="s">
        <v>306</v>
      </c>
      <c r="N274" s="1496"/>
      <c r="O274" s="1496"/>
      <c r="P274" s="1496"/>
      <c r="Q274" s="1496"/>
      <c r="R274" s="1496"/>
      <c r="S274" s="1496"/>
      <c r="T274" s="1496"/>
      <c r="U274" s="204" t="s">
        <v>904</v>
      </c>
      <c r="V274" s="204"/>
      <c r="W274" s="204"/>
      <c r="X274" s="204"/>
      <c r="Y274" s="204"/>
      <c r="Z274" s="204"/>
      <c r="AA274" s="1811" t="s">
        <v>589</v>
      </c>
      <c r="AB274" s="1811"/>
      <c r="AC274" s="1811"/>
      <c r="AD274" s="1811"/>
      <c r="AE274" s="1811"/>
      <c r="AF274" s="1811"/>
      <c r="AG274" s="1811"/>
      <c r="AH274" s="1811"/>
      <c r="AI274" s="1811"/>
      <c r="AJ274" s="1811"/>
      <c r="AK274" s="1811"/>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588</v>
      </c>
      <c r="B276" s="4"/>
      <c r="C276" s="2" t="s">
        <v>294</v>
      </c>
      <c r="D276" s="4"/>
      <c r="E276" s="4"/>
      <c r="F276" s="4"/>
      <c r="G276" s="4"/>
      <c r="H276" s="4"/>
      <c r="I276" s="4"/>
      <c r="J276" s="4"/>
      <c r="K276" s="4"/>
      <c r="L276" s="4"/>
      <c r="M276" s="35"/>
      <c r="N276" s="35"/>
      <c r="O276" s="35"/>
      <c r="P276" s="35"/>
      <c r="Q276" s="35"/>
      <c r="T276" s="1813" t="str">
        <f>IFERROR(BO254,"")</f>
        <v>Nonprofit</v>
      </c>
      <c r="U276" s="1813"/>
      <c r="V276" s="1813"/>
      <c r="W276" s="1813"/>
      <c r="X276" s="1813"/>
      <c r="Z276" s="306" t="s">
        <v>952</v>
      </c>
      <c r="AA276" s="307"/>
      <c r="AB276" s="307"/>
      <c r="AC276" s="307"/>
      <c r="AD276" s="105"/>
      <c r="AE276" s="105"/>
      <c r="AF276" s="105"/>
      <c r="AG276" s="105"/>
      <c r="AH276" s="105"/>
      <c r="AI276" s="105"/>
      <c r="AJ276" s="105"/>
      <c r="AK276" s="308"/>
      <c r="AL276" s="58"/>
    </row>
    <row r="277" spans="1:51" ht="12.95" customHeight="1">
      <c r="A277" s="2"/>
      <c r="B277" s="4"/>
      <c r="C277" s="2"/>
      <c r="I277" s="4"/>
      <c r="J277" s="4"/>
      <c r="K277" s="4"/>
      <c r="L277" s="4"/>
      <c r="M277" s="35"/>
      <c r="N277" s="35"/>
      <c r="O277" s="35"/>
      <c r="P277" s="35"/>
      <c r="Q277" s="35"/>
      <c r="T277" s="4"/>
      <c r="U277" s="4"/>
      <c r="V277" s="4"/>
      <c r="W277" s="35"/>
      <c r="Z277" s="309" t="s">
        <v>805</v>
      </c>
      <c r="AF277" s="4"/>
      <c r="AG277" s="4"/>
      <c r="AH277" s="4"/>
      <c r="AI277" s="4"/>
      <c r="AJ277" s="4"/>
      <c r="AL277" s="65"/>
    </row>
    <row r="278" spans="1:51" ht="12.95"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0" t="s">
        <v>951</v>
      </c>
      <c r="AA278" s="48"/>
      <c r="AB278" s="48"/>
      <c r="AC278" s="48"/>
      <c r="AD278" s="48"/>
      <c r="AE278" s="48"/>
      <c r="AF278" s="104"/>
      <c r="AG278" s="104"/>
      <c r="AH278" s="104"/>
      <c r="AI278" s="104"/>
      <c r="AJ278" s="104"/>
      <c r="AK278" s="48"/>
      <c r="AL278" s="49"/>
    </row>
    <row r="279" spans="1:51" ht="12.95" customHeight="1">
      <c r="A279" s="4"/>
      <c r="B279" s="36">
        <v>0</v>
      </c>
      <c r="D279" s="1515" t="s">
        <v>279</v>
      </c>
      <c r="E279" s="1515"/>
      <c r="F279" s="1515"/>
      <c r="G279" s="1515"/>
      <c r="H279" s="1515"/>
      <c r="J279" t="s">
        <v>278</v>
      </c>
      <c r="X279" s="1730">
        <v>45785</v>
      </c>
      <c r="Y279" s="1730"/>
      <c r="Z279" s="1730"/>
      <c r="AA279" s="1730"/>
      <c r="AB279" s="1730"/>
      <c r="AC279" s="1730"/>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17" t="s">
        <v>2645</v>
      </c>
      <c r="M283" s="1518"/>
      <c r="N283" s="1518"/>
      <c r="O283" s="1518"/>
      <c r="P283" s="1518"/>
      <c r="Q283" s="1518"/>
      <c r="R283" s="1518"/>
      <c r="S283" s="1518"/>
      <c r="T283" s="1518"/>
      <c r="U283" s="1518"/>
      <c r="V283" s="1518"/>
      <c r="W283" s="1518"/>
      <c r="X283" s="1518"/>
      <c r="Y283" s="1518"/>
      <c r="Z283" s="1518"/>
      <c r="AA283" s="1518"/>
      <c r="AB283" s="1518"/>
      <c r="AC283" s="1518"/>
      <c r="AD283" s="1518"/>
      <c r="AE283" s="1518"/>
      <c r="AF283" s="1518"/>
      <c r="AG283" s="1518"/>
      <c r="AH283" s="1518"/>
      <c r="AI283" s="1518"/>
      <c r="AJ283" s="1518"/>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29" t="s">
        <v>2642</v>
      </c>
      <c r="M284" s="1529"/>
      <c r="N284" s="1529"/>
      <c r="O284" s="1529"/>
      <c r="P284" s="1529"/>
      <c r="Q284" s="1529"/>
      <c r="R284" s="1529"/>
      <c r="S284" s="1529"/>
      <c r="T284" s="1529"/>
      <c r="U284" s="1529"/>
      <c r="V284" s="1529"/>
      <c r="W284" s="1529"/>
      <c r="X284" s="1529"/>
      <c r="Y284" s="1529"/>
      <c r="Z284" s="1529"/>
      <c r="AA284" s="1529"/>
      <c r="AB284" s="1529"/>
      <c r="AC284" s="1529"/>
      <c r="AD284" s="1529"/>
      <c r="AK284" s="3"/>
      <c r="AL284" s="3"/>
      <c r="AM284" s="3"/>
      <c r="AN284" s="3"/>
      <c r="AO284" s="3"/>
      <c r="AP284" s="3"/>
      <c r="AQ284" s="3"/>
      <c r="AR284" s="3"/>
      <c r="AS284" s="3"/>
      <c r="AT284" s="3"/>
      <c r="AU284" s="3"/>
      <c r="AV284" s="3"/>
      <c r="AW284" s="3"/>
      <c r="AX284" s="3"/>
      <c r="AY284" s="3"/>
    </row>
    <row r="285" spans="1:51" ht="12.95" customHeight="1">
      <c r="D285" s="4" t="s">
        <v>578</v>
      </c>
      <c r="E285" s="4"/>
      <c r="L285" s="1515" t="s">
        <v>2643</v>
      </c>
      <c r="M285" s="1515"/>
      <c r="N285" s="1515"/>
      <c r="O285" s="1515"/>
      <c r="P285" s="1515"/>
      <c r="Q285" s="1515"/>
      <c r="R285" s="1515"/>
      <c r="S285" s="1515"/>
      <c r="U285" s="33" t="s">
        <v>86</v>
      </c>
      <c r="V285" s="1395" t="s">
        <v>2644</v>
      </c>
      <c r="W285" s="1529"/>
      <c r="X285" s="4" t="s">
        <v>581</v>
      </c>
      <c r="AB285" s="1515">
        <v>90807</v>
      </c>
      <c r="AC285" s="1515"/>
      <c r="AD285" s="1515"/>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90" t="s">
        <v>2665</v>
      </c>
      <c r="M286" s="1515"/>
      <c r="N286" s="1515"/>
      <c r="O286" s="1515"/>
      <c r="P286" s="1515"/>
      <c r="Q286" s="1515"/>
      <c r="R286" s="1515"/>
      <c r="S286" s="1515"/>
      <c r="T286" s="1515"/>
      <c r="U286" s="1515"/>
      <c r="V286" s="1515"/>
      <c r="W286" s="1515"/>
      <c r="X286" s="1515"/>
      <c r="Y286" s="1515"/>
      <c r="Z286" s="1515"/>
      <c r="AA286" s="1515"/>
      <c r="AB286" s="1515"/>
      <c r="AC286" s="1515"/>
      <c r="AD286" s="1515"/>
      <c r="AI286" s="4"/>
      <c r="AJ286" s="4"/>
      <c r="AK286" s="3"/>
      <c r="AL286" s="3"/>
      <c r="AM286" s="3"/>
      <c r="AN286" s="3"/>
      <c r="AO286" s="3"/>
      <c r="AP286" s="3"/>
      <c r="AQ286" s="3"/>
      <c r="AR286" s="3"/>
      <c r="AS286" s="3"/>
      <c r="AT286" s="3"/>
    </row>
    <row r="287" spans="1:51" ht="12.95" customHeight="1">
      <c r="D287" s="4" t="s">
        <v>88</v>
      </c>
      <c r="E287" s="4"/>
      <c r="F287" s="4"/>
      <c r="L287" s="1473" t="s">
        <v>2666</v>
      </c>
      <c r="M287" s="1474"/>
      <c r="N287" s="1474"/>
      <c r="O287" s="1474"/>
      <c r="P287" s="1474"/>
      <c r="Q287" s="1474"/>
      <c r="R287" s="4" t="s">
        <v>205</v>
      </c>
      <c r="S287" s="4"/>
      <c r="T287" s="1529"/>
      <c r="U287" s="1529"/>
      <c r="V287" s="1529"/>
      <c r="W287" s="4" t="s">
        <v>89</v>
      </c>
      <c r="Y287" s="1474"/>
      <c r="Z287" s="1474"/>
      <c r="AA287" s="1474"/>
      <c r="AB287" s="1474"/>
      <c r="AC287" s="1474"/>
      <c r="AD287" s="1474"/>
    </row>
    <row r="288" spans="1:51" ht="12.95" customHeight="1">
      <c r="D288" s="4" t="s">
        <v>90</v>
      </c>
      <c r="E288" s="4"/>
      <c r="F288" s="4"/>
      <c r="L288" s="1819" t="s">
        <v>2667</v>
      </c>
      <c r="M288" s="1819"/>
      <c r="N288" s="1819"/>
      <c r="O288" s="1819"/>
      <c r="P288" s="1819"/>
      <c r="Q288" s="1819"/>
      <c r="R288" s="1819"/>
      <c r="S288" s="1819"/>
      <c r="T288" s="1819"/>
      <c r="U288" s="1819"/>
      <c r="V288" s="1819"/>
      <c r="W288" s="1819"/>
      <c r="X288" s="1819"/>
      <c r="Y288" s="1819"/>
      <c r="Z288" s="1819"/>
      <c r="AA288" s="1819"/>
      <c r="AB288" s="1819"/>
      <c r="AC288" s="1819"/>
      <c r="AD288" s="1819"/>
      <c r="AF288" s="4"/>
      <c r="AG288" s="4"/>
      <c r="AH288" s="4"/>
      <c r="AI288" s="4"/>
      <c r="AJ288" s="4"/>
      <c r="AU288" s="3"/>
      <c r="AV288" s="3"/>
      <c r="AW288" s="3"/>
      <c r="AX288" s="3"/>
      <c r="AY288" s="3"/>
    </row>
    <row r="289" spans="1:51" ht="12.95" customHeight="1">
      <c r="D289" s="3" t="s">
        <v>621</v>
      </c>
      <c r="E289" s="3"/>
      <c r="F289" s="3"/>
      <c r="G289" s="3"/>
      <c r="H289" s="3"/>
      <c r="I289" s="3"/>
      <c r="L289" s="1395" t="s">
        <v>2777</v>
      </c>
      <c r="M289" s="1395"/>
      <c r="N289" s="1395"/>
      <c r="O289" s="1395"/>
      <c r="P289" s="1395"/>
      <c r="Q289" s="1395"/>
      <c r="R289" s="1395"/>
      <c r="S289" s="1395"/>
      <c r="T289" s="1395"/>
      <c r="U289" s="1395"/>
      <c r="V289" s="1395"/>
      <c r="W289" s="1395"/>
      <c r="X289" s="1395"/>
      <c r="Y289" s="1395"/>
      <c r="Z289" s="1395"/>
      <c r="AA289" s="1395"/>
      <c r="AB289" s="1395"/>
      <c r="AC289" s="1395"/>
      <c r="AD289" s="1395"/>
      <c r="AK289" s="3"/>
      <c r="AL289" s="3"/>
      <c r="AM289" s="3"/>
      <c r="AN289" s="3"/>
      <c r="AO289" s="3"/>
      <c r="AP289" s="3"/>
      <c r="AQ289" s="3"/>
      <c r="AR289" s="3"/>
      <c r="AS289" s="3"/>
      <c r="AT289" s="3"/>
    </row>
    <row r="290" spans="1:51" ht="12.95" customHeight="1">
      <c r="L290" s="22" t="s">
        <v>622</v>
      </c>
      <c r="AU290" s="95"/>
      <c r="AV290" s="95"/>
      <c r="AW290" s="95"/>
      <c r="AX290" s="95"/>
      <c r="AY290" s="95"/>
    </row>
    <row r="291" spans="1:51" ht="12.95" customHeight="1">
      <c r="A291" s="1519" t="s">
        <v>539</v>
      </c>
      <c r="B291" s="1519"/>
      <c r="C291" s="1519"/>
      <c r="D291" s="1519"/>
      <c r="E291" s="1519"/>
      <c r="F291" s="1519"/>
      <c r="G291" s="1519"/>
      <c r="H291" s="1519"/>
      <c r="I291" s="1519"/>
      <c r="J291" s="1519"/>
      <c r="K291" s="1519"/>
      <c r="L291" s="1519"/>
      <c r="M291" s="1519"/>
      <c r="N291" s="1519"/>
      <c r="O291" s="1519"/>
      <c r="P291" s="1519"/>
      <c r="Q291" s="1519"/>
      <c r="R291" s="1519"/>
      <c r="S291" s="1519"/>
      <c r="T291" s="1519"/>
      <c r="U291" s="1519"/>
      <c r="V291" s="1519"/>
      <c r="W291" s="1519"/>
      <c r="X291" s="1519"/>
      <c r="Y291" s="1519"/>
      <c r="Z291" s="1519"/>
      <c r="AA291" s="1519"/>
      <c r="AB291" s="1519"/>
      <c r="AC291" s="1519"/>
      <c r="AD291" s="1519"/>
      <c r="AE291" s="1519"/>
      <c r="AF291" s="1519"/>
      <c r="AG291" s="1519"/>
      <c r="AH291" s="1519"/>
      <c r="AI291" s="1519"/>
      <c r="AJ291" s="1519"/>
      <c r="AK291" s="1519"/>
      <c r="AL291" s="1519"/>
      <c r="AM291" s="1519"/>
      <c r="AN291" s="1519"/>
      <c r="AO291" s="1519"/>
      <c r="AP291" s="1519"/>
      <c r="AQ291" s="1519"/>
      <c r="AR291" s="1519"/>
      <c r="AS291" s="1519"/>
      <c r="AT291" s="1519"/>
      <c r="AU291" s="95"/>
      <c r="AV291" s="95"/>
      <c r="AW291" s="95"/>
      <c r="AX291" s="95"/>
      <c r="AY291" s="95"/>
    </row>
    <row r="292" spans="1:51" ht="12.95" customHeight="1">
      <c r="A292" s="1519"/>
      <c r="B292" s="1519"/>
      <c r="C292" s="1519"/>
      <c r="D292" s="1519"/>
      <c r="E292" s="1519"/>
      <c r="F292" s="1519"/>
      <c r="G292" s="1519"/>
      <c r="H292" s="1519"/>
      <c r="I292" s="1519"/>
      <c r="J292" s="1519"/>
      <c r="K292" s="1519"/>
      <c r="L292" s="1519"/>
      <c r="M292" s="1519"/>
      <c r="N292" s="1519"/>
      <c r="O292" s="1519"/>
      <c r="P292" s="1519"/>
      <c r="Q292" s="1519"/>
      <c r="R292" s="1519"/>
      <c r="S292" s="1519"/>
      <c r="T292" s="1519"/>
      <c r="U292" s="1519"/>
      <c r="V292" s="1519"/>
      <c r="W292" s="1519"/>
      <c r="X292" s="1519"/>
      <c r="Y292" s="1519"/>
      <c r="Z292" s="1519"/>
      <c r="AA292" s="1519"/>
      <c r="AB292" s="1519"/>
      <c r="AC292" s="1519"/>
      <c r="AD292" s="1519"/>
      <c r="AE292" s="1519"/>
      <c r="AF292" s="1519"/>
      <c r="AG292" s="1519"/>
      <c r="AH292" s="1519"/>
      <c r="AI292" s="1519"/>
      <c r="AJ292" s="1519"/>
      <c r="AK292" s="1519"/>
      <c r="AL292" s="1519"/>
      <c r="AM292" s="1519"/>
      <c r="AN292" s="1519"/>
      <c r="AO292" s="1519"/>
      <c r="AP292" s="1519"/>
      <c r="AQ292" s="1519"/>
      <c r="AR292" s="1519"/>
      <c r="AS292" s="1519"/>
      <c r="AT292" s="151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624</v>
      </c>
      <c r="C296" s="3"/>
      <c r="D296" s="3"/>
      <c r="E296" s="3"/>
      <c r="F296" s="3"/>
      <c r="H296" s="1472" t="s">
        <v>2645</v>
      </c>
      <c r="I296" s="1472"/>
      <c r="J296" s="1472"/>
      <c r="K296" s="1472"/>
      <c r="L296" s="1472"/>
      <c r="M296" s="1472"/>
      <c r="N296" s="1472"/>
      <c r="O296" s="1472"/>
      <c r="P296" s="1472"/>
      <c r="Q296" s="1472"/>
      <c r="R296" s="1472"/>
      <c r="T296" s="3" t="s">
        <v>565</v>
      </c>
      <c r="V296" s="3"/>
      <c r="W296" s="3"/>
      <c r="X296" s="3"/>
      <c r="Y296" s="3"/>
      <c r="AA296" s="1490" t="s">
        <v>2757</v>
      </c>
      <c r="AB296" s="1472"/>
      <c r="AC296" s="1472"/>
      <c r="AD296" s="1472"/>
      <c r="AE296" s="1472"/>
      <c r="AF296" s="1472"/>
      <c r="AG296" s="1472"/>
      <c r="AH296" s="1472"/>
      <c r="AI296" s="1472"/>
      <c r="AJ296" s="1472"/>
      <c r="AK296" s="1472"/>
    </row>
    <row r="297" spans="1:51" ht="12.95" customHeight="1">
      <c r="B297" s="3" t="s">
        <v>469</v>
      </c>
      <c r="C297" s="3"/>
      <c r="D297" s="3"/>
      <c r="E297" s="3"/>
      <c r="F297" s="3"/>
      <c r="H297" s="1496" t="s">
        <v>2642</v>
      </c>
      <c r="I297" s="1496"/>
      <c r="J297" s="1496"/>
      <c r="K297" s="1496"/>
      <c r="L297" s="1496"/>
      <c r="M297" s="1496"/>
      <c r="N297" s="1496"/>
      <c r="O297" s="1496"/>
      <c r="P297" s="1496"/>
      <c r="Q297" s="1496"/>
      <c r="R297" s="1496"/>
      <c r="T297" s="3" t="s">
        <v>469</v>
      </c>
      <c r="V297" s="3"/>
      <c r="W297" s="3"/>
      <c r="X297" s="3"/>
      <c r="Y297" s="3"/>
      <c r="AA297" s="1496" t="s">
        <v>2675</v>
      </c>
      <c r="AB297" s="1496"/>
      <c r="AC297" s="1496"/>
      <c r="AD297" s="1496"/>
      <c r="AE297" s="1496"/>
      <c r="AF297" s="1496"/>
      <c r="AG297" s="1496"/>
      <c r="AH297" s="1496"/>
      <c r="AI297" s="1496"/>
      <c r="AJ297" s="1496"/>
      <c r="AK297" s="1496"/>
    </row>
    <row r="298" spans="1:51" ht="12.95" customHeight="1">
      <c r="B298" s="3" t="s">
        <v>470</v>
      </c>
      <c r="C298" s="3"/>
      <c r="D298" s="3"/>
      <c r="E298" s="3"/>
      <c r="F298" s="3"/>
      <c r="H298" s="1496" t="s">
        <v>2646</v>
      </c>
      <c r="I298" s="1496"/>
      <c r="J298" s="1496"/>
      <c r="K298" s="1496"/>
      <c r="L298" s="1496"/>
      <c r="M298" s="1496"/>
      <c r="N298" s="1496"/>
      <c r="O298" s="1496"/>
      <c r="P298" s="1496"/>
      <c r="Q298" s="1496"/>
      <c r="R298" s="1496"/>
      <c r="T298" s="3" t="s">
        <v>75</v>
      </c>
      <c r="V298" s="3"/>
      <c r="W298" s="3"/>
      <c r="X298" s="3"/>
      <c r="Y298" s="3"/>
      <c r="AA298" s="1496" t="s">
        <v>2676</v>
      </c>
      <c r="AB298" s="1496"/>
      <c r="AC298" s="1496"/>
      <c r="AD298" s="1496"/>
      <c r="AE298" s="1496"/>
      <c r="AF298" s="1496"/>
      <c r="AG298" s="1496"/>
      <c r="AH298" s="1496"/>
      <c r="AI298" s="1496"/>
      <c r="AJ298" s="1496"/>
      <c r="AK298" s="1496"/>
    </row>
    <row r="299" spans="1:51" ht="12.95" customHeight="1">
      <c r="B299" s="3" t="s">
        <v>87</v>
      </c>
      <c r="C299" s="3"/>
      <c r="D299" s="3"/>
      <c r="E299" s="3"/>
      <c r="F299" s="3"/>
      <c r="H299" s="1496" t="s">
        <v>2698</v>
      </c>
      <c r="I299" s="1496"/>
      <c r="J299" s="1496"/>
      <c r="K299" s="1496"/>
      <c r="L299" s="1496"/>
      <c r="M299" s="1496"/>
      <c r="N299" s="1496"/>
      <c r="O299" s="1496"/>
      <c r="P299" s="1496"/>
      <c r="Q299" s="1496"/>
      <c r="R299" s="1496"/>
      <c r="T299" s="3" t="s">
        <v>87</v>
      </c>
      <c r="V299" s="3"/>
      <c r="W299" s="3"/>
      <c r="X299" s="3"/>
      <c r="Y299" s="3"/>
      <c r="AA299" s="1496" t="s">
        <v>2677</v>
      </c>
      <c r="AB299" s="1496"/>
      <c r="AC299" s="1496"/>
      <c r="AD299" s="1496"/>
      <c r="AE299" s="1496"/>
      <c r="AF299" s="1496"/>
      <c r="AG299" s="1496"/>
      <c r="AH299" s="1496"/>
      <c r="AI299" s="1496"/>
      <c r="AJ299" s="1496"/>
      <c r="AK299" s="1496"/>
    </row>
    <row r="300" spans="1:51" ht="12.95" customHeight="1">
      <c r="B300" s="3" t="s">
        <v>88</v>
      </c>
      <c r="C300" s="3"/>
      <c r="D300" s="3"/>
      <c r="E300" s="3"/>
      <c r="F300" s="3"/>
      <c r="G300" s="3"/>
      <c r="H300" s="1521" t="s">
        <v>2662</v>
      </c>
      <c r="I300" s="1521"/>
      <c r="J300" s="1521"/>
      <c r="K300" s="1521"/>
      <c r="L300" s="1521"/>
      <c r="M300" s="1521"/>
      <c r="N300" s="4" t="s">
        <v>205</v>
      </c>
      <c r="O300" s="4"/>
      <c r="P300" s="1490" t="s">
        <v>589</v>
      </c>
      <c r="Q300" s="1515"/>
      <c r="R300" s="1515"/>
      <c r="S300" s="3"/>
      <c r="T300" s="3" t="s">
        <v>88</v>
      </c>
      <c r="V300" s="3"/>
      <c r="W300" s="3"/>
      <c r="X300" s="3"/>
      <c r="Y300" s="3"/>
      <c r="AA300" s="1520" t="s">
        <v>2678</v>
      </c>
      <c r="AB300" s="1521"/>
      <c r="AC300" s="1521"/>
      <c r="AD300" s="1521"/>
      <c r="AE300" s="1521"/>
      <c r="AF300" s="1521"/>
      <c r="AG300" s="4" t="s">
        <v>205</v>
      </c>
      <c r="AH300" s="4"/>
      <c r="AI300" s="1490" t="s">
        <v>589</v>
      </c>
      <c r="AJ300" s="1515"/>
      <c r="AK300" s="1515"/>
    </row>
    <row r="301" spans="1:51" ht="12.95" customHeight="1">
      <c r="B301" s="3" t="s">
        <v>89</v>
      </c>
      <c r="C301" s="3"/>
      <c r="D301" s="3"/>
      <c r="E301" s="3"/>
      <c r="F301" s="3"/>
      <c r="G301" s="3"/>
      <c r="H301" s="1473" t="s">
        <v>589</v>
      </c>
      <c r="I301" s="1474"/>
      <c r="J301" s="1474"/>
      <c r="K301" s="1474"/>
      <c r="L301" s="1474"/>
      <c r="M301" s="1474"/>
      <c r="N301" s="4"/>
      <c r="O301" s="4"/>
      <c r="P301" s="35"/>
      <c r="Q301" s="35"/>
      <c r="R301" s="35"/>
      <c r="S301" s="3"/>
      <c r="T301" s="3" t="s">
        <v>89</v>
      </c>
      <c r="V301" s="3"/>
      <c r="W301" s="3"/>
      <c r="X301" s="3"/>
      <c r="Y301" s="3"/>
      <c r="AA301" s="1473" t="s">
        <v>589</v>
      </c>
      <c r="AB301" s="1474"/>
      <c r="AC301" s="1474"/>
      <c r="AD301" s="1474"/>
      <c r="AE301" s="1474"/>
      <c r="AF301" s="1474"/>
      <c r="AG301" s="4"/>
      <c r="AH301" s="4"/>
      <c r="AI301" s="35"/>
      <c r="AJ301" s="35"/>
      <c r="AK301" s="35"/>
    </row>
    <row r="302" spans="1:51" ht="12.95" customHeight="1">
      <c r="B302" s="3" t="s">
        <v>76</v>
      </c>
      <c r="C302" s="3"/>
      <c r="D302" s="3"/>
      <c r="E302" s="3"/>
      <c r="F302" s="3"/>
      <c r="G302" s="3"/>
      <c r="H302" s="1496" t="s">
        <v>2663</v>
      </c>
      <c r="I302" s="1496"/>
      <c r="J302" s="1496"/>
      <c r="K302" s="1496"/>
      <c r="L302" s="1496"/>
      <c r="M302" s="1496"/>
      <c r="N302" s="1472"/>
      <c r="O302" s="1472"/>
      <c r="P302" s="1472"/>
      <c r="Q302" s="1472"/>
      <c r="R302" s="1472"/>
      <c r="S302" s="3"/>
      <c r="T302" s="3" t="s">
        <v>76</v>
      </c>
      <c r="V302" s="3"/>
      <c r="W302" s="3"/>
      <c r="X302" s="3"/>
      <c r="Y302" s="3"/>
      <c r="AA302" s="1496" t="s">
        <v>2679</v>
      </c>
      <c r="AB302" s="1496"/>
      <c r="AC302" s="1496"/>
      <c r="AD302" s="1496"/>
      <c r="AE302" s="1496"/>
      <c r="AF302" s="1496"/>
      <c r="AG302" s="1472"/>
      <c r="AH302" s="1472"/>
      <c r="AI302" s="1472"/>
      <c r="AJ302" s="1472"/>
      <c r="AK302" s="147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72" t="s">
        <v>2671</v>
      </c>
      <c r="I304" s="1472"/>
      <c r="J304" s="1472"/>
      <c r="K304" s="1472"/>
      <c r="L304" s="1472"/>
      <c r="M304" s="1472"/>
      <c r="N304" s="1472"/>
      <c r="O304" s="1472"/>
      <c r="P304" s="1472"/>
      <c r="Q304" s="1472"/>
      <c r="R304" s="1472"/>
      <c r="T304" s="3" t="s">
        <v>363</v>
      </c>
      <c r="V304" s="3"/>
      <c r="W304" s="3"/>
      <c r="X304" s="3"/>
      <c r="Y304" s="3"/>
      <c r="AA304" s="1472" t="s">
        <v>2712</v>
      </c>
      <c r="AB304" s="1472"/>
      <c r="AC304" s="1472"/>
      <c r="AD304" s="1472"/>
      <c r="AE304" s="1472"/>
      <c r="AF304" s="1472"/>
      <c r="AG304" s="1472"/>
      <c r="AH304" s="1472"/>
      <c r="AI304" s="1472"/>
      <c r="AJ304" s="1472"/>
      <c r="AK304" s="1472"/>
    </row>
    <row r="305" spans="2:72" ht="12.95" customHeight="1">
      <c r="B305" s="3" t="s">
        <v>469</v>
      </c>
      <c r="C305" s="3"/>
      <c r="D305" s="3"/>
      <c r="E305" s="3"/>
      <c r="F305" s="3"/>
      <c r="H305" s="1395" t="s">
        <v>2669</v>
      </c>
      <c r="I305" s="1496"/>
      <c r="J305" s="1496"/>
      <c r="K305" s="1496"/>
      <c r="L305" s="1496"/>
      <c r="M305" s="1496"/>
      <c r="N305" s="1496"/>
      <c r="O305" s="1496"/>
      <c r="P305" s="1496"/>
      <c r="Q305" s="1496"/>
      <c r="R305" s="1496"/>
      <c r="T305" s="3" t="s">
        <v>469</v>
      </c>
      <c r="V305" s="3"/>
      <c r="W305" s="3"/>
      <c r="X305" s="3"/>
      <c r="Y305" s="3"/>
      <c r="AA305" s="1395" t="s">
        <v>2758</v>
      </c>
      <c r="AB305" s="1496"/>
      <c r="AC305" s="1496"/>
      <c r="AD305" s="1496"/>
      <c r="AE305" s="1496"/>
      <c r="AF305" s="1496"/>
      <c r="AG305" s="1496"/>
      <c r="AH305" s="1496"/>
      <c r="AI305" s="1496"/>
      <c r="AJ305" s="1496"/>
      <c r="AK305" s="1496"/>
      <c r="AX305" s="1192"/>
      <c r="AY305" s="1192"/>
      <c r="AZ305" s="1192"/>
      <c r="BA305" s="1192"/>
      <c r="BB305" s="1192"/>
      <c r="BC305" s="1192"/>
      <c r="BD305" s="1192"/>
      <c r="BE305" s="1192"/>
      <c r="BF305" s="1192"/>
      <c r="BG305" s="1192"/>
      <c r="BH305" s="1192"/>
      <c r="BI305" s="1192"/>
      <c r="BJ305" s="1192"/>
      <c r="BK305" s="1192"/>
      <c r="BL305" s="1192"/>
      <c r="BM305" s="1192"/>
      <c r="BN305" s="1192"/>
      <c r="BO305" s="1192"/>
      <c r="BP305" s="1192"/>
      <c r="BQ305" s="1192"/>
      <c r="BR305" s="1192"/>
      <c r="BS305" s="1192"/>
      <c r="BT305" s="1192"/>
    </row>
    <row r="306" spans="2:72" ht="12.95" customHeight="1">
      <c r="B306" s="3" t="s">
        <v>470</v>
      </c>
      <c r="C306" s="3"/>
      <c r="D306" s="3"/>
      <c r="E306" s="3"/>
      <c r="F306" s="3"/>
      <c r="H306" s="1496" t="s">
        <v>2670</v>
      </c>
      <c r="I306" s="1496"/>
      <c r="J306" s="1496"/>
      <c r="K306" s="1496"/>
      <c r="L306" s="1496"/>
      <c r="M306" s="1496"/>
      <c r="N306" s="1496"/>
      <c r="O306" s="1496"/>
      <c r="P306" s="1496"/>
      <c r="Q306" s="1496"/>
      <c r="R306" s="1496"/>
      <c r="T306" s="3" t="s">
        <v>75</v>
      </c>
      <c r="V306" s="3"/>
      <c r="W306" s="3"/>
      <c r="X306" s="3"/>
      <c r="Y306" s="3"/>
      <c r="AA306" s="1496" t="s">
        <v>2713</v>
      </c>
      <c r="AB306" s="1496"/>
      <c r="AC306" s="1496"/>
      <c r="AD306" s="1496"/>
      <c r="AE306" s="1496"/>
      <c r="AF306" s="1496"/>
      <c r="AG306" s="1496"/>
      <c r="AH306" s="1496"/>
      <c r="AI306" s="1496"/>
      <c r="AJ306" s="1496"/>
      <c r="AK306" s="1496"/>
      <c r="AX306" s="1192"/>
      <c r="AY306" s="1192"/>
      <c r="AZ306" s="1192"/>
      <c r="BA306" s="1192"/>
      <c r="BB306" s="1192"/>
      <c r="BC306" s="1192"/>
      <c r="BD306" s="1192"/>
      <c r="BE306" s="1192"/>
      <c r="BF306" s="1192"/>
      <c r="BG306" s="1192"/>
      <c r="BH306" s="1192"/>
      <c r="BI306" s="1192"/>
      <c r="BJ306" s="1192"/>
      <c r="BK306" s="1192"/>
      <c r="BL306" s="1192"/>
      <c r="BM306" s="1192"/>
      <c r="BN306" s="1192"/>
      <c r="BO306" s="1192"/>
      <c r="BP306" s="1192"/>
      <c r="BQ306" s="1192"/>
      <c r="BR306" s="1192"/>
      <c r="BS306" s="1192"/>
      <c r="BT306" s="1192"/>
    </row>
    <row r="307" spans="2:72" ht="12.95" customHeight="1">
      <c r="B307" s="3" t="s">
        <v>87</v>
      </c>
      <c r="C307" s="3"/>
      <c r="D307" s="3"/>
      <c r="E307" s="3"/>
      <c r="F307" s="3"/>
      <c r="H307" s="1496" t="s">
        <v>2668</v>
      </c>
      <c r="I307" s="1496"/>
      <c r="J307" s="1496"/>
      <c r="K307" s="1496"/>
      <c r="L307" s="1496"/>
      <c r="M307" s="1496"/>
      <c r="N307" s="1496"/>
      <c r="O307" s="1496"/>
      <c r="P307" s="1496"/>
      <c r="Q307" s="1496"/>
      <c r="R307" s="1496"/>
      <c r="T307" s="3" t="s">
        <v>87</v>
      </c>
      <c r="V307" s="3"/>
      <c r="W307" s="3"/>
      <c r="X307" s="3"/>
      <c r="Y307" s="3"/>
      <c r="AA307" s="1496" t="s">
        <v>2714</v>
      </c>
      <c r="AB307" s="1496"/>
      <c r="AC307" s="1496"/>
      <c r="AD307" s="1496"/>
      <c r="AE307" s="1496"/>
      <c r="AF307" s="1496"/>
      <c r="AG307" s="1496"/>
      <c r="AH307" s="1496"/>
      <c r="AI307" s="1496"/>
      <c r="AJ307" s="1496"/>
      <c r="AK307" s="1496"/>
    </row>
    <row r="308" spans="2:72" ht="12.95" customHeight="1">
      <c r="B308" s="3" t="s">
        <v>88</v>
      </c>
      <c r="C308" s="3"/>
      <c r="D308" s="3"/>
      <c r="E308" s="3"/>
      <c r="F308" s="3"/>
      <c r="G308" s="3"/>
      <c r="H308" s="1520" t="s">
        <v>2672</v>
      </c>
      <c r="I308" s="1521"/>
      <c r="J308" s="1521"/>
      <c r="K308" s="1521"/>
      <c r="L308" s="1521"/>
      <c r="M308" s="1521"/>
      <c r="N308" s="4" t="s">
        <v>205</v>
      </c>
      <c r="O308" s="4"/>
      <c r="P308" s="1490" t="s">
        <v>589</v>
      </c>
      <c r="Q308" s="1515"/>
      <c r="R308" s="1515"/>
      <c r="S308" s="3"/>
      <c r="T308" s="3" t="s">
        <v>88</v>
      </c>
      <c r="V308" s="3"/>
      <c r="W308" s="3"/>
      <c r="X308" s="3"/>
      <c r="Y308" s="3"/>
      <c r="AA308" s="1520" t="s">
        <v>2759</v>
      </c>
      <c r="AB308" s="1521"/>
      <c r="AC308" s="1521"/>
      <c r="AD308" s="1521"/>
      <c r="AE308" s="1521"/>
      <c r="AF308" s="1521"/>
      <c r="AG308" s="4" t="s">
        <v>205</v>
      </c>
      <c r="AH308" s="4"/>
      <c r="AI308" s="1490" t="s">
        <v>589</v>
      </c>
      <c r="AJ308" s="1515"/>
      <c r="AK308" s="1515"/>
    </row>
    <row r="309" spans="2:72" ht="12.95" customHeight="1">
      <c r="B309" s="3" t="s">
        <v>89</v>
      </c>
      <c r="C309" s="3"/>
      <c r="D309" s="3"/>
      <c r="E309" s="3"/>
      <c r="F309" s="3"/>
      <c r="G309" s="3"/>
      <c r="H309" s="1473" t="s">
        <v>2674</v>
      </c>
      <c r="I309" s="1474"/>
      <c r="J309" s="1474"/>
      <c r="K309" s="1474"/>
      <c r="L309" s="1474"/>
      <c r="M309" s="1474"/>
      <c r="N309" s="4"/>
      <c r="O309" s="4"/>
      <c r="P309" s="35"/>
      <c r="Q309" s="35"/>
      <c r="R309" s="35"/>
      <c r="S309" s="3"/>
      <c r="T309" s="3" t="s">
        <v>89</v>
      </c>
      <c r="V309" s="3"/>
      <c r="W309" s="3"/>
      <c r="X309" s="3"/>
      <c r="Y309" s="3"/>
      <c r="AA309" s="1473" t="s">
        <v>2715</v>
      </c>
      <c r="AB309" s="1474"/>
      <c r="AC309" s="1474"/>
      <c r="AD309" s="1474"/>
      <c r="AE309" s="1474"/>
      <c r="AF309" s="1474"/>
      <c r="AG309" s="4"/>
      <c r="AH309" s="4"/>
      <c r="AI309" s="35"/>
      <c r="AJ309" s="35"/>
      <c r="AK309" s="35"/>
    </row>
    <row r="310" spans="2:72" ht="12.95" customHeight="1">
      <c r="B310" s="3" t="s">
        <v>76</v>
      </c>
      <c r="C310" s="3"/>
      <c r="D310" s="3"/>
      <c r="E310" s="3"/>
      <c r="F310" s="3"/>
      <c r="G310" s="3"/>
      <c r="H310" s="1496" t="s">
        <v>2673</v>
      </c>
      <c r="I310" s="1496"/>
      <c r="J310" s="1496"/>
      <c r="K310" s="1496"/>
      <c r="L310" s="1496"/>
      <c r="M310" s="1496"/>
      <c r="N310" s="1472"/>
      <c r="O310" s="1472"/>
      <c r="P310" s="1472"/>
      <c r="Q310" s="1472"/>
      <c r="R310" s="1472"/>
      <c r="S310" s="3"/>
      <c r="T310" s="3" t="s">
        <v>76</v>
      </c>
      <c r="V310" s="3"/>
      <c r="W310" s="3"/>
      <c r="X310" s="3"/>
      <c r="Y310" s="3"/>
      <c r="AA310" s="1496" t="s">
        <v>2716</v>
      </c>
      <c r="AB310" s="1496"/>
      <c r="AC310" s="1496"/>
      <c r="AD310" s="1496"/>
      <c r="AE310" s="1496"/>
      <c r="AF310" s="1496"/>
      <c r="AG310" s="1472"/>
      <c r="AH310" s="1472"/>
      <c r="AI310" s="1472"/>
      <c r="AJ310" s="1472"/>
      <c r="AK310" s="1472"/>
    </row>
    <row r="311" spans="2:72" ht="12.95" customHeight="1"/>
    <row r="312" spans="2:72" ht="12.95" customHeight="1">
      <c r="B312" s="3" t="s">
        <v>77</v>
      </c>
      <c r="C312" s="3"/>
      <c r="D312" s="3"/>
      <c r="E312" s="3"/>
      <c r="F312" s="3"/>
      <c r="H312" s="1472" t="s">
        <v>2671</v>
      </c>
      <c r="I312" s="1472"/>
      <c r="J312" s="1472"/>
      <c r="K312" s="1472"/>
      <c r="L312" s="1472"/>
      <c r="M312" s="1472"/>
      <c r="N312" s="1472"/>
      <c r="O312" s="1472"/>
      <c r="P312" s="1472"/>
      <c r="Q312" s="1472"/>
      <c r="R312" s="1472"/>
      <c r="T312" s="4" t="s">
        <v>876</v>
      </c>
      <c r="V312" s="3"/>
      <c r="W312" s="3"/>
      <c r="X312" s="3"/>
      <c r="Y312" s="3"/>
      <c r="AA312" s="1472" t="s">
        <v>2680</v>
      </c>
      <c r="AB312" s="1472"/>
      <c r="AC312" s="1472"/>
      <c r="AD312" s="1472"/>
      <c r="AE312" s="1472"/>
      <c r="AF312" s="1472"/>
      <c r="AG312" s="1472"/>
      <c r="AH312" s="1472"/>
      <c r="AI312" s="1472"/>
      <c r="AJ312" s="1472"/>
      <c r="AK312" s="1472"/>
    </row>
    <row r="313" spans="2:72" ht="12.95" customHeight="1">
      <c r="B313" s="3" t="s">
        <v>469</v>
      </c>
      <c r="C313" s="3"/>
      <c r="D313" s="3"/>
      <c r="E313" s="3"/>
      <c r="F313" s="3"/>
      <c r="H313" s="1496" t="s">
        <v>2669</v>
      </c>
      <c r="I313" s="1496"/>
      <c r="J313" s="1496"/>
      <c r="K313" s="1496"/>
      <c r="L313" s="1496"/>
      <c r="M313" s="1496"/>
      <c r="N313" s="1496"/>
      <c r="O313" s="1496"/>
      <c r="P313" s="1496"/>
      <c r="Q313" s="1496"/>
      <c r="R313" s="1496"/>
      <c r="T313" s="3" t="s">
        <v>469</v>
      </c>
      <c r="V313" s="3"/>
      <c r="W313" s="3"/>
      <c r="X313" s="3"/>
      <c r="Y313" s="3"/>
      <c r="AA313" s="1496" t="s">
        <v>2681</v>
      </c>
      <c r="AB313" s="1496"/>
      <c r="AC313" s="1496"/>
      <c r="AD313" s="1496"/>
      <c r="AE313" s="1496"/>
      <c r="AF313" s="1496"/>
      <c r="AG313" s="1496"/>
      <c r="AH313" s="1496"/>
      <c r="AI313" s="1496"/>
      <c r="AJ313" s="1496"/>
      <c r="AK313" s="1496"/>
    </row>
    <row r="314" spans="2:72" ht="12.95" customHeight="1">
      <c r="B314" s="3" t="s">
        <v>470</v>
      </c>
      <c r="C314" s="3"/>
      <c r="D314" s="3"/>
      <c r="E314" s="3"/>
      <c r="F314" s="3"/>
      <c r="H314" s="1496" t="s">
        <v>2670</v>
      </c>
      <c r="I314" s="1496"/>
      <c r="J314" s="1496"/>
      <c r="K314" s="1496"/>
      <c r="L314" s="1496"/>
      <c r="M314" s="1496"/>
      <c r="N314" s="1496"/>
      <c r="O314" s="1496"/>
      <c r="P314" s="1496"/>
      <c r="Q314" s="1496"/>
      <c r="R314" s="1496"/>
      <c r="T314" s="3" t="s">
        <v>75</v>
      </c>
      <c r="V314" s="3"/>
      <c r="W314" s="3"/>
      <c r="X314" s="3"/>
      <c r="Y314" s="3"/>
      <c r="AA314" s="1496" t="s">
        <v>2682</v>
      </c>
      <c r="AB314" s="1496"/>
      <c r="AC314" s="1496"/>
      <c r="AD314" s="1496"/>
      <c r="AE314" s="1496"/>
      <c r="AF314" s="1496"/>
      <c r="AG314" s="1496"/>
      <c r="AH314" s="1496"/>
      <c r="AI314" s="1496"/>
      <c r="AJ314" s="1496"/>
      <c r="AK314" s="1496"/>
    </row>
    <row r="315" spans="2:72" ht="12.95" customHeight="1">
      <c r="B315" s="3" t="s">
        <v>87</v>
      </c>
      <c r="C315" s="3"/>
      <c r="D315" s="3"/>
      <c r="E315" s="3"/>
      <c r="F315" s="3"/>
      <c r="H315" s="1496" t="s">
        <v>2668</v>
      </c>
      <c r="I315" s="1496"/>
      <c r="J315" s="1496"/>
      <c r="K315" s="1496"/>
      <c r="L315" s="1496"/>
      <c r="M315" s="1496"/>
      <c r="N315" s="1496"/>
      <c r="O315" s="1496"/>
      <c r="P315" s="1496"/>
      <c r="Q315" s="1496"/>
      <c r="R315" s="1496"/>
      <c r="T315" s="3" t="s">
        <v>87</v>
      </c>
      <c r="V315" s="3"/>
      <c r="W315" s="3"/>
      <c r="X315" s="3"/>
      <c r="Y315" s="3"/>
      <c r="AA315" s="1496" t="s">
        <v>2683</v>
      </c>
      <c r="AB315" s="1496"/>
      <c r="AC315" s="1496"/>
      <c r="AD315" s="1496"/>
      <c r="AE315" s="1496"/>
      <c r="AF315" s="1496"/>
      <c r="AG315" s="1496"/>
      <c r="AH315" s="1496"/>
      <c r="AI315" s="1496"/>
      <c r="AJ315" s="1496"/>
      <c r="AK315" s="1496"/>
    </row>
    <row r="316" spans="2:72" ht="12.95" customHeight="1">
      <c r="B316" s="3" t="s">
        <v>88</v>
      </c>
      <c r="C316" s="3"/>
      <c r="D316" s="3"/>
      <c r="E316" s="3"/>
      <c r="F316" s="3"/>
      <c r="G316" s="3"/>
      <c r="H316" s="1521" t="s">
        <v>2672</v>
      </c>
      <c r="I316" s="1521"/>
      <c r="J316" s="1521"/>
      <c r="K316" s="1521"/>
      <c r="L316" s="1521"/>
      <c r="M316" s="1521"/>
      <c r="N316" s="4" t="s">
        <v>205</v>
      </c>
      <c r="O316" s="4"/>
      <c r="P316" s="1490" t="s">
        <v>589</v>
      </c>
      <c r="Q316" s="1515"/>
      <c r="R316" s="1515"/>
      <c r="S316" s="3"/>
      <c r="T316" s="3" t="s">
        <v>88</v>
      </c>
      <c r="V316" s="3"/>
      <c r="W316" s="3"/>
      <c r="X316" s="3"/>
      <c r="Y316" s="3"/>
      <c r="AA316" s="1520" t="s">
        <v>2684</v>
      </c>
      <c r="AB316" s="1521"/>
      <c r="AC316" s="1521"/>
      <c r="AD316" s="1521"/>
      <c r="AE316" s="1521"/>
      <c r="AF316" s="1521"/>
      <c r="AG316" s="4" t="s">
        <v>205</v>
      </c>
      <c r="AH316" s="4"/>
      <c r="AI316" s="1490" t="s">
        <v>589</v>
      </c>
      <c r="AJ316" s="1515"/>
      <c r="AK316" s="1515"/>
    </row>
    <row r="317" spans="2:72" ht="12.95" customHeight="1">
      <c r="B317" s="3" t="s">
        <v>89</v>
      </c>
      <c r="C317" s="3"/>
      <c r="D317" s="3"/>
      <c r="E317" s="3"/>
      <c r="F317" s="3"/>
      <c r="G317" s="3"/>
      <c r="H317" s="1474" t="s">
        <v>2674</v>
      </c>
      <c r="I317" s="1474"/>
      <c r="J317" s="1474"/>
      <c r="K317" s="1474"/>
      <c r="L317" s="1474"/>
      <c r="M317" s="1474"/>
      <c r="N317" s="4"/>
      <c r="O317" s="4"/>
      <c r="P317" s="35"/>
      <c r="Q317" s="35"/>
      <c r="R317" s="35"/>
      <c r="S317" s="3"/>
      <c r="T317" s="3" t="s">
        <v>89</v>
      </c>
      <c r="V317" s="3"/>
      <c r="W317" s="3"/>
      <c r="X317" s="3"/>
      <c r="Y317" s="3"/>
      <c r="AA317" s="1473" t="s">
        <v>589</v>
      </c>
      <c r="AB317" s="1474"/>
      <c r="AC317" s="1474"/>
      <c r="AD317" s="1474"/>
      <c r="AE317" s="1474"/>
      <c r="AF317" s="1474"/>
      <c r="AG317" s="4"/>
      <c r="AH317" s="4"/>
      <c r="AI317" s="35"/>
      <c r="AJ317" s="35"/>
      <c r="AK317" s="35"/>
    </row>
    <row r="318" spans="2:72" ht="12.95" customHeight="1">
      <c r="B318" s="3" t="s">
        <v>76</v>
      </c>
      <c r="C318" s="3"/>
      <c r="D318" s="3"/>
      <c r="E318" s="3"/>
      <c r="F318" s="3"/>
      <c r="G318" s="3"/>
      <c r="H318" s="1496" t="s">
        <v>2673</v>
      </c>
      <c r="I318" s="1496"/>
      <c r="J318" s="1496"/>
      <c r="K318" s="1496"/>
      <c r="L318" s="1496"/>
      <c r="M318" s="1496"/>
      <c r="N318" s="1472"/>
      <c r="O318" s="1472"/>
      <c r="P318" s="1472"/>
      <c r="Q318" s="1472"/>
      <c r="R318" s="1472"/>
      <c r="S318" s="3"/>
      <c r="T318" s="3" t="s">
        <v>76</v>
      </c>
      <c r="V318" s="3"/>
      <c r="W318" s="3"/>
      <c r="X318" s="3"/>
      <c r="Y318" s="3"/>
      <c r="AA318" s="1496" t="s">
        <v>2685</v>
      </c>
      <c r="AB318" s="1496"/>
      <c r="AC318" s="1496"/>
      <c r="AD318" s="1496"/>
      <c r="AE318" s="1496"/>
      <c r="AF318" s="1496"/>
      <c r="AG318" s="1472"/>
      <c r="AH318" s="1472"/>
      <c r="AI318" s="1472"/>
      <c r="AJ318" s="1472"/>
      <c r="AK318" s="147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472" t="s">
        <v>2647</v>
      </c>
      <c r="I320" s="1472"/>
      <c r="J320" s="1472"/>
      <c r="K320" s="1472"/>
      <c r="L320" s="1472"/>
      <c r="M320" s="1472"/>
      <c r="N320" s="1472"/>
      <c r="O320" s="1472"/>
      <c r="P320" s="1472"/>
      <c r="Q320" s="1472"/>
      <c r="R320" s="1472"/>
      <c r="S320" s="3"/>
      <c r="T320" s="3" t="s">
        <v>364</v>
      </c>
      <c r="V320" s="3"/>
      <c r="W320" s="3"/>
      <c r="X320" s="3"/>
      <c r="Y320" s="3"/>
      <c r="AA320" s="1472" t="s">
        <v>2717</v>
      </c>
      <c r="AB320" s="1472"/>
      <c r="AC320" s="1472"/>
      <c r="AD320" s="1472"/>
      <c r="AE320" s="1472"/>
      <c r="AF320" s="1472"/>
      <c r="AG320" s="1472"/>
      <c r="AH320" s="1472"/>
      <c r="AI320" s="1472"/>
      <c r="AJ320" s="1472"/>
      <c r="AK320" s="1472"/>
    </row>
    <row r="321" spans="2:37" ht="12.95" customHeight="1">
      <c r="B321" s="3" t="s">
        <v>469</v>
      </c>
      <c r="C321" s="3"/>
      <c r="D321" s="3"/>
      <c r="E321" s="3"/>
      <c r="F321" s="3"/>
      <c r="H321" s="1496" t="s">
        <v>2648</v>
      </c>
      <c r="I321" s="1496"/>
      <c r="J321" s="1496"/>
      <c r="K321" s="1496"/>
      <c r="L321" s="1496"/>
      <c r="M321" s="1496"/>
      <c r="N321" s="1496"/>
      <c r="O321" s="1496"/>
      <c r="P321" s="1496"/>
      <c r="Q321" s="1496"/>
      <c r="R321" s="1496"/>
      <c r="S321" s="3"/>
      <c r="T321" s="3" t="s">
        <v>469</v>
      </c>
      <c r="V321" s="3"/>
      <c r="W321" s="3"/>
      <c r="X321" s="3"/>
      <c r="Y321" s="3"/>
      <c r="AA321" s="1496" t="s">
        <v>2718</v>
      </c>
      <c r="AB321" s="1496"/>
      <c r="AC321" s="1496"/>
      <c r="AD321" s="1496"/>
      <c r="AE321" s="1496"/>
      <c r="AF321" s="1496"/>
      <c r="AG321" s="1496"/>
      <c r="AH321" s="1496"/>
      <c r="AI321" s="1496"/>
      <c r="AJ321" s="1496"/>
      <c r="AK321" s="1496"/>
    </row>
    <row r="322" spans="2:37" ht="12.95" customHeight="1">
      <c r="B322" s="3" t="s">
        <v>470</v>
      </c>
      <c r="C322" s="3"/>
      <c r="D322" s="3"/>
      <c r="E322" s="3"/>
      <c r="F322" s="3"/>
      <c r="H322" s="1496" t="s">
        <v>2649</v>
      </c>
      <c r="I322" s="1496"/>
      <c r="J322" s="1496"/>
      <c r="K322" s="1496"/>
      <c r="L322" s="1496"/>
      <c r="M322" s="1496"/>
      <c r="N322" s="1496"/>
      <c r="O322" s="1496"/>
      <c r="P322" s="1496"/>
      <c r="Q322" s="1496"/>
      <c r="R322" s="1496"/>
      <c r="S322" s="3"/>
      <c r="T322" s="3" t="s">
        <v>75</v>
      </c>
      <c r="V322" s="3"/>
      <c r="W322" s="3"/>
      <c r="X322" s="3"/>
      <c r="Y322" s="3"/>
      <c r="AA322" s="1496" t="s">
        <v>2719</v>
      </c>
      <c r="AB322" s="1496"/>
      <c r="AC322" s="1496"/>
      <c r="AD322" s="1496"/>
      <c r="AE322" s="1496"/>
      <c r="AF322" s="1496"/>
      <c r="AG322" s="1496"/>
      <c r="AH322" s="1496"/>
      <c r="AI322" s="1496"/>
      <c r="AJ322" s="1496"/>
      <c r="AK322" s="1496"/>
    </row>
    <row r="323" spans="2:37" ht="12.95" customHeight="1">
      <c r="B323" s="3" t="s">
        <v>87</v>
      </c>
      <c r="C323" s="3"/>
      <c r="D323" s="3"/>
      <c r="E323" s="3"/>
      <c r="F323" s="3"/>
      <c r="H323" s="1496" t="s">
        <v>2650</v>
      </c>
      <c r="I323" s="1496"/>
      <c r="J323" s="1496"/>
      <c r="K323" s="1496"/>
      <c r="L323" s="1496"/>
      <c r="M323" s="1496"/>
      <c r="N323" s="1496"/>
      <c r="O323" s="1496"/>
      <c r="P323" s="1496"/>
      <c r="Q323" s="1496"/>
      <c r="R323" s="1496"/>
      <c r="S323" s="3"/>
      <c r="T323" s="3" t="s">
        <v>87</v>
      </c>
      <c r="V323" s="3"/>
      <c r="W323" s="3"/>
      <c r="X323" s="3"/>
      <c r="Y323" s="3"/>
      <c r="AA323" s="1496" t="s">
        <v>2720</v>
      </c>
      <c r="AB323" s="1496"/>
      <c r="AC323" s="1496"/>
      <c r="AD323" s="1496"/>
      <c r="AE323" s="1496"/>
      <c r="AF323" s="1496"/>
      <c r="AG323" s="1496"/>
      <c r="AH323" s="1496"/>
      <c r="AI323" s="1496"/>
      <c r="AJ323" s="1496"/>
      <c r="AK323" s="1496"/>
    </row>
    <row r="324" spans="2:37" ht="12.95" customHeight="1">
      <c r="B324" s="3" t="s">
        <v>88</v>
      </c>
      <c r="C324" s="3"/>
      <c r="D324" s="3"/>
      <c r="E324" s="3"/>
      <c r="F324" s="3"/>
      <c r="G324" s="3"/>
      <c r="H324" s="1521" t="s">
        <v>2651</v>
      </c>
      <c r="I324" s="1521"/>
      <c r="J324" s="1521"/>
      <c r="K324" s="1521"/>
      <c r="L324" s="1521"/>
      <c r="M324" s="1521"/>
      <c r="N324" s="4" t="s">
        <v>205</v>
      </c>
      <c r="O324" s="4"/>
      <c r="P324" s="1490" t="s">
        <v>589</v>
      </c>
      <c r="Q324" s="1515"/>
      <c r="R324" s="1515"/>
      <c r="S324" s="3"/>
      <c r="T324" s="3" t="s">
        <v>88</v>
      </c>
      <c r="V324" s="3"/>
      <c r="W324" s="3"/>
      <c r="X324" s="3"/>
      <c r="Y324" s="3"/>
      <c r="AA324" s="1520" t="s">
        <v>2721</v>
      </c>
      <c r="AB324" s="1521"/>
      <c r="AC324" s="1521"/>
      <c r="AD324" s="1521"/>
      <c r="AE324" s="1521"/>
      <c r="AF324" s="1521"/>
      <c r="AG324" s="4" t="s">
        <v>205</v>
      </c>
      <c r="AH324" s="4"/>
      <c r="AI324" s="1490" t="s">
        <v>589</v>
      </c>
      <c r="AJ324" s="1515"/>
      <c r="AK324" s="1515"/>
    </row>
    <row r="325" spans="2:37" ht="12.95" customHeight="1">
      <c r="B325" s="3" t="s">
        <v>89</v>
      </c>
      <c r="C325" s="3"/>
      <c r="D325" s="3"/>
      <c r="E325" s="3"/>
      <c r="F325" s="3"/>
      <c r="G325" s="3"/>
      <c r="H325" s="1474" t="s">
        <v>2652</v>
      </c>
      <c r="I325" s="1474"/>
      <c r="J325" s="1474"/>
      <c r="K325" s="1474"/>
      <c r="L325" s="1474"/>
      <c r="M325" s="1474"/>
      <c r="N325" s="4"/>
      <c r="O325" s="4"/>
      <c r="P325" s="35"/>
      <c r="Q325" s="35"/>
      <c r="R325" s="35"/>
      <c r="S325" s="3"/>
      <c r="T325" s="3" t="s">
        <v>89</v>
      </c>
      <c r="V325" s="3"/>
      <c r="W325" s="3"/>
      <c r="X325" s="3"/>
      <c r="Y325" s="3"/>
      <c r="AA325" s="1473" t="s">
        <v>589</v>
      </c>
      <c r="AB325" s="1474"/>
      <c r="AC325" s="1474"/>
      <c r="AD325" s="1474"/>
      <c r="AE325" s="1474"/>
      <c r="AF325" s="1474"/>
      <c r="AG325" s="4"/>
      <c r="AH325" s="4"/>
      <c r="AI325" s="35"/>
      <c r="AJ325" s="35"/>
      <c r="AK325" s="35"/>
    </row>
    <row r="326" spans="2:37" ht="12.95" customHeight="1">
      <c r="B326" s="3" t="s">
        <v>76</v>
      </c>
      <c r="C326" s="3"/>
      <c r="D326" s="3"/>
      <c r="E326" s="3"/>
      <c r="F326" s="3"/>
      <c r="G326" s="3"/>
      <c r="H326" s="1496" t="s">
        <v>2653</v>
      </c>
      <c r="I326" s="1496"/>
      <c r="J326" s="1496"/>
      <c r="K326" s="1496"/>
      <c r="L326" s="1496"/>
      <c r="M326" s="1496"/>
      <c r="N326" s="1472"/>
      <c r="O326" s="1472"/>
      <c r="P326" s="1472"/>
      <c r="Q326" s="1472"/>
      <c r="R326" s="1472"/>
      <c r="S326" s="3"/>
      <c r="T326" s="3" t="s">
        <v>76</v>
      </c>
      <c r="V326" s="3"/>
      <c r="W326" s="3"/>
      <c r="X326" s="3"/>
      <c r="Y326" s="3"/>
      <c r="AA326" s="1496" t="s">
        <v>2722</v>
      </c>
      <c r="AB326" s="1496"/>
      <c r="AC326" s="1496"/>
      <c r="AD326" s="1496"/>
      <c r="AE326" s="1496"/>
      <c r="AF326" s="1496"/>
      <c r="AG326" s="1472"/>
      <c r="AH326" s="1472"/>
      <c r="AI326" s="1472"/>
      <c r="AJ326" s="1472"/>
      <c r="AK326" s="1472"/>
    </row>
    <row r="327" spans="2:37" ht="12.95" customHeight="1"/>
    <row r="328" spans="2:37" ht="12.95" customHeight="1">
      <c r="B328" s="4" t="s">
        <v>906</v>
      </c>
      <c r="C328" s="3"/>
      <c r="D328" s="3"/>
      <c r="E328" s="3"/>
      <c r="F328" s="3"/>
      <c r="H328" s="1472" t="s">
        <v>2686</v>
      </c>
      <c r="I328" s="1472"/>
      <c r="J328" s="1472"/>
      <c r="K328" s="1472"/>
      <c r="L328" s="1472"/>
      <c r="M328" s="1472"/>
      <c r="N328" s="1472"/>
      <c r="O328" s="1472"/>
      <c r="P328" s="1472"/>
      <c r="Q328" s="1472"/>
      <c r="R328" s="1472"/>
      <c r="T328" s="3" t="s">
        <v>365</v>
      </c>
      <c r="V328" s="3"/>
      <c r="W328" s="3"/>
      <c r="X328" s="3"/>
      <c r="Y328" s="3"/>
      <c r="AA328" s="1472" t="s">
        <v>2687</v>
      </c>
      <c r="AB328" s="1472"/>
      <c r="AC328" s="1472"/>
      <c r="AD328" s="1472"/>
      <c r="AE328" s="1472"/>
      <c r="AF328" s="1472"/>
      <c r="AG328" s="1472"/>
      <c r="AH328" s="1472"/>
      <c r="AI328" s="1472"/>
      <c r="AJ328" s="1472"/>
      <c r="AK328" s="1472"/>
    </row>
    <row r="329" spans="2:37" ht="12.95" customHeight="1">
      <c r="B329" s="3" t="s">
        <v>469</v>
      </c>
      <c r="C329" s="3"/>
      <c r="D329" s="3"/>
      <c r="E329" s="3"/>
      <c r="F329" s="3"/>
      <c r="H329" s="1496" t="s">
        <v>2696</v>
      </c>
      <c r="I329" s="1496"/>
      <c r="J329" s="1496"/>
      <c r="K329" s="1496"/>
      <c r="L329" s="1496"/>
      <c r="M329" s="1496"/>
      <c r="N329" s="1496"/>
      <c r="O329" s="1496"/>
      <c r="P329" s="1496"/>
      <c r="Q329" s="1496"/>
      <c r="R329" s="1496"/>
      <c r="T329" s="3" t="s">
        <v>469</v>
      </c>
      <c r="V329" s="3"/>
      <c r="W329" s="3"/>
      <c r="X329" s="3"/>
      <c r="Y329" s="3"/>
      <c r="AA329" s="1496" t="s">
        <v>2688</v>
      </c>
      <c r="AB329" s="1496"/>
      <c r="AC329" s="1496"/>
      <c r="AD329" s="1496"/>
      <c r="AE329" s="1496"/>
      <c r="AF329" s="1496"/>
      <c r="AG329" s="1496"/>
      <c r="AH329" s="1496"/>
      <c r="AI329" s="1496"/>
      <c r="AJ329" s="1496"/>
      <c r="AK329" s="1496"/>
    </row>
    <row r="330" spans="2:37" ht="12.95" customHeight="1">
      <c r="B330" s="3" t="s">
        <v>470</v>
      </c>
      <c r="C330" s="3"/>
      <c r="D330" s="3"/>
      <c r="E330" s="3"/>
      <c r="F330" s="3"/>
      <c r="H330" s="1496" t="s">
        <v>2697</v>
      </c>
      <c r="I330" s="1496"/>
      <c r="J330" s="1496"/>
      <c r="K330" s="1496"/>
      <c r="L330" s="1496"/>
      <c r="M330" s="1496"/>
      <c r="N330" s="1496"/>
      <c r="O330" s="1496"/>
      <c r="P330" s="1496"/>
      <c r="Q330" s="1496"/>
      <c r="R330" s="1496"/>
      <c r="T330" s="3" t="s">
        <v>75</v>
      </c>
      <c r="V330" s="3"/>
      <c r="W330" s="3"/>
      <c r="X330" s="3"/>
      <c r="Y330" s="3"/>
      <c r="AA330" s="1496" t="s">
        <v>2689</v>
      </c>
      <c r="AB330" s="1496"/>
      <c r="AC330" s="1496"/>
      <c r="AD330" s="1496"/>
      <c r="AE330" s="1496"/>
      <c r="AF330" s="1496"/>
      <c r="AG330" s="1496"/>
      <c r="AH330" s="1496"/>
      <c r="AI330" s="1496"/>
      <c r="AJ330" s="1496"/>
      <c r="AK330" s="1496"/>
    </row>
    <row r="331" spans="2:37" ht="12.95" customHeight="1">
      <c r="B331" s="3" t="s">
        <v>87</v>
      </c>
      <c r="C331" s="3"/>
      <c r="D331" s="3"/>
      <c r="E331" s="3"/>
      <c r="F331" s="3"/>
      <c r="H331" s="1496" t="s">
        <v>2693</v>
      </c>
      <c r="I331" s="1496"/>
      <c r="J331" s="1496"/>
      <c r="K331" s="1496"/>
      <c r="L331" s="1496"/>
      <c r="M331" s="1496"/>
      <c r="N331" s="1496"/>
      <c r="O331" s="1496"/>
      <c r="P331" s="1496"/>
      <c r="Q331" s="1496"/>
      <c r="R331" s="1496"/>
      <c r="T331" s="3" t="s">
        <v>87</v>
      </c>
      <c r="V331" s="3"/>
      <c r="W331" s="3"/>
      <c r="X331" s="3"/>
      <c r="Y331" s="3"/>
      <c r="AA331" s="1496" t="s">
        <v>2690</v>
      </c>
      <c r="AB331" s="1496"/>
      <c r="AC331" s="1496"/>
      <c r="AD331" s="1496"/>
      <c r="AE331" s="1496"/>
      <c r="AF331" s="1496"/>
      <c r="AG331" s="1496"/>
      <c r="AH331" s="1496"/>
      <c r="AI331" s="1496"/>
      <c r="AJ331" s="1496"/>
      <c r="AK331" s="1496"/>
    </row>
    <row r="332" spans="2:37" ht="12.95" customHeight="1">
      <c r="B332" s="3" t="s">
        <v>88</v>
      </c>
      <c r="C332" s="3"/>
      <c r="D332" s="3"/>
      <c r="E332" s="3"/>
      <c r="F332" s="3"/>
      <c r="G332" s="3"/>
      <c r="H332" s="1520" t="s">
        <v>2694</v>
      </c>
      <c r="I332" s="1521"/>
      <c r="J332" s="1521"/>
      <c r="K332" s="1521"/>
      <c r="L332" s="1521"/>
      <c r="M332" s="1521"/>
      <c r="N332" s="4" t="s">
        <v>205</v>
      </c>
      <c r="O332" s="4"/>
      <c r="P332" s="1490" t="s">
        <v>589</v>
      </c>
      <c r="Q332" s="1515"/>
      <c r="R332" s="1515"/>
      <c r="S332" s="3"/>
      <c r="T332" s="3" t="s">
        <v>88</v>
      </c>
      <c r="V332" s="3"/>
      <c r="W332" s="3"/>
      <c r="X332" s="3"/>
      <c r="Y332" s="3"/>
      <c r="AA332" s="1520" t="s">
        <v>2691</v>
      </c>
      <c r="AB332" s="1521"/>
      <c r="AC332" s="1521"/>
      <c r="AD332" s="1521"/>
      <c r="AE332" s="1521"/>
      <c r="AF332" s="1521"/>
      <c r="AG332" s="4" t="s">
        <v>205</v>
      </c>
      <c r="AH332" s="4"/>
      <c r="AI332" s="1490" t="s">
        <v>589</v>
      </c>
      <c r="AJ332" s="1515"/>
      <c r="AK332" s="1515"/>
    </row>
    <row r="333" spans="2:37" ht="12.95" customHeight="1">
      <c r="B333" s="3" t="s">
        <v>89</v>
      </c>
      <c r="C333" s="3"/>
      <c r="D333" s="3"/>
      <c r="E333" s="3"/>
      <c r="F333" s="3"/>
      <c r="G333" s="3"/>
      <c r="H333" s="1473" t="s">
        <v>589</v>
      </c>
      <c r="I333" s="1474"/>
      <c r="J333" s="1474"/>
      <c r="K333" s="1474"/>
      <c r="L333" s="1474"/>
      <c r="M333" s="1474"/>
      <c r="N333" s="4"/>
      <c r="O333" s="4"/>
      <c r="P333" s="35"/>
      <c r="Q333" s="35"/>
      <c r="R333" s="35"/>
      <c r="S333" s="3"/>
      <c r="T333" s="3" t="s">
        <v>89</v>
      </c>
      <c r="V333" s="3"/>
      <c r="W333" s="3"/>
      <c r="X333" s="3"/>
      <c r="Y333" s="3"/>
      <c r="AA333" s="1473" t="s">
        <v>589</v>
      </c>
      <c r="AB333" s="1474"/>
      <c r="AC333" s="1474"/>
      <c r="AD333" s="1474"/>
      <c r="AE333" s="1474"/>
      <c r="AF333" s="1474"/>
      <c r="AG333" s="4"/>
      <c r="AH333" s="4"/>
      <c r="AI333" s="35"/>
      <c r="AJ333" s="35"/>
      <c r="AK333" s="35"/>
    </row>
    <row r="334" spans="2:37" ht="12.95" customHeight="1">
      <c r="B334" s="3" t="s">
        <v>76</v>
      </c>
      <c r="C334" s="3"/>
      <c r="D334" s="3"/>
      <c r="E334" s="3"/>
      <c r="F334" s="3"/>
      <c r="G334" s="3"/>
      <c r="H334" s="1496" t="s">
        <v>2695</v>
      </c>
      <c r="I334" s="1496"/>
      <c r="J334" s="1496"/>
      <c r="K334" s="1496"/>
      <c r="L334" s="1496"/>
      <c r="M334" s="1496"/>
      <c r="N334" s="1472"/>
      <c r="O334" s="1472"/>
      <c r="P334" s="1472"/>
      <c r="Q334" s="1472"/>
      <c r="R334" s="1472"/>
      <c r="S334" s="3"/>
      <c r="T334" s="3" t="s">
        <v>76</v>
      </c>
      <c r="V334" s="3"/>
      <c r="W334" s="3"/>
      <c r="X334" s="3"/>
      <c r="Y334" s="3"/>
      <c r="AA334" s="1496" t="s">
        <v>2692</v>
      </c>
      <c r="AB334" s="1496"/>
      <c r="AC334" s="1496"/>
      <c r="AD334" s="1496"/>
      <c r="AE334" s="1496"/>
      <c r="AF334" s="1496"/>
      <c r="AG334" s="1472"/>
      <c r="AH334" s="1472"/>
      <c r="AI334" s="1472"/>
      <c r="AJ334" s="1472"/>
      <c r="AK334" s="147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72" t="s">
        <v>2699</v>
      </c>
      <c r="I336" s="1472"/>
      <c r="J336" s="1472"/>
      <c r="K336" s="1472"/>
      <c r="L336" s="1472"/>
      <c r="M336" s="1472"/>
      <c r="N336" s="1472"/>
      <c r="O336" s="1472"/>
      <c r="P336" s="1472"/>
      <c r="Q336" s="1472"/>
      <c r="R336" s="1472"/>
      <c r="T336" s="3" t="s">
        <v>367</v>
      </c>
      <c r="V336" s="3"/>
      <c r="W336" s="3"/>
      <c r="X336" s="3"/>
      <c r="Y336" s="3"/>
      <c r="AA336" s="1472" t="s">
        <v>589</v>
      </c>
      <c r="AB336" s="1472"/>
      <c r="AC336" s="1472"/>
      <c r="AD336" s="1472"/>
      <c r="AE336" s="1472"/>
      <c r="AF336" s="1472"/>
      <c r="AG336" s="1472"/>
      <c r="AH336" s="1472"/>
      <c r="AI336" s="1472"/>
      <c r="AJ336" s="1472"/>
      <c r="AK336" s="1472"/>
    </row>
    <row r="337" spans="2:66" ht="12.95" customHeight="1">
      <c r="B337" s="3" t="s">
        <v>469</v>
      </c>
      <c r="C337" s="3"/>
      <c r="D337" s="3"/>
      <c r="E337" s="3"/>
      <c r="F337" s="3"/>
      <c r="H337" s="1496" t="s">
        <v>2700</v>
      </c>
      <c r="I337" s="1496"/>
      <c r="J337" s="1496"/>
      <c r="K337" s="1496"/>
      <c r="L337" s="1496"/>
      <c r="M337" s="1496"/>
      <c r="N337" s="1496"/>
      <c r="O337" s="1496"/>
      <c r="P337" s="1496"/>
      <c r="Q337" s="1496"/>
      <c r="R337" s="1496"/>
      <c r="T337" s="3" t="s">
        <v>469</v>
      </c>
      <c r="V337" s="3"/>
      <c r="W337" s="3"/>
      <c r="X337" s="3"/>
      <c r="Y337" s="3"/>
      <c r="AA337" s="1496"/>
      <c r="AB337" s="1496"/>
      <c r="AC337" s="1496"/>
      <c r="AD337" s="1496"/>
      <c r="AE337" s="1496"/>
      <c r="AF337" s="1496"/>
      <c r="AG337" s="1496"/>
      <c r="AH337" s="1496"/>
      <c r="AI337" s="1496"/>
      <c r="AJ337" s="1496"/>
      <c r="AK337" s="1496"/>
    </row>
    <row r="338" spans="2:66" ht="12.95" customHeight="1">
      <c r="B338" s="3" t="s">
        <v>470</v>
      </c>
      <c r="C338" s="3"/>
      <c r="D338" s="3"/>
      <c r="E338" s="3"/>
      <c r="F338" s="3"/>
      <c r="H338" s="1496" t="s">
        <v>2701</v>
      </c>
      <c r="I338" s="1496"/>
      <c r="J338" s="1496"/>
      <c r="K338" s="1496"/>
      <c r="L338" s="1496"/>
      <c r="M338" s="1496"/>
      <c r="N338" s="1496"/>
      <c r="O338" s="1496"/>
      <c r="P338" s="1496"/>
      <c r="Q338" s="1496"/>
      <c r="R338" s="1496"/>
      <c r="T338" s="3" t="s">
        <v>75</v>
      </c>
      <c r="V338" s="3"/>
      <c r="W338" s="3"/>
      <c r="X338" s="3"/>
      <c r="Y338" s="3"/>
      <c r="AA338" s="1496"/>
      <c r="AB338" s="1496"/>
      <c r="AC338" s="1496"/>
      <c r="AD338" s="1496"/>
      <c r="AE338" s="1496"/>
      <c r="AF338" s="1496"/>
      <c r="AG338" s="1496"/>
      <c r="AH338" s="1496"/>
      <c r="AI338" s="1496"/>
      <c r="AJ338" s="1496"/>
      <c r="AK338" s="1496"/>
    </row>
    <row r="339" spans="2:66" ht="12.95" customHeight="1">
      <c r="B339" s="3" t="s">
        <v>87</v>
      </c>
      <c r="C339" s="3"/>
      <c r="D339" s="3"/>
      <c r="E339" s="3"/>
      <c r="F339" s="3"/>
      <c r="H339" s="1496" t="s">
        <v>2702</v>
      </c>
      <c r="I339" s="1496"/>
      <c r="J339" s="1496"/>
      <c r="K339" s="1496"/>
      <c r="L339" s="1496"/>
      <c r="M339" s="1496"/>
      <c r="N339" s="1496"/>
      <c r="O339" s="1496"/>
      <c r="P339" s="1496"/>
      <c r="Q339" s="1496"/>
      <c r="R339" s="1496"/>
      <c r="T339" s="3" t="s">
        <v>87</v>
      </c>
      <c r="V339" s="3"/>
      <c r="W339" s="3"/>
      <c r="X339" s="3"/>
      <c r="Y339" s="3"/>
      <c r="AA339" s="1496"/>
      <c r="AB339" s="1496"/>
      <c r="AC339" s="1496"/>
      <c r="AD339" s="1496"/>
      <c r="AE339" s="1496"/>
      <c r="AF339" s="1496"/>
      <c r="AG339" s="1496"/>
      <c r="AH339" s="1496"/>
      <c r="AI339" s="1496"/>
      <c r="AJ339" s="1496"/>
      <c r="AK339" s="1496"/>
    </row>
    <row r="340" spans="2:66" ht="12.95" customHeight="1">
      <c r="B340" s="3" t="s">
        <v>88</v>
      </c>
      <c r="C340" s="3"/>
      <c r="D340" s="3"/>
      <c r="E340" s="3"/>
      <c r="F340" s="3"/>
      <c r="G340" s="3"/>
      <c r="H340" s="1520" t="s">
        <v>2703</v>
      </c>
      <c r="I340" s="1520"/>
      <c r="J340" s="1520"/>
      <c r="K340" s="1520"/>
      <c r="L340" s="1520"/>
      <c r="M340" s="1520"/>
      <c r="N340" s="4" t="s">
        <v>205</v>
      </c>
      <c r="O340" s="4"/>
      <c r="P340" s="1490" t="s">
        <v>589</v>
      </c>
      <c r="Q340" s="1515"/>
      <c r="R340" s="1515"/>
      <c r="S340" s="3"/>
      <c r="T340" s="3" t="s">
        <v>88</v>
      </c>
      <c r="V340" s="3"/>
      <c r="W340" s="3"/>
      <c r="X340" s="3"/>
      <c r="Y340" s="3"/>
      <c r="AA340" s="1521"/>
      <c r="AB340" s="1521"/>
      <c r="AC340" s="1521"/>
      <c r="AD340" s="1521"/>
      <c r="AE340" s="1521"/>
      <c r="AF340" s="1521"/>
      <c r="AG340" s="4" t="s">
        <v>205</v>
      </c>
      <c r="AH340" s="4"/>
      <c r="AI340" s="1515"/>
      <c r="AJ340" s="1515"/>
      <c r="AK340" s="1515"/>
    </row>
    <row r="341" spans="2:66" ht="12.95" customHeight="1">
      <c r="B341" s="3" t="s">
        <v>89</v>
      </c>
      <c r="C341" s="3"/>
      <c r="D341" s="3"/>
      <c r="E341" s="3"/>
      <c r="F341" s="3"/>
      <c r="G341" s="3"/>
      <c r="H341" s="1473" t="s">
        <v>2704</v>
      </c>
      <c r="I341" s="1473"/>
      <c r="J341" s="1473"/>
      <c r="K341" s="1473"/>
      <c r="L341" s="1473"/>
      <c r="M341" s="1473"/>
      <c r="N341" s="4"/>
      <c r="O341" s="4"/>
      <c r="P341" s="35"/>
      <c r="Q341" s="35"/>
      <c r="R341" s="35"/>
      <c r="S341" s="3"/>
      <c r="T341" s="3" t="s">
        <v>89</v>
      </c>
      <c r="V341" s="3"/>
      <c r="W341" s="3"/>
      <c r="X341" s="3"/>
      <c r="Y341" s="3"/>
      <c r="AA341" s="1474"/>
      <c r="AB341" s="1474"/>
      <c r="AC341" s="1474"/>
      <c r="AD341" s="1474"/>
      <c r="AE341" s="1474"/>
      <c r="AF341" s="1474"/>
      <c r="AG341" s="4"/>
      <c r="AH341" s="4"/>
      <c r="AI341" s="35"/>
      <c r="AJ341" s="35"/>
      <c r="AK341" s="35"/>
    </row>
    <row r="342" spans="2:66" ht="12.95" customHeight="1">
      <c r="B342" s="3" t="s">
        <v>76</v>
      </c>
      <c r="C342" s="3"/>
      <c r="D342" s="3"/>
      <c r="E342" s="3"/>
      <c r="F342" s="3"/>
      <c r="G342" s="3"/>
      <c r="H342" s="1496" t="s">
        <v>2705</v>
      </c>
      <c r="I342" s="1496"/>
      <c r="J342" s="1496"/>
      <c r="K342" s="1496"/>
      <c r="L342" s="1496"/>
      <c r="M342" s="1496"/>
      <c r="N342" s="1472"/>
      <c r="O342" s="1472"/>
      <c r="P342" s="1472"/>
      <c r="Q342" s="1472"/>
      <c r="R342" s="1472"/>
      <c r="S342" s="3"/>
      <c r="T342" s="3" t="s">
        <v>76</v>
      </c>
      <c r="V342" s="3"/>
      <c r="W342" s="3"/>
      <c r="X342" s="3"/>
      <c r="Y342" s="3"/>
      <c r="AA342" s="1496"/>
      <c r="AB342" s="1496"/>
      <c r="AC342" s="1496"/>
      <c r="AD342" s="1496"/>
      <c r="AE342" s="1496"/>
      <c r="AF342" s="1496"/>
      <c r="AG342" s="1472"/>
      <c r="AH342" s="1472"/>
      <c r="AI342" s="1472"/>
      <c r="AJ342" s="1472"/>
      <c r="AK342" s="147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72" t="s">
        <v>2723</v>
      </c>
      <c r="I344" s="1472"/>
      <c r="J344" s="1472"/>
      <c r="K344" s="1472"/>
      <c r="L344" s="1472"/>
      <c r="M344" s="1472"/>
      <c r="N344" s="1472"/>
      <c r="O344" s="1472"/>
      <c r="P344" s="1472"/>
      <c r="Q344" s="1472"/>
      <c r="R344" s="1472"/>
      <c r="T344" s="204" t="s">
        <v>884</v>
      </c>
      <c r="V344" s="3"/>
      <c r="W344" s="3"/>
      <c r="X344" s="3"/>
      <c r="Y344" s="3"/>
      <c r="AA344" s="1472" t="s">
        <v>2654</v>
      </c>
      <c r="AB344" s="1472"/>
      <c r="AC344" s="1472"/>
      <c r="AD344" s="1472"/>
      <c r="AE344" s="1472"/>
      <c r="AF344" s="1472"/>
      <c r="AG344" s="1472"/>
      <c r="AH344" s="1472"/>
      <c r="AI344" s="1472"/>
      <c r="AJ344" s="1472"/>
      <c r="AK344" s="1472"/>
    </row>
    <row r="345" spans="2:66" ht="12.95" customHeight="1">
      <c r="B345" s="3" t="s">
        <v>469</v>
      </c>
      <c r="C345" s="3"/>
      <c r="D345" s="3"/>
      <c r="E345" s="3"/>
      <c r="F345" s="3"/>
      <c r="H345" s="1496" t="s">
        <v>2727</v>
      </c>
      <c r="I345" s="1496"/>
      <c r="J345" s="1496"/>
      <c r="K345" s="1496"/>
      <c r="L345" s="1496"/>
      <c r="M345" s="1496"/>
      <c r="N345" s="1496"/>
      <c r="O345" s="1496"/>
      <c r="P345" s="1496"/>
      <c r="Q345" s="1496"/>
      <c r="R345" s="1496"/>
      <c r="T345" s="3" t="s">
        <v>469</v>
      </c>
      <c r="V345" s="3"/>
      <c r="W345" s="3"/>
      <c r="X345" s="3"/>
      <c r="Y345" s="3"/>
      <c r="AA345" s="1496" t="s">
        <v>2655</v>
      </c>
      <c r="AB345" s="1496"/>
      <c r="AC345" s="1496"/>
      <c r="AD345" s="1496"/>
      <c r="AE345" s="1496"/>
      <c r="AF345" s="1496"/>
      <c r="AG345" s="1496"/>
      <c r="AH345" s="1496"/>
      <c r="AI345" s="1496"/>
      <c r="AJ345" s="1496"/>
      <c r="AK345" s="1496"/>
    </row>
    <row r="346" spans="2:66" ht="12.95" customHeight="1">
      <c r="B346" s="3" t="s">
        <v>75</v>
      </c>
      <c r="C346" s="3"/>
      <c r="D346" s="3"/>
      <c r="E346" s="3"/>
      <c r="F346" s="3"/>
      <c r="H346" s="1496" t="s">
        <v>2728</v>
      </c>
      <c r="I346" s="1496"/>
      <c r="J346" s="1496"/>
      <c r="K346" s="1496"/>
      <c r="L346" s="1496"/>
      <c r="M346" s="1496"/>
      <c r="N346" s="1496"/>
      <c r="O346" s="1496"/>
      <c r="P346" s="1496"/>
      <c r="Q346" s="1496"/>
      <c r="R346" s="1496"/>
      <c r="T346" s="3" t="s">
        <v>75</v>
      </c>
      <c r="V346" s="3"/>
      <c r="W346" s="3"/>
      <c r="X346" s="3"/>
      <c r="Y346" s="3"/>
      <c r="AA346" s="1496" t="s">
        <v>2656</v>
      </c>
      <c r="AB346" s="1496"/>
      <c r="AC346" s="1496"/>
      <c r="AD346" s="1496"/>
      <c r="AE346" s="1496"/>
      <c r="AF346" s="1496"/>
      <c r="AG346" s="1496"/>
      <c r="AH346" s="1496"/>
      <c r="AI346" s="1496"/>
      <c r="AJ346" s="1496"/>
      <c r="AK346" s="1496"/>
    </row>
    <row r="347" spans="2:66" ht="12.95" customHeight="1">
      <c r="B347" s="3" t="s">
        <v>87</v>
      </c>
      <c r="C347" s="3"/>
      <c r="D347" s="3"/>
      <c r="E347" s="3"/>
      <c r="F347" s="3"/>
      <c r="G347" s="3"/>
      <c r="H347" s="1496" t="s">
        <v>2724</v>
      </c>
      <c r="I347" s="1496"/>
      <c r="J347" s="1496"/>
      <c r="K347" s="1496"/>
      <c r="L347" s="1496"/>
      <c r="M347" s="1496"/>
      <c r="N347" s="1496"/>
      <c r="O347" s="1496"/>
      <c r="P347" s="1496"/>
      <c r="Q347" s="1496"/>
      <c r="R347" s="1496"/>
      <c r="T347" s="3" t="s">
        <v>87</v>
      </c>
      <c r="V347" s="3"/>
      <c r="W347" s="3"/>
      <c r="X347" s="3"/>
      <c r="Y347" s="3"/>
      <c r="AA347" s="1496" t="s">
        <v>2657</v>
      </c>
      <c r="AB347" s="1496"/>
      <c r="AC347" s="1496"/>
      <c r="AD347" s="1496"/>
      <c r="AE347" s="1496"/>
      <c r="AF347" s="1496"/>
      <c r="AG347" s="1496"/>
      <c r="AH347" s="1496"/>
      <c r="AI347" s="1496"/>
      <c r="AJ347" s="1496"/>
      <c r="AK347" s="1496"/>
    </row>
    <row r="348" spans="2:66" ht="12.95" customHeight="1">
      <c r="B348" s="3" t="s">
        <v>88</v>
      </c>
      <c r="C348" s="3"/>
      <c r="D348" s="3"/>
      <c r="E348" s="3"/>
      <c r="F348" s="3"/>
      <c r="G348" s="3"/>
      <c r="H348" s="1520" t="s">
        <v>2725</v>
      </c>
      <c r="I348" s="1521"/>
      <c r="J348" s="1521"/>
      <c r="K348" s="1521"/>
      <c r="L348" s="1521"/>
      <c r="M348" s="1521"/>
      <c r="N348" s="4" t="s">
        <v>205</v>
      </c>
      <c r="O348" s="4"/>
      <c r="P348" s="1490" t="s">
        <v>589</v>
      </c>
      <c r="Q348" s="1515"/>
      <c r="R348" s="1515"/>
      <c r="S348" s="3"/>
      <c r="T348" s="3" t="s">
        <v>88</v>
      </c>
      <c r="V348" s="3"/>
      <c r="W348" s="3"/>
      <c r="X348" s="3"/>
      <c r="Y348" s="3"/>
      <c r="AA348" s="1521" t="s">
        <v>2658</v>
      </c>
      <c r="AB348" s="1521"/>
      <c r="AC348" s="1521"/>
      <c r="AD348" s="1521"/>
      <c r="AE348" s="1521"/>
      <c r="AF348" s="1521"/>
      <c r="AG348" s="4" t="s">
        <v>205</v>
      </c>
      <c r="AH348" s="4"/>
      <c r="AI348" s="1515"/>
      <c r="AJ348" s="1515"/>
      <c r="AK348" s="1515"/>
    </row>
    <row r="349" spans="2:66" ht="12.95" customHeight="1">
      <c r="B349" s="3" t="s">
        <v>89</v>
      </c>
      <c r="C349" s="3"/>
      <c r="D349" s="3"/>
      <c r="E349" s="3"/>
      <c r="F349" s="3"/>
      <c r="G349" s="3"/>
      <c r="H349" s="1473" t="s">
        <v>589</v>
      </c>
      <c r="I349" s="1474"/>
      <c r="J349" s="1474"/>
      <c r="K349" s="1474"/>
      <c r="L349" s="1474"/>
      <c r="M349" s="1474"/>
      <c r="N349" s="4"/>
      <c r="O349" s="4"/>
      <c r="P349" s="35"/>
      <c r="Q349" s="35"/>
      <c r="R349" s="35"/>
      <c r="S349" s="3"/>
      <c r="T349" s="3" t="s">
        <v>89</v>
      </c>
      <c r="V349" s="3"/>
      <c r="W349" s="3"/>
      <c r="X349" s="3"/>
      <c r="Y349" s="3"/>
      <c r="AA349" s="1474" t="s">
        <v>589</v>
      </c>
      <c r="AB349" s="1474"/>
      <c r="AC349" s="1474"/>
      <c r="AD349" s="1474"/>
      <c r="AE349" s="1474"/>
      <c r="AF349" s="1474"/>
      <c r="AG349" s="4"/>
      <c r="AH349" s="4"/>
      <c r="AI349" s="35"/>
      <c r="AJ349" s="35"/>
      <c r="AK349" s="35"/>
    </row>
    <row r="350" spans="2:66" ht="12.95" customHeight="1">
      <c r="B350" s="3" t="s">
        <v>76</v>
      </c>
      <c r="C350" s="3"/>
      <c r="D350" s="3"/>
      <c r="E350" s="3"/>
      <c r="F350" s="3"/>
      <c r="G350" s="3"/>
      <c r="H350" s="1496" t="s">
        <v>2726</v>
      </c>
      <c r="I350" s="1496"/>
      <c r="J350" s="1496"/>
      <c r="K350" s="1496"/>
      <c r="L350" s="1496"/>
      <c r="M350" s="1496"/>
      <c r="N350" s="1472"/>
      <c r="O350" s="1472"/>
      <c r="P350" s="1472"/>
      <c r="Q350" s="1472"/>
      <c r="R350" s="1472"/>
      <c r="S350" s="3"/>
      <c r="T350" s="3" t="s">
        <v>76</v>
      </c>
      <c r="V350" s="3"/>
      <c r="W350" s="3"/>
      <c r="X350" s="3"/>
      <c r="Y350" s="3"/>
      <c r="AA350" s="1496" t="s">
        <v>2659</v>
      </c>
      <c r="AB350" s="1496"/>
      <c r="AC350" s="1496"/>
      <c r="AD350" s="1496"/>
      <c r="AE350" s="1496"/>
      <c r="AF350" s="1496"/>
      <c r="AG350" s="1472"/>
      <c r="AH350" s="1472"/>
      <c r="AI350" s="1472"/>
      <c r="AJ350" s="1472"/>
      <c r="AK350" s="147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5" customHeight="1">
      <c r="B352" s="3"/>
      <c r="C352" s="4"/>
      <c r="D352" s="4"/>
      <c r="E352" s="4"/>
      <c r="F352" s="4"/>
      <c r="I352" s="204" t="s">
        <v>885</v>
      </c>
      <c r="P352" s="1472" t="s">
        <v>589</v>
      </c>
      <c r="Q352" s="1472"/>
      <c r="R352" s="1472"/>
      <c r="S352" s="1472"/>
      <c r="T352" s="1472"/>
      <c r="U352" s="1472"/>
      <c r="V352" s="1472"/>
      <c r="W352" s="1472"/>
      <c r="X352" s="1472"/>
      <c r="Y352" s="1472"/>
      <c r="Z352" s="1472"/>
      <c r="AA352" s="1472"/>
      <c r="AB352" s="1472"/>
      <c r="AC352" s="1472"/>
      <c r="AD352" s="1472"/>
      <c r="AE352" s="1472"/>
      <c r="BN352" t="s">
        <v>667</v>
      </c>
    </row>
    <row r="353" spans="1:66" ht="12.95" customHeight="1">
      <c r="B353" s="4"/>
      <c r="C353" s="4"/>
      <c r="D353" s="4"/>
      <c r="E353" s="4"/>
      <c r="F353" s="4"/>
      <c r="I353" s="4" t="s">
        <v>469</v>
      </c>
      <c r="P353" s="1496"/>
      <c r="Q353" s="1496"/>
      <c r="R353" s="1496"/>
      <c r="S353" s="1496"/>
      <c r="T353" s="1496"/>
      <c r="U353" s="1496"/>
      <c r="V353" s="1496"/>
      <c r="W353" s="1496"/>
      <c r="X353" s="1496"/>
      <c r="Y353" s="1496"/>
      <c r="Z353" s="1496"/>
      <c r="AA353" s="1496"/>
      <c r="AB353" s="1496"/>
      <c r="AC353" s="1496"/>
      <c r="AD353" s="1496"/>
      <c r="AE353" s="1496"/>
      <c r="BN353" t="s">
        <v>543</v>
      </c>
    </row>
    <row r="354" spans="1:66" ht="12.95" customHeight="1">
      <c r="B354" s="4"/>
      <c r="C354" s="4"/>
      <c r="D354" s="4"/>
      <c r="E354" s="4"/>
      <c r="F354" s="4"/>
      <c r="I354" s="4" t="s">
        <v>75</v>
      </c>
      <c r="P354" s="1496"/>
      <c r="Q354" s="1496"/>
      <c r="R354" s="1496"/>
      <c r="S354" s="1496"/>
      <c r="T354" s="1496"/>
      <c r="U354" s="1496"/>
      <c r="V354" s="1496"/>
      <c r="W354" s="1496"/>
      <c r="X354" s="1496"/>
      <c r="Y354" s="1496"/>
      <c r="Z354" s="1496"/>
      <c r="AA354" s="1496"/>
      <c r="AB354" s="1496"/>
      <c r="AC354" s="1496"/>
      <c r="AD354" s="1496"/>
      <c r="AE354" s="1496"/>
    </row>
    <row r="355" spans="1:66" ht="12.95" customHeight="1">
      <c r="B355" s="4"/>
      <c r="C355" s="4"/>
      <c r="D355" s="4"/>
      <c r="E355" s="4"/>
      <c r="F355" s="4"/>
      <c r="G355" s="4"/>
      <c r="I355" s="4" t="s">
        <v>87</v>
      </c>
      <c r="P355" s="1496"/>
      <c r="Q355" s="1496"/>
      <c r="R355" s="1496"/>
      <c r="S355" s="1496"/>
      <c r="T355" s="1496"/>
      <c r="U355" s="1496"/>
      <c r="V355" s="1496"/>
      <c r="W355" s="1496"/>
      <c r="X355" s="1496"/>
      <c r="Y355" s="1496"/>
      <c r="Z355" s="1496"/>
      <c r="AA355" s="1496"/>
      <c r="AB355" s="1496"/>
      <c r="AC355" s="1496"/>
      <c r="AD355" s="1496"/>
      <c r="AE355" s="1496"/>
    </row>
    <row r="356" spans="1:66" ht="12.95" customHeight="1">
      <c r="B356" s="4"/>
      <c r="C356" s="4"/>
      <c r="D356" s="4"/>
      <c r="E356" s="4"/>
      <c r="F356" s="4"/>
      <c r="G356" s="4"/>
      <c r="H356" s="301"/>
      <c r="I356" s="4" t="s">
        <v>88</v>
      </c>
      <c r="P356" s="1474"/>
      <c r="Q356" s="1474"/>
      <c r="R356" s="1474"/>
      <c r="S356" s="1474"/>
      <c r="T356" s="1474"/>
      <c r="U356" s="1474"/>
      <c r="V356" s="1474"/>
      <c r="W356" s="1474"/>
      <c r="X356" s="1474"/>
      <c r="Y356" s="1474"/>
      <c r="Z356" s="1474"/>
      <c r="AA356" s="4" t="s">
        <v>205</v>
      </c>
      <c r="AB356" s="4"/>
      <c r="AC356" s="1529"/>
      <c r="AD356" s="1529"/>
      <c r="AE356" s="1529"/>
      <c r="AF356" s="301"/>
      <c r="AG356" s="4"/>
      <c r="AH356" s="4"/>
      <c r="AI356" s="4"/>
      <c r="AJ356" s="4"/>
      <c r="AK356" s="4"/>
    </row>
    <row r="357" spans="1:66" ht="12.95" customHeight="1">
      <c r="B357" s="4"/>
      <c r="C357" s="4"/>
      <c r="D357" s="4"/>
      <c r="E357" s="4"/>
      <c r="F357" s="4"/>
      <c r="G357" s="4"/>
      <c r="H357" s="301"/>
      <c r="I357" s="4" t="s">
        <v>89</v>
      </c>
      <c r="P357" s="1474"/>
      <c r="Q357" s="1474"/>
      <c r="R357" s="1474"/>
      <c r="S357" s="1474"/>
      <c r="T357" s="1474"/>
      <c r="U357" s="1474"/>
      <c r="V357" s="1474"/>
      <c r="W357" s="1474"/>
      <c r="X357" s="1474"/>
      <c r="Y357" s="1474"/>
      <c r="Z357" s="1474"/>
      <c r="AF357" s="301"/>
      <c r="AG357" s="4"/>
      <c r="AH357" s="4"/>
      <c r="AI357" s="35"/>
      <c r="AJ357" s="35"/>
      <c r="AK357" s="35"/>
    </row>
    <row r="358" spans="1:66" ht="12.95" customHeight="1">
      <c r="B358" s="4"/>
      <c r="C358" s="4"/>
      <c r="D358" s="4"/>
      <c r="E358" s="4"/>
      <c r="F358" s="4"/>
      <c r="G358" s="4"/>
      <c r="I358" s="4" t="s">
        <v>76</v>
      </c>
      <c r="P358" s="1472"/>
      <c r="Q358" s="1472"/>
      <c r="R358" s="1472"/>
      <c r="S358" s="1472"/>
      <c r="T358" s="1472"/>
      <c r="U358" s="1472"/>
      <c r="V358" s="1472"/>
      <c r="W358" s="1472"/>
      <c r="X358" s="1472"/>
      <c r="Y358" s="1472"/>
      <c r="Z358" s="1472"/>
      <c r="AA358" s="1472"/>
      <c r="AB358" s="1472"/>
      <c r="AC358" s="1472"/>
      <c r="AD358" s="1472"/>
      <c r="AE358" s="1472"/>
    </row>
    <row r="359" spans="1:66" ht="12.95" customHeight="1">
      <c r="T359" s="8"/>
      <c r="U359" s="8"/>
      <c r="V359" s="8"/>
      <c r="W359" s="8"/>
      <c r="X359" s="8"/>
      <c r="Y359" s="8"/>
      <c r="Z359" s="8"/>
      <c r="AU359" s="95"/>
      <c r="AV359" s="95"/>
      <c r="AW359" s="95"/>
      <c r="AX359" s="95"/>
      <c r="AY359" s="95"/>
    </row>
    <row r="360" spans="1:66" ht="12.95" customHeight="1">
      <c r="A360" s="1519" t="s">
        <v>540</v>
      </c>
      <c r="B360" s="1519"/>
      <c r="C360" s="1519"/>
      <c r="D360" s="1519"/>
      <c r="E360" s="1519"/>
      <c r="F360" s="1519"/>
      <c r="G360" s="1519"/>
      <c r="H360" s="1519"/>
      <c r="I360" s="1519"/>
      <c r="J360" s="1519"/>
      <c r="K360" s="1519"/>
      <c r="L360" s="1519"/>
      <c r="M360" s="1519"/>
      <c r="N360" s="1519"/>
      <c r="O360" s="1519"/>
      <c r="P360" s="1519"/>
      <c r="Q360" s="1519"/>
      <c r="R360" s="1519"/>
      <c r="S360" s="1519"/>
      <c r="T360" s="1519"/>
      <c r="U360" s="1519"/>
      <c r="V360" s="1519"/>
      <c r="W360" s="1519"/>
      <c r="X360" s="1519"/>
      <c r="Y360" s="1519"/>
      <c r="Z360" s="1519"/>
      <c r="AA360" s="1519"/>
      <c r="AB360" s="1519"/>
      <c r="AC360" s="1519"/>
      <c r="AD360" s="1519"/>
      <c r="AE360" s="1519"/>
      <c r="AF360" s="1519"/>
      <c r="AG360" s="1519"/>
      <c r="AH360" s="1519"/>
      <c r="AI360" s="1519"/>
      <c r="AJ360" s="1519"/>
      <c r="AK360" s="1519"/>
      <c r="AL360" s="1519"/>
      <c r="AM360" s="1519"/>
      <c r="AN360" s="1519"/>
      <c r="AO360" s="1519"/>
      <c r="AP360" s="1519"/>
      <c r="AQ360" s="1519"/>
      <c r="AR360" s="1519"/>
      <c r="AS360" s="1519"/>
      <c r="AT360" s="1519"/>
      <c r="AU360" s="95"/>
      <c r="AV360" s="95"/>
      <c r="AW360" s="95"/>
      <c r="AX360" s="95"/>
      <c r="AY360" s="95"/>
    </row>
    <row r="361" spans="1:66" ht="12.95" customHeight="1">
      <c r="A361" s="1519"/>
      <c r="B361" s="1519"/>
      <c r="C361" s="1519"/>
      <c r="D361" s="1519"/>
      <c r="E361" s="1519"/>
      <c r="F361" s="1519"/>
      <c r="G361" s="1519"/>
      <c r="H361" s="1519"/>
      <c r="I361" s="1519"/>
      <c r="J361" s="1519"/>
      <c r="K361" s="1519"/>
      <c r="L361" s="1519"/>
      <c r="M361" s="1519"/>
      <c r="N361" s="1519"/>
      <c r="O361" s="1519"/>
      <c r="P361" s="1519"/>
      <c r="Q361" s="1519"/>
      <c r="R361" s="1519"/>
      <c r="S361" s="1519"/>
      <c r="T361" s="1519"/>
      <c r="U361" s="1519"/>
      <c r="V361" s="1519"/>
      <c r="W361" s="1519"/>
      <c r="X361" s="1519"/>
      <c r="Y361" s="1519"/>
      <c r="Z361" s="1519"/>
      <c r="AA361" s="1519"/>
      <c r="AB361" s="1519"/>
      <c r="AC361" s="1519"/>
      <c r="AD361" s="1519"/>
      <c r="AE361" s="1519"/>
      <c r="AF361" s="1519"/>
      <c r="AG361" s="1519"/>
      <c r="AH361" s="1519"/>
      <c r="AI361" s="1519"/>
      <c r="AJ361" s="1519"/>
      <c r="AK361" s="1519"/>
      <c r="AL361" s="1519"/>
      <c r="AM361" s="1519"/>
      <c r="AN361" s="1519"/>
      <c r="AO361" s="1519"/>
      <c r="AP361" s="1519"/>
      <c r="AQ361" s="1519"/>
      <c r="AR361" s="1519"/>
      <c r="AS361" s="1519"/>
      <c r="AT361" s="151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780</v>
      </c>
    </row>
    <row r="364" spans="1:66" ht="12.95" customHeight="1">
      <c r="D364" s="3" t="s">
        <v>2052</v>
      </c>
      <c r="M364" s="1352" t="s">
        <v>543</v>
      </c>
      <c r="N364" s="1352"/>
      <c r="P364" t="s">
        <v>1637</v>
      </c>
      <c r="AJ364" s="1352" t="s">
        <v>589</v>
      </c>
      <c r="AK364" s="1352"/>
    </row>
    <row r="365" spans="1:66" ht="12.95" customHeight="1">
      <c r="D365" s="3" t="s">
        <v>1626</v>
      </c>
      <c r="M365" s="1352" t="s">
        <v>589</v>
      </c>
      <c r="N365" s="1352"/>
      <c r="P365" s="3" t="s">
        <v>1706</v>
      </c>
      <c r="AJ365" s="1486">
        <v>0</v>
      </c>
      <c r="AK365" s="1486"/>
    </row>
    <row r="366" spans="1:66" ht="12.95" customHeight="1">
      <c r="D366" s="3" t="s">
        <v>702</v>
      </c>
      <c r="M366" s="1352" t="s">
        <v>589</v>
      </c>
      <c r="N366" s="1352"/>
      <c r="P366" t="s">
        <v>1636</v>
      </c>
      <c r="AJ366" s="1352" t="s">
        <v>589</v>
      </c>
      <c r="AK366" s="1352"/>
    </row>
    <row r="367" spans="1:66" ht="12.95" customHeight="1">
      <c r="D367" s="3" t="s">
        <v>703</v>
      </c>
      <c r="M367" s="1352" t="s">
        <v>589</v>
      </c>
      <c r="N367" s="1352"/>
      <c r="Q367" s="4"/>
    </row>
    <row r="368" spans="1:66" ht="12.95" customHeight="1">
      <c r="Q368" s="4"/>
    </row>
    <row r="369" spans="1:34" ht="12.95" customHeight="1">
      <c r="Q369" s="4"/>
    </row>
    <row r="370" spans="1:34" ht="12.95" customHeight="1">
      <c r="A370" s="2" t="s">
        <v>574</v>
      </c>
      <c r="B370" s="2"/>
      <c r="C370" s="2" t="s">
        <v>550</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52" t="s">
        <v>589</v>
      </c>
      <c r="O372" s="1352"/>
      <c r="P372" s="40"/>
      <c r="Q372" s="40"/>
      <c r="R372" s="40"/>
      <c r="S372" s="40"/>
      <c r="T372" s="40"/>
      <c r="U372" s="40"/>
      <c r="V372" s="40"/>
      <c r="W372" s="40"/>
      <c r="X372" s="40"/>
      <c r="Y372" s="40"/>
      <c r="Z372" s="40"/>
      <c r="AC372" s="40"/>
      <c r="AD372" s="40"/>
      <c r="AE372" s="40"/>
    </row>
    <row r="373" spans="1:34" ht="12.95" customHeight="1">
      <c r="E373" t="s">
        <v>369</v>
      </c>
      <c r="Y373" s="1352" t="s">
        <v>589</v>
      </c>
      <c r="Z373" s="1352"/>
    </row>
    <row r="374" spans="1:34" ht="12.95" customHeight="1">
      <c r="D374" s="4" t="s">
        <v>976</v>
      </c>
      <c r="Q374" s="1472" t="s">
        <v>589</v>
      </c>
      <c r="R374" s="1472"/>
      <c r="S374" s="1472"/>
      <c r="T374" s="1472"/>
      <c r="U374" s="1472"/>
      <c r="V374" s="1472"/>
      <c r="W374" s="1472"/>
      <c r="X374" s="1472"/>
      <c r="Y374" s="1472"/>
      <c r="Z374" s="1472"/>
      <c r="AA374" s="1472"/>
      <c r="AB374" s="1472"/>
      <c r="AC374" s="1472"/>
      <c r="AD374" s="1472"/>
      <c r="AE374" s="1472"/>
      <c r="AF374" s="1472"/>
      <c r="AG374" s="1472"/>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52" t="s">
        <v>589</v>
      </c>
      <c r="K376" s="1352"/>
      <c r="L376" s="40"/>
      <c r="M376" s="40"/>
      <c r="N376" s="40"/>
      <c r="O376" s="40"/>
      <c r="P376" s="40"/>
      <c r="Q376" s="40"/>
      <c r="R376" s="40"/>
      <c r="S376" s="40"/>
      <c r="T376" s="40"/>
      <c r="U376" s="40"/>
      <c r="V376" s="40"/>
      <c r="W376" s="40"/>
      <c r="X376" s="40"/>
      <c r="Y376" s="40"/>
      <c r="Z376" s="40"/>
      <c r="AC376" s="40"/>
      <c r="AD376" s="40"/>
      <c r="AE376" s="40"/>
    </row>
    <row r="377" spans="1:34" ht="12.95" customHeight="1">
      <c r="E377" s="1491" t="s">
        <v>704</v>
      </c>
      <c r="F377" s="1491"/>
      <c r="G377" s="1491"/>
      <c r="H377" s="1491"/>
      <c r="I377" s="1491"/>
      <c r="J377" s="1491"/>
      <c r="K377" s="1491"/>
      <c r="L377" s="1491"/>
      <c r="M377" s="1491"/>
      <c r="N377" s="1491"/>
      <c r="O377" s="1491"/>
      <c r="P377" s="1491"/>
      <c r="Q377" s="1491"/>
      <c r="R377" s="1491"/>
      <c r="S377" s="1491"/>
      <c r="T377" s="1491"/>
      <c r="U377" s="1491"/>
      <c r="V377" s="1491"/>
      <c r="W377" s="1491"/>
      <c r="X377" s="1491"/>
      <c r="Y377" s="1491"/>
      <c r="Z377" s="1491"/>
      <c r="AA377" s="1491"/>
      <c r="AB377" s="1491"/>
      <c r="AC377" s="1491"/>
      <c r="AD377" s="1491"/>
      <c r="AE377" s="1491"/>
      <c r="AF377" s="1491"/>
      <c r="AG377" s="1491"/>
      <c r="AH377" s="1491"/>
    </row>
    <row r="378" spans="1:34" ht="12.95" customHeight="1">
      <c r="E378" s="1491"/>
      <c r="F378" s="1491"/>
      <c r="G378" s="1491"/>
      <c r="H378" s="1491"/>
      <c r="I378" s="1491"/>
      <c r="J378" s="1491"/>
      <c r="K378" s="1491"/>
      <c r="L378" s="1491"/>
      <c r="M378" s="1491"/>
      <c r="N378" s="1491"/>
      <c r="O378" s="1491"/>
      <c r="P378" s="1491"/>
      <c r="Q378" s="1491"/>
      <c r="R378" s="1491"/>
      <c r="S378" s="1491"/>
      <c r="T378" s="1491"/>
      <c r="U378" s="1491"/>
      <c r="V378" s="1491"/>
      <c r="W378" s="1491"/>
      <c r="X378" s="1491"/>
      <c r="Y378" s="1491"/>
      <c r="Z378" s="1491"/>
      <c r="AA378" s="1491"/>
      <c r="AB378" s="1491"/>
      <c r="AC378" s="1491"/>
      <c r="AD378" s="1491"/>
      <c r="AE378" s="1491"/>
      <c r="AF378" s="1491"/>
      <c r="AG378" s="1491"/>
      <c r="AH378" s="1491"/>
    </row>
    <row r="379" spans="1:34" ht="12.95" customHeight="1">
      <c r="E379" s="4" t="s">
        <v>446</v>
      </c>
      <c r="F379" s="4"/>
      <c r="G379" s="4"/>
      <c r="H379" s="4"/>
      <c r="I379" s="4"/>
      <c r="J379" s="4"/>
      <c r="K379" s="4"/>
      <c r="L379" s="4"/>
      <c r="N379" s="1795" t="s">
        <v>589</v>
      </c>
      <c r="O379" s="1537"/>
      <c r="P379" s="1537"/>
      <c r="Q379" s="1537"/>
      <c r="R379" s="4"/>
      <c r="U379" s="4" t="s">
        <v>447</v>
      </c>
      <c r="V379" s="4"/>
      <c r="W379" s="4"/>
      <c r="X379" s="4"/>
      <c r="Y379" s="4"/>
      <c r="Z379" s="4"/>
      <c r="AA379" s="4"/>
      <c r="AB379" s="4"/>
      <c r="AC379" s="1795" t="s">
        <v>589</v>
      </c>
      <c r="AD379" s="1537"/>
      <c r="AE379" s="1537"/>
      <c r="AF379" s="1537"/>
    </row>
    <row r="380" spans="1:34" ht="12.95" customHeight="1">
      <c r="E380" s="4" t="s">
        <v>448</v>
      </c>
      <c r="F380" s="4"/>
      <c r="G380" s="4"/>
      <c r="H380" s="4"/>
      <c r="I380" s="4"/>
      <c r="J380" s="4"/>
      <c r="K380" s="4"/>
      <c r="L380" s="4"/>
      <c r="N380" s="1795" t="s">
        <v>589</v>
      </c>
      <c r="O380" s="1537"/>
      <c r="P380" s="1537"/>
      <c r="Q380" s="1537"/>
      <c r="R380" s="4"/>
      <c r="U380" s="4" t="s">
        <v>0</v>
      </c>
      <c r="V380" s="4"/>
      <c r="W380" s="4"/>
      <c r="X380" s="4"/>
      <c r="Y380" s="4"/>
      <c r="Z380" s="4"/>
      <c r="AA380" s="4"/>
      <c r="AB380" s="4"/>
      <c r="AC380" s="1795" t="s">
        <v>589</v>
      </c>
      <c r="AD380" s="1537"/>
      <c r="AE380" s="1537"/>
      <c r="AF380" s="1537"/>
    </row>
    <row r="381" spans="1:34" ht="12.95" customHeight="1">
      <c r="E381" s="4" t="s">
        <v>1</v>
      </c>
      <c r="F381" s="4"/>
      <c r="G381" s="4"/>
      <c r="H381" s="4"/>
      <c r="I381" s="4"/>
      <c r="J381" s="4"/>
      <c r="K381" s="4"/>
      <c r="L381" s="4"/>
      <c r="N381" s="1795" t="s">
        <v>589</v>
      </c>
      <c r="O381" s="1537"/>
      <c r="P381" s="1537"/>
      <c r="Q381" s="1537"/>
      <c r="R381" s="4"/>
      <c r="V381" s="4"/>
      <c r="W381" s="4"/>
      <c r="X381" s="4"/>
      <c r="Y381" s="4"/>
      <c r="Z381" s="4"/>
      <c r="AA381" s="4"/>
      <c r="AB381" s="4"/>
    </row>
    <row r="382" spans="1:34" ht="12.95" customHeight="1">
      <c r="E382" s="4" t="s">
        <v>2</v>
      </c>
      <c r="F382" s="4"/>
      <c r="G382" s="4"/>
      <c r="H382" s="4"/>
      <c r="I382" s="4"/>
      <c r="J382" s="4"/>
      <c r="K382" s="4"/>
      <c r="L382" s="4"/>
      <c r="N382" s="1803" t="s">
        <v>589</v>
      </c>
      <c r="O382" s="1848"/>
      <c r="P382" s="1848"/>
      <c r="Q382" s="1848"/>
      <c r="R382" s="1848"/>
      <c r="S382" s="1848"/>
      <c r="T382" s="1848"/>
      <c r="U382" s="1848"/>
      <c r="V382" s="1848"/>
      <c r="W382" s="1848"/>
      <c r="X382" s="1848"/>
      <c r="Y382" s="1848"/>
      <c r="Z382" s="1848"/>
      <c r="AA382" s="1848"/>
      <c r="AB382" s="1848"/>
      <c r="AC382" s="1848"/>
      <c r="AD382" s="1848"/>
      <c r="AE382" s="1848"/>
      <c r="AF382" s="1848"/>
    </row>
    <row r="383" spans="1:34" ht="12.95" customHeight="1">
      <c r="E383" s="4"/>
      <c r="F383" s="4"/>
      <c r="G383" s="4"/>
      <c r="H383" s="4"/>
      <c r="I383" s="4"/>
      <c r="J383" s="4"/>
      <c r="K383" s="4"/>
      <c r="L383" s="4"/>
      <c r="N383" s="1272"/>
      <c r="O383" s="1272"/>
      <c r="P383" s="1272"/>
      <c r="Q383" s="1272"/>
      <c r="R383" s="1272"/>
      <c r="S383" s="1272"/>
      <c r="T383" s="1272"/>
      <c r="U383" s="1272"/>
      <c r="V383" s="1272"/>
      <c r="W383" s="1272"/>
      <c r="X383" s="1272"/>
      <c r="Y383" s="1272"/>
      <c r="Z383" s="1272"/>
      <c r="AA383" s="1272"/>
      <c r="AB383" s="1272"/>
      <c r="AC383" s="1272"/>
      <c r="AD383" s="1272"/>
      <c r="AE383" s="1272"/>
      <c r="AF383" s="1272"/>
    </row>
    <row r="384" spans="1:34" ht="12.95" customHeight="1">
      <c r="C384" s="511"/>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2038</v>
      </c>
      <c r="F386" s="4"/>
      <c r="G386" s="4"/>
      <c r="H386" s="4"/>
      <c r="I386" s="4"/>
      <c r="J386" s="4"/>
      <c r="K386" s="4"/>
      <c r="L386" s="4"/>
      <c r="N386" t="s">
        <v>2034</v>
      </c>
      <c r="R386" s="27" t="s">
        <v>304</v>
      </c>
      <c r="S386" s="1849" t="s">
        <v>589</v>
      </c>
      <c r="T386" s="1850"/>
      <c r="U386" s="1" t="s">
        <v>305</v>
      </c>
      <c r="V386" s="1849" t="s">
        <v>589</v>
      </c>
      <c r="W386" s="1850"/>
      <c r="Y386" t="s">
        <v>2034</v>
      </c>
      <c r="AC386" s="27" t="s">
        <v>304</v>
      </c>
      <c r="AD386" s="1849" t="s">
        <v>589</v>
      </c>
      <c r="AE386" s="1850"/>
      <c r="AF386" s="1" t="s">
        <v>305</v>
      </c>
      <c r="AG386" s="1849" t="s">
        <v>589</v>
      </c>
      <c r="AH386" s="1850"/>
    </row>
    <row r="387" spans="1:36" ht="12.95" customHeight="1">
      <c r="E387" s="4" t="s">
        <v>985</v>
      </c>
      <c r="F387" s="4"/>
      <c r="G387" s="4"/>
      <c r="H387" s="4"/>
      <c r="I387" s="4"/>
      <c r="J387" s="4"/>
      <c r="K387" s="4"/>
      <c r="L387" s="4"/>
      <c r="N387" s="1850" t="s">
        <v>589</v>
      </c>
      <c r="O387" s="1850"/>
      <c r="P387" s="1850"/>
    </row>
    <row r="388" spans="1:36" ht="12.95" customHeight="1">
      <c r="E388" s="204" t="s">
        <v>2039</v>
      </c>
      <c r="F388" s="4"/>
      <c r="G388" s="4"/>
      <c r="H388" s="4"/>
      <c r="I388" s="4"/>
      <c r="J388" s="4"/>
      <c r="K388" s="4"/>
      <c r="L388" s="4"/>
      <c r="AG388" s="1806" t="s">
        <v>589</v>
      </c>
      <c r="AH388" s="1806"/>
    </row>
    <row r="389" spans="1:36" ht="12.95" customHeight="1">
      <c r="E389" s="4"/>
      <c r="F389" s="4"/>
      <c r="G389" s="4" t="s">
        <v>2040</v>
      </c>
      <c r="H389" s="4"/>
      <c r="I389" s="4"/>
      <c r="J389" s="4"/>
      <c r="K389" s="4"/>
      <c r="L389" s="4"/>
      <c r="AG389" s="1806" t="s">
        <v>589</v>
      </c>
      <c r="AH389" s="1806"/>
    </row>
    <row r="390" spans="1:36" ht="12.95" customHeight="1">
      <c r="E390" s="4"/>
      <c r="F390" s="4"/>
      <c r="G390" s="319" t="s">
        <v>986</v>
      </c>
      <c r="H390" s="4"/>
      <c r="I390" s="4"/>
      <c r="J390" s="4"/>
      <c r="K390" s="4"/>
      <c r="L390" s="4"/>
      <c r="V390" s="1352" t="s">
        <v>589</v>
      </c>
      <c r="W390" s="1352"/>
      <c r="Y390" s="22" t="s">
        <v>978</v>
      </c>
    </row>
    <row r="391" spans="1:36" ht="12.95" customHeight="1">
      <c r="E391" s="4" t="s">
        <v>979</v>
      </c>
      <c r="F391" s="4"/>
      <c r="G391" s="4"/>
      <c r="H391" s="4"/>
      <c r="I391" s="4"/>
      <c r="J391" s="4"/>
      <c r="K391" s="4"/>
      <c r="L391" s="4"/>
      <c r="V391" s="1352" t="s">
        <v>589</v>
      </c>
      <c r="W391" s="1352"/>
      <c r="Y391" s="4" t="s">
        <v>980</v>
      </c>
    </row>
    <row r="392" spans="1:36" ht="12.95" customHeight="1"/>
    <row r="393" spans="1:36" ht="12.95" customHeight="1">
      <c r="A393" s="2" t="s">
        <v>78</v>
      </c>
      <c r="B393" s="2"/>
    </row>
    <row r="394" spans="1:36" ht="12.95" customHeight="1">
      <c r="D394" t="s">
        <v>427</v>
      </c>
      <c r="J394" s="1490" t="s">
        <v>2781</v>
      </c>
      <c r="K394" s="1472"/>
      <c r="L394" s="1472"/>
      <c r="M394" s="1472"/>
      <c r="N394" s="1472"/>
      <c r="O394" s="1472"/>
      <c r="P394" s="1472"/>
      <c r="Q394" s="1472"/>
      <c r="R394" s="1472"/>
      <c r="S394" s="1472"/>
      <c r="T394" s="1472"/>
      <c r="U394" s="1472"/>
      <c r="V394" s="8" t="s">
        <v>83</v>
      </c>
      <c r="W394" s="8"/>
      <c r="X394" s="8"/>
      <c r="Y394" s="8"/>
      <c r="Z394" s="8"/>
      <c r="AA394" s="8"/>
      <c r="AB394" s="8"/>
      <c r="AC394" s="1472" t="str">
        <f>J394</f>
        <v>The California Endowment, 800 N. Main, LLC</v>
      </c>
      <c r="AD394" s="1472"/>
      <c r="AE394" s="1472"/>
      <c r="AF394" s="1472"/>
      <c r="AG394" s="1472"/>
      <c r="AH394" s="1472"/>
      <c r="AI394" s="1472"/>
      <c r="AJ394" s="1472"/>
    </row>
    <row r="395" spans="1:36" ht="12.95" customHeight="1">
      <c r="D395" s="3" t="s">
        <v>1180</v>
      </c>
      <c r="J395" s="1395" t="s">
        <v>2760</v>
      </c>
      <c r="K395" s="1496"/>
      <c r="L395" s="1496"/>
      <c r="M395" s="1496"/>
      <c r="N395" s="1496"/>
      <c r="O395" s="1496"/>
      <c r="P395" s="1496"/>
      <c r="Q395" s="1496"/>
      <c r="R395" s="1496"/>
      <c r="S395" s="1496"/>
      <c r="T395" s="1496"/>
      <c r="U395" s="1496"/>
      <c r="V395" s="3" t="s">
        <v>1180</v>
      </c>
      <c r="W395" s="8"/>
      <c r="X395" s="8"/>
      <c r="Y395" s="8"/>
      <c r="Z395" s="8"/>
      <c r="AA395" s="8"/>
      <c r="AB395" s="8"/>
      <c r="AC395" s="1472" t="s">
        <v>2760</v>
      </c>
      <c r="AD395" s="1472"/>
      <c r="AE395" s="1472"/>
      <c r="AF395" s="1472"/>
      <c r="AG395" s="1472"/>
      <c r="AH395" s="1472"/>
      <c r="AI395" s="1472"/>
      <c r="AJ395" s="1472"/>
    </row>
    <row r="396" spans="1:36" ht="12.95" customHeight="1">
      <c r="D396" s="3" t="s">
        <v>439</v>
      </c>
      <c r="J396" s="1496" t="s">
        <v>2729</v>
      </c>
      <c r="K396" s="1496"/>
      <c r="L396" s="1496"/>
      <c r="M396" s="1496"/>
      <c r="N396" s="1496"/>
      <c r="O396" s="1496"/>
      <c r="P396" s="1496"/>
      <c r="Q396" s="1496"/>
      <c r="R396" s="1496"/>
      <c r="S396" s="1496"/>
      <c r="T396" s="1496"/>
      <c r="U396" s="1496"/>
      <c r="V396" s="3" t="s">
        <v>439</v>
      </c>
      <c r="W396" s="8"/>
      <c r="X396" s="8"/>
      <c r="Y396" s="8"/>
      <c r="Z396" s="8"/>
      <c r="AA396" s="8"/>
      <c r="AB396" s="8"/>
      <c r="AC396" s="1472" t="s">
        <v>2729</v>
      </c>
      <c r="AD396" s="1472"/>
      <c r="AE396" s="1472"/>
      <c r="AF396" s="1472"/>
      <c r="AG396" s="1472"/>
      <c r="AH396" s="1472"/>
      <c r="AI396" s="1472"/>
      <c r="AJ396" s="1472"/>
    </row>
    <row r="397" spans="1:36" ht="12.95" customHeight="1">
      <c r="D397" t="s">
        <v>1176</v>
      </c>
      <c r="J397" s="1389" t="s">
        <v>2730</v>
      </c>
      <c r="K397" s="1389"/>
      <c r="L397" s="1389"/>
      <c r="M397" s="1389"/>
      <c r="N397" s="1389"/>
      <c r="O397" s="1389"/>
      <c r="P397" s="1389"/>
      <c r="Q397" s="1389"/>
      <c r="R397" s="1389"/>
      <c r="S397" s="1389"/>
      <c r="T397" s="1389"/>
      <c r="U397" s="1389"/>
      <c r="V397" s="1472"/>
      <c r="W397" s="1472"/>
      <c r="X397" s="1472"/>
      <c r="Y397" s="1472"/>
      <c r="Z397" s="1472"/>
      <c r="AA397" s="1472"/>
      <c r="AB397" s="1472"/>
      <c r="AC397" s="1472"/>
      <c r="AD397" s="1472"/>
      <c r="AE397" s="1472"/>
      <c r="AF397" s="1472"/>
      <c r="AG397" s="1472"/>
      <c r="AH397" s="1472"/>
      <c r="AI397" s="1472"/>
      <c r="AJ397" s="1472"/>
    </row>
    <row r="398" spans="1:36" ht="12.95" customHeight="1">
      <c r="D398" t="s">
        <v>4</v>
      </c>
      <c r="Q398" s="1869">
        <v>45534</v>
      </c>
      <c r="R398" s="1869"/>
      <c r="S398" s="1869"/>
      <c r="T398" s="1869"/>
      <c r="U398" s="1869"/>
      <c r="V398" t="s">
        <v>308</v>
      </c>
      <c r="AI398" s="1352" t="s">
        <v>667</v>
      </c>
      <c r="AJ398" s="1352"/>
    </row>
    <row r="399" spans="1:36" ht="12.95" customHeight="1">
      <c r="D399" t="s">
        <v>5</v>
      </c>
      <c r="Q399" s="1648">
        <v>46631</v>
      </c>
      <c r="R399" s="1858"/>
      <c r="S399" s="1858"/>
      <c r="T399" s="1858"/>
      <c r="U399" s="1858"/>
      <c r="W399" s="21" t="s">
        <v>74</v>
      </c>
      <c r="AG399" s="1809"/>
      <c r="AH399" s="1809"/>
      <c r="AI399" s="1809"/>
      <c r="AJ399" s="1809"/>
    </row>
    <row r="400" spans="1:36" ht="12.95" customHeight="1">
      <c r="D400" t="s">
        <v>426</v>
      </c>
      <c r="Q400" s="1392" t="s">
        <v>589</v>
      </c>
      <c r="R400" s="1794"/>
      <c r="S400" s="1794"/>
      <c r="T400" s="1794"/>
      <c r="U400" s="1794"/>
      <c r="V400" s="3" t="s">
        <v>1179</v>
      </c>
      <c r="AG400" s="1854">
        <v>46419</v>
      </c>
      <c r="AH400" s="1854"/>
      <c r="AI400" s="1854"/>
      <c r="AJ400" s="1854"/>
    </row>
    <row r="401" spans="4:36" ht="12.95" customHeight="1">
      <c r="D401" t="s">
        <v>88</v>
      </c>
      <c r="I401" s="1520" t="s">
        <v>2746</v>
      </c>
      <c r="J401" s="1521"/>
      <c r="K401" s="1521"/>
      <c r="L401" s="1521"/>
      <c r="M401" s="1521"/>
      <c r="N401" s="1521"/>
      <c r="Q401" s="4" t="s">
        <v>205</v>
      </c>
      <c r="S401" s="1807" t="s">
        <v>589</v>
      </c>
      <c r="T401" s="1808"/>
      <c r="U401" s="1808"/>
      <c r="V401" t="s">
        <v>73</v>
      </c>
      <c r="AI401" s="1352" t="s">
        <v>667</v>
      </c>
      <c r="AJ401" s="1352"/>
    </row>
    <row r="402" spans="4:36" ht="12.95" customHeight="1">
      <c r="D402" t="s">
        <v>309</v>
      </c>
      <c r="Q402" s="1427">
        <v>0</v>
      </c>
      <c r="R402" s="1427"/>
      <c r="S402" s="1427"/>
      <c r="T402" s="1427"/>
      <c r="U402" s="1427"/>
      <c r="V402" t="s">
        <v>310</v>
      </c>
      <c r="AG402" s="1809">
        <v>0</v>
      </c>
      <c r="AH402" s="1809"/>
      <c r="AI402" s="1809"/>
      <c r="AJ402" s="1809"/>
    </row>
    <row r="403" spans="4:36" ht="12.95" customHeight="1">
      <c r="D403" t="s">
        <v>311</v>
      </c>
      <c r="Q403" s="1800">
        <v>0</v>
      </c>
      <c r="R403" s="1800"/>
      <c r="S403" s="1800"/>
      <c r="T403" s="1800"/>
      <c r="U403" s="1800"/>
      <c r="V403" t="s">
        <v>1161</v>
      </c>
      <c r="AG403" s="1809">
        <v>0</v>
      </c>
      <c r="AH403" s="1809"/>
      <c r="AI403" s="1809"/>
      <c r="AJ403" s="1809"/>
    </row>
    <row r="404" spans="4:36" ht="12.95" customHeight="1">
      <c r="D404" t="s">
        <v>1160</v>
      </c>
      <c r="AG404" s="1809">
        <v>0</v>
      </c>
      <c r="AH404" s="1809"/>
      <c r="AI404" s="1809"/>
      <c r="AJ404" s="1809"/>
    </row>
    <row r="405" spans="4:36" ht="12.95" customHeight="1">
      <c r="AG405" s="455"/>
      <c r="AH405" s="455"/>
      <c r="AI405" s="455"/>
      <c r="AJ405" s="455"/>
    </row>
    <row r="406" spans="4:36" ht="12.95" customHeight="1">
      <c r="D406" s="3" t="s">
        <v>2096</v>
      </c>
      <c r="AG406" s="455"/>
      <c r="AH406" s="455"/>
      <c r="AI406" s="1352" t="s">
        <v>667</v>
      </c>
      <c r="AJ406" s="1352"/>
    </row>
    <row r="407" spans="4:36" ht="12.95" customHeight="1">
      <c r="D407" s="3" t="s">
        <v>1654</v>
      </c>
      <c r="T407" s="1492" t="s">
        <v>589</v>
      </c>
      <c r="U407" s="1493"/>
      <c r="V407" s="1493"/>
      <c r="W407" s="1493"/>
      <c r="X407" s="1493"/>
      <c r="Y407" s="1493"/>
      <c r="Z407" s="1493"/>
      <c r="AA407" s="1493"/>
      <c r="AB407" s="1493"/>
      <c r="AC407" s="1493"/>
      <c r="AD407" s="1493"/>
      <c r="AE407" s="1493"/>
      <c r="AF407" s="1493"/>
      <c r="AG407" s="1493"/>
      <c r="AH407" s="1493"/>
      <c r="AI407" s="1493"/>
      <c r="AJ407" s="1493"/>
    </row>
    <row r="408" spans="4:36" ht="12.95" customHeight="1">
      <c r="D408" s="3" t="s">
        <v>1653</v>
      </c>
      <c r="T408" s="1492" t="s">
        <v>589</v>
      </c>
      <c r="U408" s="1493"/>
      <c r="V408" s="1493"/>
      <c r="W408" s="1493"/>
      <c r="X408" s="1493"/>
      <c r="Y408" s="1493"/>
      <c r="Z408" s="1493"/>
      <c r="AA408" s="1493"/>
      <c r="AB408" s="1493"/>
      <c r="AC408" s="1493"/>
      <c r="AD408" s="1493"/>
      <c r="AE408" s="1493"/>
      <c r="AF408" s="1493"/>
      <c r="AG408" s="1493"/>
      <c r="AH408" s="1493"/>
      <c r="AI408" s="1493"/>
      <c r="AJ408" s="1493"/>
    </row>
    <row r="409" spans="4:36" ht="12.95" customHeight="1">
      <c r="AG409" s="455"/>
      <c r="AH409" s="455"/>
      <c r="AI409" s="455"/>
      <c r="AJ409" s="455"/>
    </row>
    <row r="410" spans="4:36" ht="12.95" customHeight="1">
      <c r="D410" s="3" t="s">
        <v>1647</v>
      </c>
      <c r="S410" s="1493" t="s">
        <v>543</v>
      </c>
      <c r="T410" s="1493"/>
      <c r="U410" s="1493"/>
      <c r="V410" t="s">
        <v>1648</v>
      </c>
      <c r="AG410" s="1852">
        <v>99</v>
      </c>
      <c r="AH410" s="1852"/>
      <c r="AI410" s="1852"/>
      <c r="AJ410" s="1852"/>
    </row>
    <row r="411" spans="4:36" ht="12.95" customHeight="1">
      <c r="D411" s="3" t="s">
        <v>1645</v>
      </c>
      <c r="S411" s="1493" t="s">
        <v>543</v>
      </c>
      <c r="T411" s="1493"/>
      <c r="U411" s="1493"/>
      <c r="V411" t="s">
        <v>1650</v>
      </c>
      <c r="AE411" s="1805">
        <v>1</v>
      </c>
      <c r="AF411" s="1805"/>
      <c r="AG411" s="1805"/>
      <c r="AH411" s="1805"/>
      <c r="AI411" s="1805"/>
      <c r="AJ411" s="1805"/>
    </row>
    <row r="412" spans="4:36" ht="12.95" customHeight="1">
      <c r="D412" s="3" t="s">
        <v>1646</v>
      </c>
      <c r="K412" s="1765" t="s">
        <v>589</v>
      </c>
      <c r="L412" s="1765"/>
      <c r="M412" s="1765"/>
      <c r="N412" s="1765"/>
      <c r="O412" s="1765"/>
      <c r="P412" s="1765"/>
      <c r="Q412" s="1765"/>
      <c r="R412" s="1765"/>
      <c r="S412" s="1765"/>
      <c r="T412" s="1765"/>
      <c r="U412" s="1765"/>
      <c r="V412" s="1765"/>
      <c r="W412" s="1765"/>
      <c r="X412" s="1765"/>
      <c r="Y412" s="1765"/>
      <c r="Z412" s="1765"/>
      <c r="AA412" s="1765"/>
      <c r="AB412" s="1765"/>
      <c r="AC412" s="1765"/>
      <c r="AD412" s="1765"/>
      <c r="AE412" s="1765"/>
      <c r="AF412" s="1765"/>
      <c r="AG412" s="1765"/>
      <c r="AH412" s="1765"/>
      <c r="AI412" s="1765"/>
      <c r="AJ412" s="1765"/>
    </row>
    <row r="413" spans="4:36" ht="12.95" customHeight="1">
      <c r="D413" s="3" t="s">
        <v>1649</v>
      </c>
      <c r="K413" s="1765" t="s">
        <v>2778</v>
      </c>
      <c r="L413" s="1765"/>
      <c r="M413" s="1765"/>
      <c r="N413" s="1765"/>
      <c r="O413" s="1765"/>
      <c r="P413" s="1765"/>
      <c r="Q413" s="1765"/>
      <c r="R413" s="1765"/>
      <c r="S413" s="1765"/>
      <c r="T413" s="1765"/>
      <c r="U413" s="1765"/>
      <c r="V413" s="1765"/>
      <c r="W413" s="1765"/>
      <c r="X413" s="1765"/>
      <c r="Y413" s="1765"/>
      <c r="Z413" s="1765"/>
      <c r="AA413" s="1765"/>
      <c r="AB413" s="1765"/>
      <c r="AC413" s="1765"/>
      <c r="AD413" s="1765"/>
      <c r="AE413" s="1765"/>
      <c r="AF413" s="1765"/>
      <c r="AG413" s="1765"/>
      <c r="AH413" s="1765"/>
      <c r="AI413" s="1765"/>
      <c r="AJ413" s="1765"/>
    </row>
    <row r="414" spans="4:36" ht="12.95" customHeight="1">
      <c r="D414" s="3" t="s">
        <v>1652</v>
      </c>
      <c r="E414" s="476"/>
      <c r="F414" s="476"/>
      <c r="G414" s="476"/>
      <c r="H414" s="476"/>
      <c r="I414" s="476"/>
      <c r="J414" s="476"/>
      <c r="K414" s="476"/>
      <c r="L414" s="476"/>
      <c r="M414" s="476"/>
      <c r="N414" s="476"/>
      <c r="O414" s="476"/>
      <c r="P414" s="476"/>
      <c r="Q414" s="476"/>
      <c r="R414" s="476"/>
      <c r="S414" s="1851" t="s">
        <v>2770</v>
      </c>
      <c r="T414" s="1851"/>
      <c r="U414" s="1851"/>
      <c r="V414" s="1851"/>
      <c r="W414" s="1851"/>
      <c r="X414" s="1851"/>
      <c r="Y414" s="1851"/>
      <c r="Z414" s="1851"/>
      <c r="AA414" s="1851"/>
      <c r="AB414" s="1851"/>
      <c r="AC414" s="1851"/>
      <c r="AD414" s="1851"/>
      <c r="AE414" s="1851"/>
      <c r="AF414" s="1851"/>
      <c r="AG414" s="1851"/>
      <c r="AH414" s="1851"/>
      <c r="AI414" s="1851"/>
      <c r="AJ414" s="1851"/>
    </row>
    <row r="415" spans="4:36" ht="12.95" customHeight="1">
      <c r="D415" s="1286" t="s">
        <v>1651</v>
      </c>
      <c r="E415" s="1286"/>
      <c r="F415" s="1286"/>
      <c r="G415" s="1286"/>
      <c r="H415" s="1286"/>
      <c r="I415" s="1286"/>
      <c r="J415" s="1286"/>
      <c r="K415" s="1286"/>
      <c r="L415" s="1286"/>
      <c r="M415" s="1286"/>
      <c r="N415" s="1286"/>
      <c r="O415" s="1286"/>
      <c r="P415" s="1286"/>
      <c r="Q415" s="1286"/>
      <c r="R415" s="1286"/>
      <c r="S415" s="1286"/>
      <c r="T415" s="1286"/>
      <c r="U415" s="1286"/>
      <c r="V415" s="1286"/>
      <c r="W415" s="1286"/>
      <c r="X415" s="1286"/>
      <c r="Y415" s="1286"/>
      <c r="Z415" s="1286"/>
      <c r="AA415" s="1286"/>
      <c r="AB415" s="1286"/>
      <c r="AC415" s="1286"/>
      <c r="AD415" s="1286"/>
      <c r="AE415" s="1286"/>
      <c r="AF415" s="1286"/>
      <c r="AG415" s="1286"/>
      <c r="AH415" s="1286"/>
      <c r="AI415" s="1286"/>
      <c r="AJ415" s="1286"/>
    </row>
    <row r="416" spans="4:36" ht="12.95" customHeight="1">
      <c r="D416" s="1286"/>
      <c r="E416" s="1286"/>
      <c r="F416" s="1286"/>
      <c r="G416" s="1286"/>
      <c r="H416" s="1286"/>
      <c r="I416" s="1286"/>
      <c r="J416" s="1286"/>
      <c r="K416" s="1286"/>
      <c r="L416" s="1286"/>
      <c r="M416" s="1286"/>
      <c r="N416" s="1286"/>
      <c r="O416" s="1286"/>
      <c r="P416" s="1286"/>
      <c r="Q416" s="1286"/>
      <c r="R416" s="1286"/>
      <c r="S416" s="1286"/>
      <c r="T416" s="1286"/>
      <c r="U416" s="1286"/>
      <c r="V416" s="1286"/>
      <c r="W416" s="1286"/>
      <c r="X416" s="1286"/>
      <c r="Y416" s="1286"/>
      <c r="Z416" s="1286"/>
      <c r="AA416" s="1286"/>
      <c r="AB416" s="1286"/>
      <c r="AC416" s="1286"/>
      <c r="AD416" s="1286"/>
      <c r="AE416" s="1286"/>
      <c r="AF416" s="1286"/>
      <c r="AG416" s="1286"/>
      <c r="AH416" s="1286"/>
      <c r="AI416" s="1286"/>
      <c r="AJ416" s="1286"/>
    </row>
    <row r="417" spans="1:39" ht="12.95" customHeight="1">
      <c r="AG417" s="455"/>
      <c r="AH417" s="455"/>
      <c r="AI417" s="455"/>
      <c r="AJ417" s="455"/>
    </row>
    <row r="418" spans="1:39" ht="12.95" customHeight="1">
      <c r="A418" s="2" t="s">
        <v>587</v>
      </c>
      <c r="B418" s="2"/>
      <c r="C418" s="2" t="s">
        <v>111</v>
      </c>
    </row>
    <row r="419" spans="1:39" ht="12.95" customHeight="1">
      <c r="B419" s="2"/>
      <c r="C419" s="2"/>
      <c r="D419" s="2" t="s">
        <v>1202</v>
      </c>
      <c r="I419" s="1490" t="s">
        <v>2706</v>
      </c>
      <c r="J419" s="1490"/>
      <c r="K419" s="1490"/>
      <c r="L419" s="1490"/>
      <c r="M419" s="1490"/>
      <c r="N419" s="1490"/>
      <c r="O419" s="1490"/>
      <c r="P419" s="1490"/>
      <c r="Q419" s="1490"/>
      <c r="R419" s="1490"/>
      <c r="S419" s="1490"/>
      <c r="T419" s="1490"/>
      <c r="U419" s="1490"/>
      <c r="V419" s="1490"/>
      <c r="W419" s="1490"/>
      <c r="X419" s="1490"/>
      <c r="Y419" s="1490"/>
      <c r="Z419" s="1490"/>
      <c r="AA419" s="1490"/>
      <c r="AB419" s="1490"/>
      <c r="AC419" s="1490"/>
      <c r="AD419" s="1490"/>
      <c r="AE419" s="1490"/>
    </row>
    <row r="420" spans="1:39" ht="12.95" customHeight="1">
      <c r="E420" t="s">
        <v>106</v>
      </c>
      <c r="R420" s="1352" t="s">
        <v>543</v>
      </c>
      <c r="S420" s="1352"/>
      <c r="AC420" s="27" t="s">
        <v>568</v>
      </c>
      <c r="AD420" s="1537">
        <v>7</v>
      </c>
      <c r="AE420" s="1537"/>
    </row>
    <row r="421" spans="1:39" ht="12.95" customHeight="1">
      <c r="E421" t="s">
        <v>107</v>
      </c>
      <c r="R421" s="1352" t="s">
        <v>589</v>
      </c>
      <c r="S421" s="1352"/>
      <c r="AC421" s="27" t="s">
        <v>568</v>
      </c>
      <c r="AD421" s="1537">
        <v>0</v>
      </c>
      <c r="AE421" s="1537"/>
    </row>
    <row r="422" spans="1:39" ht="12.95" customHeight="1">
      <c r="E422" t="s">
        <v>108</v>
      </c>
      <c r="S422" s="1352" t="s">
        <v>589</v>
      </c>
      <c r="T422" s="1352"/>
    </row>
    <row r="423" spans="1:39" ht="29.25" customHeight="1">
      <c r="E423" t="s">
        <v>169</v>
      </c>
      <c r="H423" s="1867" t="s">
        <v>2779</v>
      </c>
      <c r="I423" s="1867"/>
      <c r="J423" s="1867"/>
      <c r="K423" s="1867"/>
      <c r="L423" s="1867"/>
      <c r="M423" s="1867"/>
      <c r="N423" s="1867"/>
      <c r="O423" s="1867"/>
      <c r="P423" s="1867"/>
      <c r="Q423" s="1867"/>
      <c r="R423" s="1867"/>
      <c r="S423" s="1867"/>
      <c r="T423" s="1867"/>
      <c r="U423" s="1867"/>
      <c r="V423" s="1867"/>
      <c r="W423" s="1867"/>
      <c r="X423" s="1867"/>
      <c r="Y423" s="1867"/>
      <c r="Z423" s="1867"/>
      <c r="AA423" s="1867"/>
      <c r="AB423" s="1867"/>
      <c r="AC423" s="1867"/>
      <c r="AD423" s="1867"/>
      <c r="AE423" s="1867"/>
    </row>
    <row r="424" spans="1:39" ht="54" customHeight="1">
      <c r="H424" s="1868"/>
      <c r="I424" s="1868"/>
      <c r="J424" s="1868"/>
      <c r="K424" s="1868"/>
      <c r="L424" s="1868"/>
      <c r="M424" s="1868"/>
      <c r="N424" s="1868"/>
      <c r="O424" s="1868"/>
      <c r="P424" s="1868"/>
      <c r="Q424" s="1868"/>
      <c r="R424" s="1868"/>
      <c r="S424" s="1868"/>
      <c r="T424" s="1868"/>
      <c r="U424" s="1868"/>
      <c r="V424" s="1868"/>
      <c r="W424" s="1868"/>
      <c r="X424" s="1868"/>
      <c r="Y424" s="1868"/>
      <c r="Z424" s="1868"/>
      <c r="AA424" s="1868"/>
      <c r="AB424" s="1868"/>
      <c r="AC424" s="1868"/>
      <c r="AD424" s="1868"/>
      <c r="AE424" s="1868"/>
    </row>
    <row r="425" spans="1:39" ht="12.95" customHeight="1"/>
    <row r="426" spans="1:39" ht="12.95" customHeight="1">
      <c r="A426" s="2" t="s">
        <v>588</v>
      </c>
      <c r="B426" s="2"/>
      <c r="C426" s="2"/>
      <c r="D426" s="2" t="s">
        <v>114</v>
      </c>
      <c r="AF426" s="2" t="s">
        <v>955</v>
      </c>
    </row>
    <row r="427" spans="1:39" ht="12.95" customHeight="1">
      <c r="E427" s="1850"/>
      <c r="F427" s="1850"/>
      <c r="G427" s="1850"/>
      <c r="H427" s="13" t="s">
        <v>115</v>
      </c>
      <c r="I427" s="1850"/>
      <c r="J427" s="1850"/>
      <c r="K427" s="1850"/>
      <c r="L427" t="s">
        <v>116</v>
      </c>
      <c r="N427" s="27" t="s">
        <v>573</v>
      </c>
      <c r="P427" s="1855">
        <f>50774/43560</f>
        <v>1.1656106519742884</v>
      </c>
      <c r="Q427" s="1855"/>
      <c r="R427" s="1855"/>
      <c r="S427" t="s">
        <v>117</v>
      </c>
      <c r="W427" s="1853">
        <f>IF(E427&gt;0,(E427*I427),(P427*43560))</f>
        <v>50774</v>
      </c>
      <c r="X427" s="1853"/>
      <c r="Y427" s="1853"/>
      <c r="Z427" t="s">
        <v>118</v>
      </c>
      <c r="AF427" s="1801">
        <f>IFERROR(IF(P427&gt;0,(AG446/P427),(AG446/(W427/43560))),0)</f>
        <v>106.38200653877969</v>
      </c>
      <c r="AG427" s="1801"/>
      <c r="AH427" s="1801"/>
      <c r="AM427" s="3"/>
    </row>
    <row r="428" spans="1:39" ht="12.95" customHeight="1">
      <c r="E428" t="s">
        <v>51</v>
      </c>
    </row>
    <row r="429" spans="1:39" ht="12.95" customHeight="1">
      <c r="E429" s="1796"/>
      <c r="F429" s="1796"/>
      <c r="G429" s="1796"/>
      <c r="H429" s="1796"/>
      <c r="I429" s="1796"/>
      <c r="J429" s="1796"/>
      <c r="K429" s="1796"/>
      <c r="L429" s="1796"/>
      <c r="M429" s="1796"/>
      <c r="N429" s="1796"/>
      <c r="O429" s="1796"/>
      <c r="P429" s="1796"/>
      <c r="Q429" s="1796"/>
      <c r="R429" s="1796"/>
      <c r="S429" s="1796"/>
      <c r="T429" s="1796"/>
      <c r="U429" s="1796"/>
      <c r="V429" s="1796"/>
      <c r="W429" s="1796"/>
      <c r="X429" s="1796"/>
      <c r="Y429" s="1796"/>
      <c r="Z429" s="1796"/>
      <c r="AA429" s="1796"/>
      <c r="AB429" s="1796"/>
      <c r="AC429" s="1796"/>
      <c r="AD429" s="1796"/>
      <c r="AE429" s="1796"/>
      <c r="AF429" s="1796"/>
      <c r="AG429" s="1796"/>
      <c r="AH429" s="1796"/>
      <c r="AI429" s="1796"/>
      <c r="AJ429" s="1796"/>
    </row>
    <row r="430" spans="1:39" ht="12.95" customHeight="1">
      <c r="E430" s="118" t="s">
        <v>1723</v>
      </c>
      <c r="F430" s="1007"/>
      <c r="G430" s="1007"/>
      <c r="H430" s="1007"/>
      <c r="I430" s="1870">
        <v>1.98</v>
      </c>
      <c r="J430" s="1870"/>
      <c r="K430" s="1870"/>
      <c r="L430" s="1007"/>
      <c r="M430" s="118"/>
      <c r="N430" s="1007"/>
      <c r="O430" s="1007"/>
      <c r="P430" s="1802">
        <f>(DU763+DU786+DU808)/I430</f>
        <v>112.62626262626263</v>
      </c>
      <c r="Q430" s="1802"/>
      <c r="R430" s="1802"/>
      <c r="S430" s="118" t="s">
        <v>1724</v>
      </c>
      <c r="T430" s="1007"/>
      <c r="U430" s="1007"/>
      <c r="V430" s="1007"/>
      <c r="W430" s="1007"/>
      <c r="X430" s="1007"/>
      <c r="Y430" s="1007"/>
      <c r="Z430" s="1007"/>
      <c r="AA430" s="1007"/>
      <c r="AB430" s="1007"/>
      <c r="AC430" s="1007"/>
      <c r="AD430" s="1007"/>
      <c r="AE430" s="1007"/>
      <c r="AF430" s="1007"/>
      <c r="AG430" s="1007"/>
      <c r="AH430" s="1007"/>
      <c r="AI430" s="1007"/>
      <c r="AJ430" s="1007"/>
    </row>
    <row r="431" spans="1:39" ht="12.95" customHeight="1"/>
    <row r="432" spans="1:39" ht="12.95" customHeight="1">
      <c r="A432" s="2" t="s">
        <v>590</v>
      </c>
      <c r="B432" s="2"/>
      <c r="C432" s="2"/>
      <c r="D432" s="2" t="s">
        <v>120</v>
      </c>
    </row>
    <row r="433" spans="1:36" ht="12.95" customHeight="1">
      <c r="E433" t="s">
        <v>121</v>
      </c>
      <c r="P433" s="1352">
        <v>1</v>
      </c>
      <c r="Q433" s="1352"/>
      <c r="S433" t="s">
        <v>188</v>
      </c>
      <c r="AE433" s="1352">
        <v>1</v>
      </c>
      <c r="AF433" s="1352"/>
    </row>
    <row r="434" spans="1:36" ht="12.95" customHeight="1">
      <c r="E434" t="s">
        <v>189</v>
      </c>
      <c r="P434" s="1352">
        <v>0</v>
      </c>
      <c r="Q434" s="1352"/>
      <c r="S434" t="s">
        <v>131</v>
      </c>
      <c r="AE434" s="1352" t="s">
        <v>543</v>
      </c>
      <c r="AF434" s="1352"/>
    </row>
    <row r="435" spans="1:36" ht="12.95" customHeight="1">
      <c r="F435" s="28" t="s">
        <v>132</v>
      </c>
    </row>
    <row r="436" spans="1:36" ht="21.75" customHeight="1">
      <c r="F436" s="1803" t="s">
        <v>2818</v>
      </c>
      <c r="G436" s="1804"/>
      <c r="H436" s="1804"/>
      <c r="I436" s="1804"/>
      <c r="J436" s="1804"/>
      <c r="K436" s="1804"/>
      <c r="L436" s="1804"/>
      <c r="M436" s="1804"/>
      <c r="N436" s="1804"/>
      <c r="O436" s="1804"/>
      <c r="P436" s="1804"/>
      <c r="Q436" s="1804"/>
      <c r="R436" s="1804"/>
      <c r="S436" s="1804"/>
      <c r="T436" s="1804"/>
      <c r="U436" s="1804"/>
      <c r="V436" s="1804"/>
      <c r="W436" s="1804"/>
      <c r="X436" s="1804"/>
      <c r="Y436" s="1804"/>
      <c r="Z436" s="1804"/>
      <c r="AA436" s="1804"/>
      <c r="AB436" s="1804"/>
      <c r="AC436" s="1804"/>
      <c r="AD436" s="1804"/>
      <c r="AE436" s="1804"/>
      <c r="AF436" s="1804"/>
      <c r="AG436" s="1804"/>
      <c r="AH436" s="1804"/>
    </row>
    <row r="437" spans="1:36" ht="31.5" customHeight="1">
      <c r="F437" s="1783"/>
      <c r="G437" s="1783"/>
      <c r="H437" s="1783"/>
      <c r="I437" s="1783"/>
      <c r="J437" s="1783"/>
      <c r="K437" s="1783"/>
      <c r="L437" s="1783"/>
      <c r="M437" s="1783"/>
      <c r="N437" s="1783"/>
      <c r="O437" s="1783"/>
      <c r="P437" s="1783"/>
      <c r="Q437" s="1783"/>
      <c r="R437" s="1783"/>
      <c r="S437" s="1783"/>
      <c r="T437" s="1783"/>
      <c r="U437" s="1783"/>
      <c r="V437" s="1783"/>
      <c r="W437" s="1783"/>
      <c r="X437" s="1783"/>
      <c r="Y437" s="1783"/>
      <c r="Z437" s="1783"/>
      <c r="AA437" s="1783"/>
      <c r="AB437" s="1783"/>
      <c r="AC437" s="1783"/>
      <c r="AD437" s="1783"/>
      <c r="AE437" s="1783"/>
      <c r="AF437" s="1783"/>
      <c r="AG437" s="1783"/>
      <c r="AH437" s="1783"/>
    </row>
    <row r="438" spans="1:36" ht="12.95" customHeight="1">
      <c r="E438" t="s">
        <v>606</v>
      </c>
      <c r="P438" s="1"/>
      <c r="Q438" s="1352" t="s">
        <v>543</v>
      </c>
      <c r="R438" s="1352"/>
    </row>
    <row r="439" spans="1:36" ht="12.95" customHeight="1">
      <c r="F439" t="s">
        <v>607</v>
      </c>
      <c r="P439" s="1"/>
      <c r="Q439" s="1"/>
      <c r="AF439" s="1352" t="s">
        <v>589</v>
      </c>
      <c r="AG439" s="1771"/>
    </row>
    <row r="440" spans="1:36" ht="12.95" customHeight="1"/>
    <row r="441" spans="1:36" ht="12.95" customHeight="1">
      <c r="A441" s="2"/>
      <c r="B441" s="2"/>
      <c r="C441" s="2"/>
      <c r="E441" s="4" t="s">
        <v>307</v>
      </c>
      <c r="Z441" s="1352" t="s">
        <v>667</v>
      </c>
      <c r="AA441" s="1352"/>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705</v>
      </c>
      <c r="G443" s="40"/>
      <c r="I443" s="40"/>
      <c r="J443" s="40"/>
      <c r="K443" s="40"/>
      <c r="L443" s="40"/>
      <c r="M443" s="40"/>
      <c r="N443" s="40"/>
      <c r="O443" s="28"/>
      <c r="P443" s="40"/>
      <c r="Q443" s="40"/>
      <c r="R443" s="40"/>
      <c r="S443" s="40"/>
      <c r="T443" s="40"/>
      <c r="U443" s="40"/>
      <c r="V443" s="40"/>
      <c r="W443" s="40"/>
      <c r="Z443" s="1352" t="s">
        <v>589</v>
      </c>
      <c r="AA443" s="1352"/>
    </row>
    <row r="444" spans="1:36" ht="12.95" customHeight="1"/>
    <row r="445" spans="1:36" ht="12.95" customHeight="1">
      <c r="A445" s="2" t="s">
        <v>465</v>
      </c>
      <c r="B445" s="2"/>
      <c r="C445" s="2"/>
      <c r="D445" s="2" t="s">
        <v>762</v>
      </c>
      <c r="AF445" s="48"/>
    </row>
    <row r="446" spans="1:36" ht="12.95" customHeight="1">
      <c r="D446" s="1678" t="s">
        <v>43</v>
      </c>
      <c r="E446" s="1679"/>
      <c r="F446" s="1679"/>
      <c r="G446" s="1679"/>
      <c r="H446" s="1679"/>
      <c r="I446" s="1679"/>
      <c r="J446" s="1679"/>
      <c r="K446" s="1679"/>
      <c r="L446" s="1679"/>
      <c r="M446" s="1679"/>
      <c r="N446" s="1679"/>
      <c r="O446" s="1679"/>
      <c r="P446" s="1679"/>
      <c r="Q446" s="1679"/>
      <c r="R446" s="1679"/>
      <c r="S446" s="1679"/>
      <c r="T446" s="1679"/>
      <c r="U446" s="1679"/>
      <c r="V446" s="1679"/>
      <c r="W446" s="1679"/>
      <c r="X446" s="1679"/>
      <c r="Y446" s="1679"/>
      <c r="Z446" s="1679"/>
      <c r="AA446" s="1679"/>
      <c r="AB446" s="1679"/>
      <c r="AC446" s="1679"/>
      <c r="AD446" s="1679"/>
      <c r="AE446" s="1679"/>
      <c r="AF446" s="1857"/>
      <c r="AG446" s="1772">
        <v>124</v>
      </c>
      <c r="AH446" s="1772"/>
      <c r="AI446" s="1772"/>
      <c r="AJ446" s="1772"/>
    </row>
    <row r="447" spans="1:36" ht="12.95" customHeight="1">
      <c r="D447" s="1768" t="s">
        <v>1220</v>
      </c>
      <c r="E447" s="1769"/>
      <c r="F447" s="1769"/>
      <c r="G447" s="1769"/>
      <c r="H447" s="1769"/>
      <c r="I447" s="1769"/>
      <c r="J447" s="1769"/>
      <c r="K447" s="1769"/>
      <c r="L447" s="1769"/>
      <c r="M447" s="1769"/>
      <c r="N447" s="1769"/>
      <c r="O447" s="1769"/>
      <c r="P447" s="1769"/>
      <c r="Q447" s="1769"/>
      <c r="R447" s="1769"/>
      <c r="S447" s="1769"/>
      <c r="T447" s="1769"/>
      <c r="U447" s="1769"/>
      <c r="V447" s="1769"/>
      <c r="W447" s="1769"/>
      <c r="X447" s="1769"/>
      <c r="Y447" s="1769"/>
      <c r="Z447" s="1769"/>
      <c r="AA447" s="1769"/>
      <c r="AB447" s="1769"/>
      <c r="AC447" s="1769"/>
      <c r="AD447" s="1769"/>
      <c r="AE447" s="1769"/>
      <c r="AF447" s="1770"/>
      <c r="AG447" s="1856">
        <v>0</v>
      </c>
      <c r="AH447" s="1488"/>
      <c r="AI447" s="1488"/>
      <c r="AJ447" s="1488"/>
    </row>
    <row r="448" spans="1:36" ht="12.95" customHeight="1">
      <c r="D448" s="1768" t="s">
        <v>1029</v>
      </c>
      <c r="E448" s="1769"/>
      <c r="F448" s="1769"/>
      <c r="G448" s="1769"/>
      <c r="H448" s="1769"/>
      <c r="I448" s="1769"/>
      <c r="J448" s="1769"/>
      <c r="K448" s="1769"/>
      <c r="L448" s="1769"/>
      <c r="M448" s="1769"/>
      <c r="N448" s="1769"/>
      <c r="O448" s="1769"/>
      <c r="P448" s="1769"/>
      <c r="Q448" s="1769"/>
      <c r="R448" s="1769"/>
      <c r="S448" s="1769"/>
      <c r="T448" s="1769"/>
      <c r="U448" s="1769"/>
      <c r="V448" s="1769"/>
      <c r="W448" s="1769"/>
      <c r="X448" s="1769"/>
      <c r="Y448" s="1769"/>
      <c r="Z448" s="1769"/>
      <c r="AA448" s="1769"/>
      <c r="AB448" s="1769"/>
      <c r="AC448" s="1769"/>
      <c r="AD448" s="1769"/>
      <c r="AE448" s="1769"/>
      <c r="AF448" s="1770"/>
      <c r="AG448" s="1772">
        <v>122</v>
      </c>
      <c r="AH448" s="1772"/>
      <c r="AI448" s="1772"/>
      <c r="AJ448" s="1772"/>
    </row>
    <row r="449" spans="4:55" ht="12.95" customHeight="1">
      <c r="D449" s="1768" t="s">
        <v>1030</v>
      </c>
      <c r="E449" s="1769"/>
      <c r="F449" s="1769"/>
      <c r="G449" s="1769"/>
      <c r="H449" s="1769"/>
      <c r="I449" s="1769"/>
      <c r="J449" s="1769"/>
      <c r="K449" s="1769"/>
      <c r="L449" s="1769"/>
      <c r="M449" s="1769"/>
      <c r="N449" s="1769"/>
      <c r="O449" s="1769"/>
      <c r="P449" s="1769"/>
      <c r="Q449" s="1769"/>
      <c r="R449" s="1769"/>
      <c r="S449" s="1769"/>
      <c r="T449" s="1769"/>
      <c r="U449" s="1769"/>
      <c r="V449" s="1769"/>
      <c r="W449" s="1769"/>
      <c r="X449" s="1769"/>
      <c r="Y449" s="1769"/>
      <c r="Z449" s="1769"/>
      <c r="AA449" s="1769"/>
      <c r="AB449" s="1769"/>
      <c r="AC449" s="1769"/>
      <c r="AD449" s="1769"/>
      <c r="AE449" s="1769"/>
      <c r="AF449" s="1770"/>
      <c r="AG449" s="1772">
        <v>122</v>
      </c>
      <c r="AH449" s="1772"/>
      <c r="AI449" s="1772"/>
      <c r="AJ449" s="1772"/>
    </row>
    <row r="450" spans="4:55" ht="12.95" customHeight="1">
      <c r="D450" s="1768" t="s">
        <v>1032</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60">
        <f>IF(ISERROR(AG449/AG448),0,AG449/AG448)</f>
        <v>1</v>
      </c>
      <c r="AH450" s="1860"/>
      <c r="AI450" s="1860"/>
      <c r="AJ450" s="1860"/>
    </row>
    <row r="451" spans="4:55" ht="12.95" customHeight="1">
      <c r="D451" s="1768" t="s">
        <v>1031</v>
      </c>
      <c r="E451" s="1769"/>
      <c r="F451" s="1769"/>
      <c r="G451" s="1769"/>
      <c r="H451" s="1769"/>
      <c r="I451" s="1769"/>
      <c r="J451" s="1769"/>
      <c r="K451" s="1769"/>
      <c r="L451" s="1769"/>
      <c r="M451" s="1769"/>
      <c r="N451" s="1769"/>
      <c r="O451" s="1769"/>
      <c r="P451" s="1769"/>
      <c r="Q451" s="1769"/>
      <c r="R451" s="1769"/>
      <c r="S451" s="1769"/>
      <c r="T451" s="1769"/>
      <c r="U451" s="1769"/>
      <c r="V451" s="1769"/>
      <c r="W451" s="1769"/>
      <c r="X451" s="1769"/>
      <c r="Y451" s="1769"/>
      <c r="Z451" s="1769"/>
      <c r="AA451" s="1769"/>
      <c r="AB451" s="1769"/>
      <c r="AC451" s="1769"/>
      <c r="AD451" s="1769"/>
      <c r="AE451" s="1769"/>
      <c r="AF451" s="1770"/>
      <c r="AG451" s="1790">
        <v>93297</v>
      </c>
      <c r="AH451" s="1790"/>
      <c r="AI451" s="1790"/>
      <c r="AJ451" s="1790"/>
    </row>
    <row r="452" spans="4:55" ht="12.95" customHeight="1">
      <c r="D452" s="1768" t="s">
        <v>1033</v>
      </c>
      <c r="E452" s="1769"/>
      <c r="F452" s="1769"/>
      <c r="G452" s="1769"/>
      <c r="H452" s="1769"/>
      <c r="I452" s="1769"/>
      <c r="J452" s="1769"/>
      <c r="K452" s="1769"/>
      <c r="L452" s="1769"/>
      <c r="M452" s="1769"/>
      <c r="N452" s="1769"/>
      <c r="O452" s="1769"/>
      <c r="P452" s="1769"/>
      <c r="Q452" s="1769"/>
      <c r="R452" s="1769"/>
      <c r="S452" s="1769"/>
      <c r="T452" s="1769"/>
      <c r="U452" s="1769"/>
      <c r="V452" s="1769"/>
      <c r="W452" s="1769"/>
      <c r="X452" s="1769"/>
      <c r="Y452" s="1769"/>
      <c r="Z452" s="1769"/>
      <c r="AA452" s="1769"/>
      <c r="AB452" s="1769"/>
      <c r="AC452" s="1769"/>
      <c r="AD452" s="1769"/>
      <c r="AE452" s="1769"/>
      <c r="AF452" s="1770"/>
      <c r="AG452" s="1790">
        <v>93297</v>
      </c>
      <c r="AH452" s="1790"/>
      <c r="AI452" s="1790"/>
      <c r="AJ452" s="1790"/>
    </row>
    <row r="453" spans="4:55" ht="12.95" customHeight="1">
      <c r="D453" s="1768" t="s">
        <v>1034</v>
      </c>
      <c r="E453" s="1769"/>
      <c r="F453" s="1769"/>
      <c r="G453" s="1769"/>
      <c r="H453" s="1769"/>
      <c r="I453" s="1769"/>
      <c r="J453" s="1769"/>
      <c r="K453" s="1769"/>
      <c r="L453" s="1769"/>
      <c r="M453" s="1769"/>
      <c r="N453" s="1769"/>
      <c r="O453" s="1769"/>
      <c r="P453" s="1769"/>
      <c r="Q453" s="1769"/>
      <c r="R453" s="1769"/>
      <c r="S453" s="1769"/>
      <c r="T453" s="1769"/>
      <c r="U453" s="1769"/>
      <c r="V453" s="1769"/>
      <c r="W453" s="1769"/>
      <c r="X453" s="1769"/>
      <c r="Y453" s="1769"/>
      <c r="Z453" s="1769"/>
      <c r="AA453" s="1769"/>
      <c r="AB453" s="1769"/>
      <c r="AC453" s="1769"/>
      <c r="AD453" s="1769"/>
      <c r="AE453" s="1769"/>
      <c r="AF453" s="1770"/>
      <c r="AG453" s="1860">
        <f>IF(ISERROR(AG452/AG451),0,AG452/AG451)</f>
        <v>1</v>
      </c>
      <c r="AH453" s="1860"/>
      <c r="AI453" s="1860"/>
      <c r="AJ453" s="1860"/>
    </row>
    <row r="454" spans="4:55" ht="12.95" customHeight="1">
      <c r="D454" s="1768" t="s">
        <v>1035</v>
      </c>
      <c r="E454" s="1769"/>
      <c r="F454" s="1769"/>
      <c r="G454" s="1769"/>
      <c r="H454" s="1769"/>
      <c r="I454" s="1769"/>
      <c r="J454" s="1769"/>
      <c r="K454" s="1769"/>
      <c r="L454" s="1769"/>
      <c r="M454" s="1769"/>
      <c r="N454" s="1769"/>
      <c r="O454" s="1769"/>
      <c r="P454" s="1769"/>
      <c r="Q454" s="1769"/>
      <c r="R454" s="1769"/>
      <c r="S454" s="1769"/>
      <c r="T454" s="1769"/>
      <c r="U454" s="1769"/>
      <c r="V454" s="1769"/>
      <c r="W454" s="1769"/>
      <c r="X454" s="1769"/>
      <c r="Y454" s="1769"/>
      <c r="Z454" s="1769"/>
      <c r="AA454" s="1769"/>
      <c r="AB454" s="1769"/>
      <c r="AC454" s="1769"/>
      <c r="AD454" s="1769"/>
      <c r="AE454" s="1769"/>
      <c r="AF454" s="1770"/>
      <c r="AG454" s="1860">
        <f>MIN(IF(AG450&gt;AG453,AG453,AG450),1)</f>
        <v>1</v>
      </c>
      <c r="AH454" s="1860"/>
      <c r="AI454" s="1860"/>
      <c r="AJ454" s="1860"/>
    </row>
    <row r="455" spans="4:55" ht="12.95" customHeight="1">
      <c r="D455" s="1768" t="s">
        <v>2041</v>
      </c>
      <c r="E455" s="1679"/>
      <c r="F455" s="1679"/>
      <c r="G455" s="1679"/>
      <c r="H455" s="1679"/>
      <c r="I455" s="1679"/>
      <c r="J455" s="1679"/>
      <c r="K455" s="1679"/>
      <c r="L455" s="1679"/>
      <c r="M455" s="1679"/>
      <c r="N455" s="1679"/>
      <c r="O455" s="1679"/>
      <c r="P455" s="1679"/>
      <c r="Q455" s="1679"/>
      <c r="R455" s="1679"/>
      <c r="S455" s="1679"/>
      <c r="T455" s="1679"/>
      <c r="U455" s="1679"/>
      <c r="V455" s="1679"/>
      <c r="W455" s="1679"/>
      <c r="X455" s="1679"/>
      <c r="Y455" s="1679"/>
      <c r="Z455" s="1679"/>
      <c r="AA455" s="1679"/>
      <c r="AB455" s="1679"/>
      <c r="AC455" s="1679"/>
      <c r="AD455" s="1679"/>
      <c r="AE455" s="1679"/>
      <c r="AF455" s="1857"/>
      <c r="AG455" s="1773">
        <v>14638</v>
      </c>
      <c r="AH455" s="1773"/>
      <c r="AI455" s="1773"/>
      <c r="AJ455" s="1773"/>
      <c r="AZ455" s="34"/>
      <c r="BA455" s="34"/>
      <c r="BB455" s="34"/>
      <c r="BC455" s="34"/>
    </row>
    <row r="456" spans="4:55" ht="12.95" customHeight="1">
      <c r="D456" s="1678" t="s">
        <v>567</v>
      </c>
      <c r="E456" s="1679"/>
      <c r="F456" s="1679"/>
      <c r="G456" s="1679"/>
      <c r="H456" s="1679"/>
      <c r="I456" s="1679"/>
      <c r="J456" s="1679"/>
      <c r="K456" s="1679"/>
      <c r="L456" s="1679"/>
      <c r="M456" s="1679"/>
      <c r="N456" s="1679"/>
      <c r="O456" s="1679"/>
      <c r="P456" s="1679"/>
      <c r="Q456" s="1679"/>
      <c r="R456" s="1679"/>
      <c r="S456" s="1679"/>
      <c r="T456" s="1679"/>
      <c r="U456" s="1679"/>
      <c r="V456" s="1679"/>
      <c r="W456" s="1679"/>
      <c r="X456" s="1679"/>
      <c r="Y456" s="1679"/>
      <c r="Z456" s="1679"/>
      <c r="AA456" s="1679"/>
      <c r="AB456" s="1679"/>
      <c r="AC456" s="1679"/>
      <c r="AD456" s="1679"/>
      <c r="AE456" s="1679"/>
      <c r="AF456" s="1857"/>
      <c r="AG456" s="1773">
        <v>24057</v>
      </c>
      <c r="AH456" s="1773"/>
      <c r="AI456" s="1773"/>
      <c r="AJ456" s="1773"/>
      <c r="AZ456" s="3"/>
      <c r="BA456" s="3"/>
      <c r="BB456" s="3"/>
      <c r="BC456" s="3"/>
    </row>
    <row r="457" spans="4:55" ht="12.95" customHeight="1">
      <c r="D457" s="1768" t="s">
        <v>1203</v>
      </c>
      <c r="E457" s="1679"/>
      <c r="F457" s="1679"/>
      <c r="G457" s="1679"/>
      <c r="H457" s="1679"/>
      <c r="I457" s="1679"/>
      <c r="J457" s="1679"/>
      <c r="K457" s="1679"/>
      <c r="L457" s="1679"/>
      <c r="M457" s="1679"/>
      <c r="N457" s="1679"/>
      <c r="O457" s="1679"/>
      <c r="P457" s="1679"/>
      <c r="Q457" s="1679"/>
      <c r="R457" s="1679"/>
      <c r="S457" s="1679"/>
      <c r="T457" s="1679"/>
      <c r="U457" s="1679"/>
      <c r="V457" s="1679"/>
      <c r="W457" s="1679"/>
      <c r="X457" s="1679"/>
      <c r="Y457" s="1679"/>
      <c r="Z457" s="1679"/>
      <c r="AA457" s="1679"/>
      <c r="AB457" s="1679"/>
      <c r="AC457" s="1679"/>
      <c r="AD457" s="1679"/>
      <c r="AE457" s="1679"/>
      <c r="AF457" s="1857"/>
      <c r="AG457" s="1773">
        <v>30829</v>
      </c>
      <c r="AH457" s="1773"/>
      <c r="AI457" s="1773"/>
      <c r="AJ457" s="1773"/>
      <c r="AZ457" s="3"/>
      <c r="BA457" s="3"/>
      <c r="BB457" s="3"/>
      <c r="BC457" s="3"/>
    </row>
    <row r="458" spans="4:55" ht="12.95" customHeight="1">
      <c r="D458" s="1768" t="s">
        <v>1036</v>
      </c>
      <c r="E458" s="1679"/>
      <c r="F458" s="1679"/>
      <c r="G458" s="1679"/>
      <c r="H458" s="1679"/>
      <c r="I458" s="1679"/>
      <c r="J458" s="1679"/>
      <c r="K458" s="1679"/>
      <c r="L458" s="1679"/>
      <c r="M458" s="1679"/>
      <c r="N458" s="1679"/>
      <c r="O458" s="1679"/>
      <c r="P458" s="1679"/>
      <c r="Q458" s="1679"/>
      <c r="R458" s="1679"/>
      <c r="S458" s="1679"/>
      <c r="T458" s="1679"/>
      <c r="U458" s="1679"/>
      <c r="V458" s="1679"/>
      <c r="W458" s="1679"/>
      <c r="X458" s="1679"/>
      <c r="Y458" s="1679"/>
      <c r="Z458" s="1679"/>
      <c r="AA458" s="1679"/>
      <c r="AB458" s="1679"/>
      <c r="AC458" s="1679"/>
      <c r="AD458" s="1679"/>
      <c r="AE458" s="1679"/>
      <c r="AF458" s="1857"/>
      <c r="AG458" s="1773">
        <v>18227</v>
      </c>
      <c r="AH458" s="1773"/>
      <c r="AI458" s="1773"/>
      <c r="AJ458" s="1773"/>
      <c r="BB458" s="3"/>
      <c r="BC458" s="3"/>
    </row>
    <row r="459" spans="4:55" ht="12.95" customHeight="1">
      <c r="D459" s="1797" t="s">
        <v>1037</v>
      </c>
      <c r="E459" s="1798"/>
      <c r="F459" s="1798"/>
      <c r="G459" s="1798"/>
      <c r="H459" s="1798"/>
      <c r="I459" s="1798"/>
      <c r="J459" s="1798"/>
      <c r="K459" s="1798"/>
      <c r="L459" s="1798"/>
      <c r="M459" s="1798"/>
      <c r="N459" s="1798"/>
      <c r="O459" s="1798"/>
      <c r="P459" s="1798"/>
      <c r="Q459" s="1798"/>
      <c r="R459" s="1798"/>
      <c r="S459" s="1798"/>
      <c r="T459" s="1798"/>
      <c r="U459" s="1798"/>
      <c r="V459" s="1798"/>
      <c r="W459" s="1798"/>
      <c r="X459" s="1798"/>
      <c r="Y459" s="1798"/>
      <c r="Z459" s="1798"/>
      <c r="AA459" s="1798"/>
      <c r="AB459" s="1798"/>
      <c r="AC459" s="1798"/>
      <c r="AD459" s="1798"/>
      <c r="AE459" s="1798"/>
      <c r="AF459" s="1799"/>
      <c r="AG459" s="1859">
        <f>AG451+AG455+AG457+AG458</f>
        <v>156991</v>
      </c>
      <c r="AH459" s="1859"/>
      <c r="AI459" s="1859"/>
      <c r="AJ459" s="1859"/>
      <c r="AZ459" s="3"/>
      <c r="BA459" s="3"/>
      <c r="BB459" s="3"/>
      <c r="BC459" s="3"/>
    </row>
    <row r="460" spans="4:55" ht="12.95" customHeight="1">
      <c r="D460" s="1774" t="s">
        <v>1204</v>
      </c>
      <c r="E460" s="1774"/>
      <c r="F460" s="1774"/>
      <c r="G460" s="1774"/>
      <c r="H460" s="1774"/>
      <c r="I460" s="1774"/>
      <c r="J460" s="1774"/>
      <c r="K460" s="1774"/>
      <c r="L460" s="1774"/>
      <c r="M460" s="1774"/>
      <c r="N460" s="1774"/>
      <c r="O460" s="1774"/>
      <c r="P460" s="1774"/>
      <c r="Q460" s="1774"/>
      <c r="R460" s="1774"/>
      <c r="S460" s="1774"/>
      <c r="T460" s="1774"/>
      <c r="U460" s="1774"/>
      <c r="V460" s="1774"/>
      <c r="W460" s="1774"/>
      <c r="X460" s="1774"/>
      <c r="Y460" s="1774"/>
      <c r="Z460" s="1774"/>
      <c r="AA460" s="1774"/>
      <c r="AB460" s="1774"/>
      <c r="AC460" s="1774"/>
      <c r="AD460" s="1774"/>
      <c r="AE460" s="1774"/>
      <c r="AF460" s="1774"/>
      <c r="AG460" s="1774"/>
      <c r="AH460" s="1774"/>
      <c r="AI460" s="1774"/>
      <c r="AJ460" s="1774"/>
      <c r="AZ460" s="3"/>
      <c r="BA460" s="3"/>
      <c r="BB460" s="3"/>
      <c r="BC460" s="3"/>
    </row>
    <row r="461" spans="4:55" ht="12.95" customHeight="1">
      <c r="D461" s="1775"/>
      <c r="E461" s="1775"/>
      <c r="F461" s="1775"/>
      <c r="G461" s="1775"/>
      <c r="H461" s="1775"/>
      <c r="I461" s="1775"/>
      <c r="J461" s="1775"/>
      <c r="K461" s="1775"/>
      <c r="L461" s="1775"/>
      <c r="M461" s="1775"/>
      <c r="N461" s="1775"/>
      <c r="O461" s="1775"/>
      <c r="P461" s="1775"/>
      <c r="Q461" s="1775"/>
      <c r="R461" s="1775"/>
      <c r="S461" s="1775"/>
      <c r="T461" s="1775"/>
      <c r="U461" s="1775"/>
      <c r="V461" s="1775"/>
      <c r="W461" s="1775"/>
      <c r="X461" s="1775"/>
      <c r="Y461" s="1775"/>
      <c r="Z461" s="1775"/>
      <c r="AA461" s="1775"/>
      <c r="AB461" s="1775"/>
      <c r="AC461" s="1775"/>
      <c r="AD461" s="1775"/>
      <c r="AE461" s="1775"/>
      <c r="AF461" s="1775"/>
      <c r="AG461" s="1775"/>
      <c r="AH461" s="1775"/>
      <c r="AI461" s="1775"/>
      <c r="AJ461" s="1775"/>
      <c r="AZ461" s="3"/>
      <c r="BA461" s="3"/>
      <c r="BB461" s="3"/>
      <c r="BC461" s="3"/>
    </row>
    <row r="462" spans="4:55" ht="12.95" customHeight="1">
      <c r="D462" s="530"/>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85">
        <f>IF(AG446=0,"",'Sources and Uses Budget'!B105/Application!AG446)</f>
        <v>867319.79032258061</v>
      </c>
      <c r="AD463" s="1785"/>
      <c r="AE463" s="1785"/>
      <c r="AF463" s="1785"/>
      <c r="AG463" s="177"/>
      <c r="AH463" s="177"/>
      <c r="AI463" s="177"/>
      <c r="AJ463" s="183"/>
      <c r="AZ463" s="3"/>
      <c r="BA463" s="3" t="str">
        <f>AG583</f>
        <v>Yes</v>
      </c>
      <c r="BB463" s="3"/>
      <c r="BC463" s="3"/>
    </row>
    <row r="464" spans="4:55" ht="12.9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85">
        <f>IF(AG446=0,"",'Sources and Uses Budget'!C105/Application!AG446)</f>
        <v>841929.75806451612</v>
      </c>
      <c r="AD464" s="1785"/>
      <c r="AE464" s="1785"/>
      <c r="AF464" s="1785"/>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85">
        <f>IF(AG446=0,"",('Sources and Uses Budget'!$S$107+'Sources and Uses Budget'!$T$107)/Application!AG446)</f>
        <v>805220.58064516133</v>
      </c>
      <c r="AD465" s="1785"/>
      <c r="AE465" s="1785"/>
      <c r="AF465" s="1785"/>
      <c r="AG465" s="177"/>
      <c r="AH465" s="177"/>
      <c r="AI465" s="177"/>
      <c r="AJ465" s="183"/>
      <c r="AZ465" s="3"/>
      <c r="BA465" s="3"/>
      <c r="BB465" s="3"/>
      <c r="BC465" s="3"/>
    </row>
    <row r="466" spans="1:55" ht="12.95" customHeight="1">
      <c r="D466" s="177"/>
      <c r="E466" s="177"/>
      <c r="F466" s="1192"/>
      <c r="G466" s="1192"/>
      <c r="H466" s="1192"/>
      <c r="I466" s="1192"/>
      <c r="J466" s="1192"/>
      <c r="K466" s="1192"/>
      <c r="L466" s="1192"/>
      <c r="M466" s="1192"/>
      <c r="N466" s="1192"/>
      <c r="O466" s="1192"/>
      <c r="P466" s="1192"/>
      <c r="Q466" s="1192"/>
      <c r="R466" s="1192"/>
      <c r="S466" s="1192"/>
      <c r="T466" s="1192"/>
      <c r="U466" s="1192"/>
      <c r="V466" s="1192"/>
      <c r="W466" s="1192"/>
      <c r="X466" s="1192"/>
      <c r="Y466" s="1192"/>
      <c r="Z466" s="1192"/>
      <c r="AA466" s="1192"/>
      <c r="AB466" s="1192"/>
      <c r="AC466" s="514"/>
      <c r="AD466" s="177"/>
      <c r="AE466" s="177"/>
      <c r="AF466" s="177"/>
      <c r="AG466" s="177"/>
      <c r="AH466" s="177"/>
      <c r="AI466" s="177"/>
      <c r="AJ466" s="183"/>
      <c r="AZ466" s="3"/>
      <c r="BA466" s="3"/>
      <c r="BB466" s="3"/>
      <c r="BC466" s="3"/>
    </row>
    <row r="467" spans="1:55" ht="12.95"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0"/>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6" t="s">
        <v>2053</v>
      </c>
      <c r="E473" s="1792"/>
      <c r="F473" s="1792"/>
      <c r="G473" s="1792"/>
      <c r="H473" s="1792"/>
      <c r="I473" s="1792"/>
      <c r="J473" s="1792"/>
      <c r="K473" s="1792"/>
      <c r="L473" s="1792"/>
      <c r="M473" s="1792"/>
      <c r="N473" s="1792"/>
      <c r="O473" s="1792"/>
      <c r="P473" s="1792"/>
      <c r="Q473" s="1792"/>
      <c r="R473" s="1792"/>
      <c r="S473" s="1792"/>
      <c r="T473" s="1792"/>
      <c r="U473" s="1792"/>
      <c r="V473" s="1793"/>
      <c r="W473" s="1533">
        <v>0</v>
      </c>
      <c r="X473" s="1534"/>
      <c r="Y473" s="153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91" t="s">
        <v>691</v>
      </c>
      <c r="E474" s="1792"/>
      <c r="F474" s="1792"/>
      <c r="G474" s="1792"/>
      <c r="H474" s="1792"/>
      <c r="I474" s="1792"/>
      <c r="J474" s="1792"/>
      <c r="K474" s="1792"/>
      <c r="L474" s="1792"/>
      <c r="M474" s="1792"/>
      <c r="N474" s="1792"/>
      <c r="O474" s="1792"/>
      <c r="P474" s="1792"/>
      <c r="Q474" s="1792"/>
      <c r="R474" s="1792"/>
      <c r="S474" s="1792"/>
      <c r="T474" s="1792"/>
      <c r="U474" s="1792"/>
      <c r="V474" s="1793"/>
      <c r="W474" s="1533">
        <v>0</v>
      </c>
      <c r="X474" s="1534"/>
      <c r="Y474" s="153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91" t="s">
        <v>692</v>
      </c>
      <c r="E475" s="1792"/>
      <c r="F475" s="1792"/>
      <c r="G475" s="1792"/>
      <c r="H475" s="1792"/>
      <c r="I475" s="1792"/>
      <c r="J475" s="1792"/>
      <c r="K475" s="1792"/>
      <c r="L475" s="1792"/>
      <c r="M475" s="1792"/>
      <c r="N475" s="1792"/>
      <c r="O475" s="1792"/>
      <c r="P475" s="1792"/>
      <c r="Q475" s="1792"/>
      <c r="R475" s="1792"/>
      <c r="S475" s="1792"/>
      <c r="T475" s="1792"/>
      <c r="U475" s="1792"/>
      <c r="V475" s="1793"/>
      <c r="W475" s="1533">
        <v>0</v>
      </c>
      <c r="X475" s="1534"/>
      <c r="Y475" s="1535"/>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91" t="s">
        <v>693</v>
      </c>
      <c r="E476" s="1792"/>
      <c r="F476" s="1792"/>
      <c r="G476" s="1792"/>
      <c r="H476" s="1792"/>
      <c r="I476" s="1792"/>
      <c r="J476" s="1792"/>
      <c r="K476" s="1792"/>
      <c r="L476" s="1792"/>
      <c r="M476" s="1792"/>
      <c r="N476" s="1792"/>
      <c r="O476" s="1792"/>
      <c r="P476" s="1792"/>
      <c r="Q476" s="1792"/>
      <c r="R476" s="1792"/>
      <c r="S476" s="1792"/>
      <c r="T476" s="1792"/>
      <c r="U476" s="1792"/>
      <c r="V476" s="1793"/>
      <c r="W476" s="1533">
        <v>0</v>
      </c>
      <c r="X476" s="1534"/>
      <c r="Y476" s="1535"/>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91" t="s">
        <v>879</v>
      </c>
      <c r="E477" s="1792"/>
      <c r="F477" s="1792"/>
      <c r="G477" s="1792"/>
      <c r="H477" s="1792"/>
      <c r="I477" s="1792"/>
      <c r="J477" s="1792"/>
      <c r="K477" s="1792"/>
      <c r="L477" s="1792"/>
      <c r="M477" s="1792"/>
      <c r="N477" s="1792"/>
      <c r="O477" s="1792"/>
      <c r="P477" s="1792"/>
      <c r="Q477" s="1792"/>
      <c r="R477" s="1792"/>
      <c r="S477" s="1792"/>
      <c r="T477" s="1792"/>
      <c r="U477" s="1792"/>
      <c r="V477" s="1793"/>
      <c r="W477" s="1533">
        <v>0</v>
      </c>
      <c r="X477" s="1534"/>
      <c r="Y477" s="1535"/>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91" t="s">
        <v>694</v>
      </c>
      <c r="E478" s="1792"/>
      <c r="F478" s="1792"/>
      <c r="G478" s="1792"/>
      <c r="H478" s="1792"/>
      <c r="I478" s="1792"/>
      <c r="J478" s="1792"/>
      <c r="K478" s="1792"/>
      <c r="L478" s="1792"/>
      <c r="M478" s="1792"/>
      <c r="N478" s="1792"/>
      <c r="O478" s="1792"/>
      <c r="P478" s="1792"/>
      <c r="Q478" s="1792"/>
      <c r="R478" s="1792"/>
      <c r="S478" s="1792"/>
      <c r="T478" s="1792"/>
      <c r="U478" s="1792"/>
      <c r="V478" s="1793"/>
      <c r="W478" s="1533">
        <v>0</v>
      </c>
      <c r="X478" s="1534"/>
      <c r="Y478" s="1535"/>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91" t="s">
        <v>1010</v>
      </c>
      <c r="E479" s="1792"/>
      <c r="F479" s="1792"/>
      <c r="G479" s="1792"/>
      <c r="H479" s="1792"/>
      <c r="I479" s="1792"/>
      <c r="J479" s="1792"/>
      <c r="K479" s="1792"/>
      <c r="L479" s="1792"/>
      <c r="M479" s="1792"/>
      <c r="N479" s="1792"/>
      <c r="O479" s="1792"/>
      <c r="P479" s="1792"/>
      <c r="Q479" s="1792"/>
      <c r="R479" s="1792"/>
      <c r="S479" s="1792"/>
      <c r="T479" s="1792"/>
      <c r="U479" s="1792"/>
      <c r="V479" s="1793"/>
      <c r="W479" s="1533">
        <v>0</v>
      </c>
      <c r="X479" s="1534"/>
      <c r="Y479" s="1535"/>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76" t="s">
        <v>2143</v>
      </c>
      <c r="E480" s="1777"/>
      <c r="F480" s="1777"/>
      <c r="G480" s="1777"/>
      <c r="H480" s="1777"/>
      <c r="I480" s="1777"/>
      <c r="J480" s="1777"/>
      <c r="K480" s="1777"/>
      <c r="L480" s="1777"/>
      <c r="M480" s="1777"/>
      <c r="N480" s="1777"/>
      <c r="O480" s="1777"/>
      <c r="P480" s="1777"/>
      <c r="Q480" s="1777"/>
      <c r="R480" s="1777"/>
      <c r="S480" s="1777"/>
      <c r="T480" s="1777"/>
      <c r="U480" s="1777"/>
      <c r="V480" s="1778"/>
      <c r="W480" s="1533">
        <v>0</v>
      </c>
      <c r="X480" s="1534"/>
      <c r="Y480" s="1535"/>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76" t="s">
        <v>1641</v>
      </c>
      <c r="E481" s="1792"/>
      <c r="F481" s="1792"/>
      <c r="G481" s="1792"/>
      <c r="H481" s="1792"/>
      <c r="I481" s="1792"/>
      <c r="J481" s="1792"/>
      <c r="K481" s="1792"/>
      <c r="L481" s="1792"/>
      <c r="M481" s="1792"/>
      <c r="N481" s="1792"/>
      <c r="O481" s="1792"/>
      <c r="P481" s="1792"/>
      <c r="Q481" s="1792"/>
      <c r="R481" s="1792"/>
      <c r="S481" s="1792"/>
      <c r="T481" s="1792"/>
      <c r="U481" s="1792"/>
      <c r="V481" s="1793"/>
      <c r="W481" s="1533">
        <v>32</v>
      </c>
      <c r="X481" s="1534"/>
      <c r="Y481" s="1535"/>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861" t="s">
        <v>2782</v>
      </c>
      <c r="H482" s="1862"/>
      <c r="I482" s="1862"/>
      <c r="J482" s="1862"/>
      <c r="K482" s="1862"/>
      <c r="L482" s="1862"/>
      <c r="M482" s="1862"/>
      <c r="N482" s="1862"/>
      <c r="O482" s="1862"/>
      <c r="P482" s="1862"/>
      <c r="Q482" s="1862"/>
      <c r="R482" s="1862"/>
      <c r="S482" s="1862"/>
      <c r="T482" s="1862"/>
      <c r="U482" s="1862"/>
      <c r="V482" s="1863"/>
      <c r="W482" s="1533">
        <v>10</v>
      </c>
      <c r="X482" s="1534"/>
      <c r="Y482" s="1535"/>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75">
      <c r="A484" s="3"/>
      <c r="B484" s="3"/>
      <c r="C484" s="3"/>
      <c r="D484" s="1265" t="s">
        <v>2780</v>
      </c>
      <c r="E484" s="250"/>
      <c r="F484" s="250"/>
      <c r="G484" s="250"/>
      <c r="H484" s="250"/>
      <c r="I484" s="250"/>
      <c r="J484" s="250"/>
      <c r="K484" s="250"/>
      <c r="L484" s="250"/>
      <c r="M484" s="250"/>
      <c r="N484" s="250"/>
      <c r="O484" s="250"/>
      <c r="P484" s="250"/>
      <c r="Q484" s="250"/>
      <c r="R484" s="250"/>
      <c r="S484" s="250"/>
      <c r="T484" s="250"/>
      <c r="U484" s="250"/>
      <c r="V484" s="250"/>
      <c r="W484" s="251"/>
      <c r="X484" s="251"/>
      <c r="Y484" s="252"/>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1265" t="s">
        <v>2783</v>
      </c>
      <c r="E485" s="250"/>
      <c r="F485" s="250"/>
      <c r="G485" s="250"/>
      <c r="H485" s="250"/>
      <c r="I485" s="250"/>
      <c r="J485" s="250"/>
      <c r="K485" s="250"/>
      <c r="L485" s="250"/>
      <c r="M485" s="250"/>
      <c r="N485" s="250"/>
      <c r="O485" s="250"/>
      <c r="P485" s="250"/>
      <c r="Q485" s="250"/>
      <c r="R485" s="250"/>
      <c r="S485" s="250"/>
      <c r="T485" s="250"/>
      <c r="U485" s="250"/>
      <c r="V485" s="250"/>
      <c r="W485" s="251"/>
      <c r="X485" s="251"/>
      <c r="Y485" s="252"/>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1265" t="s">
        <v>2784</v>
      </c>
      <c r="E486" s="250"/>
      <c r="F486" s="250"/>
      <c r="G486" s="250"/>
      <c r="H486" s="250"/>
      <c r="I486" s="250"/>
      <c r="J486" s="250"/>
      <c r="K486" s="250"/>
      <c r="L486" s="250"/>
      <c r="M486" s="250"/>
      <c r="N486" s="250"/>
      <c r="O486" s="250"/>
      <c r="P486" s="250"/>
      <c r="Q486" s="250"/>
      <c r="R486" s="250"/>
      <c r="S486" s="250"/>
      <c r="T486" s="250"/>
      <c r="U486" s="250"/>
      <c r="V486" s="250"/>
      <c r="W486" s="251"/>
      <c r="X486" s="251"/>
      <c r="Y486" s="252"/>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19" t="s">
        <v>808</v>
      </c>
      <c r="B488" s="1519"/>
      <c r="C488" s="1519"/>
      <c r="D488" s="1519"/>
      <c r="E488" s="1519"/>
      <c r="F488" s="1519"/>
      <c r="G488" s="1519"/>
      <c r="H488" s="1519"/>
      <c r="I488" s="1519"/>
      <c r="J488" s="1519"/>
      <c r="K488" s="1519"/>
      <c r="L488" s="1519"/>
      <c r="M488" s="1519"/>
      <c r="N488" s="1519"/>
      <c r="O488" s="1519"/>
      <c r="P488" s="1519"/>
      <c r="Q488" s="1519"/>
      <c r="R488" s="1519"/>
      <c r="S488" s="1519"/>
      <c r="T488" s="1519"/>
      <c r="U488" s="1519"/>
      <c r="V488" s="1519"/>
      <c r="W488" s="1519"/>
      <c r="X488" s="1519"/>
      <c r="Y488" s="1519"/>
      <c r="Z488" s="1519"/>
      <c r="AA488" s="1519"/>
      <c r="AB488" s="1519"/>
      <c r="AC488" s="1519"/>
      <c r="AD488" s="1519"/>
      <c r="AE488" s="1519"/>
      <c r="AF488" s="1519"/>
      <c r="AG488" s="1519"/>
      <c r="AH488" s="1519"/>
      <c r="AI488" s="1519"/>
      <c r="AJ488" s="1519"/>
      <c r="AK488" s="1519"/>
      <c r="AL488" s="1519"/>
      <c r="AM488" s="1519"/>
      <c r="AN488" s="1519"/>
      <c r="AO488" s="1519"/>
      <c r="AP488" s="1519"/>
      <c r="AQ488" s="1519"/>
      <c r="AR488" s="1519"/>
      <c r="AS488" s="1519"/>
      <c r="AT488" s="1519"/>
      <c r="AU488" s="95"/>
      <c r="AV488" s="95"/>
      <c r="AW488" s="95"/>
      <c r="AX488" s="95"/>
      <c r="AY488" s="95"/>
      <c r="AZ488" s="3"/>
      <c r="BB488" s="3"/>
      <c r="BC488" s="3"/>
    </row>
    <row r="489" spans="1:55" ht="12.95" customHeight="1">
      <c r="A489" s="1519"/>
      <c r="B489" s="1519"/>
      <c r="C489" s="1519"/>
      <c r="D489" s="1519"/>
      <c r="E489" s="1519"/>
      <c r="F489" s="1519"/>
      <c r="G489" s="1519"/>
      <c r="H489" s="1519"/>
      <c r="I489" s="1519"/>
      <c r="J489" s="1519"/>
      <c r="K489" s="1519"/>
      <c r="L489" s="1519"/>
      <c r="M489" s="1519"/>
      <c r="N489" s="1519"/>
      <c r="O489" s="1519"/>
      <c r="P489" s="1519"/>
      <c r="Q489" s="1519"/>
      <c r="R489" s="1519"/>
      <c r="S489" s="1519"/>
      <c r="T489" s="1519"/>
      <c r="U489" s="1519"/>
      <c r="V489" s="1519"/>
      <c r="W489" s="1519"/>
      <c r="X489" s="1519"/>
      <c r="Y489" s="1519"/>
      <c r="Z489" s="1519"/>
      <c r="AA489" s="1519"/>
      <c r="AB489" s="1519"/>
      <c r="AC489" s="1519"/>
      <c r="AD489" s="1519"/>
      <c r="AE489" s="1519"/>
      <c r="AF489" s="1519"/>
      <c r="AG489" s="1519"/>
      <c r="AH489" s="1519"/>
      <c r="AI489" s="1519"/>
      <c r="AJ489" s="1519"/>
      <c r="AK489" s="1519"/>
      <c r="AL489" s="1519"/>
      <c r="AM489" s="1519"/>
      <c r="AN489" s="1519"/>
      <c r="AO489" s="1519"/>
      <c r="AP489" s="1519"/>
      <c r="AQ489" s="1519"/>
      <c r="AR489" s="1519"/>
      <c r="AS489" s="1519"/>
      <c r="AT489" s="1519"/>
      <c r="AZ489" s="3"/>
      <c r="BB489" s="3"/>
      <c r="BC489" s="3"/>
    </row>
    <row r="490" spans="1:55" ht="12.95" customHeight="1">
      <c r="AZ490" s="3"/>
      <c r="BB490" s="3"/>
      <c r="BC490" s="3"/>
    </row>
    <row r="491" spans="1:55" ht="12.95" customHeight="1">
      <c r="A491" s="2" t="s">
        <v>318</v>
      </c>
      <c r="C491" s="2" t="s">
        <v>806</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86" t="s">
        <v>392</v>
      </c>
      <c r="R493" s="1787"/>
      <c r="S493" s="1787"/>
      <c r="T493" s="1787"/>
      <c r="U493" s="1787"/>
      <c r="V493" s="1787"/>
      <c r="W493" s="1787"/>
      <c r="X493" s="1787"/>
      <c r="Y493" s="1787"/>
      <c r="Z493" s="1787"/>
      <c r="AA493" s="1787"/>
      <c r="AB493" s="1787"/>
      <c r="AC493" s="1787"/>
      <c r="AD493" s="1787"/>
      <c r="AE493" s="1787"/>
      <c r="AF493" s="1787"/>
      <c r="AG493" s="1787"/>
      <c r="AH493" s="1787"/>
      <c r="AI493" s="1787"/>
      <c r="AJ493" s="1787"/>
      <c r="AK493" s="1788"/>
      <c r="AZ493" s="3"/>
      <c r="BB493" s="3"/>
      <c r="BC493" s="3"/>
    </row>
    <row r="494" spans="1:55" ht="12.95" customHeight="1">
      <c r="B494" s="45" t="s">
        <v>393</v>
      </c>
      <c r="C494" s="5"/>
      <c r="D494" s="5"/>
      <c r="E494" s="5"/>
      <c r="F494" s="5"/>
      <c r="G494" s="5"/>
      <c r="H494" s="5"/>
      <c r="I494" s="5"/>
      <c r="J494" s="5"/>
      <c r="K494" s="5"/>
      <c r="L494" s="5"/>
      <c r="M494" s="5"/>
      <c r="N494" s="5"/>
      <c r="O494" s="5"/>
      <c r="P494" s="5"/>
      <c r="Q494" s="1594" t="s">
        <v>2707</v>
      </c>
      <c r="R494" s="1496"/>
      <c r="S494" s="1496"/>
      <c r="T494" s="1496"/>
      <c r="U494" s="1496"/>
      <c r="V494" s="1496"/>
      <c r="W494" s="1496"/>
      <c r="X494" s="1496"/>
      <c r="Y494" s="1496"/>
      <c r="Z494" s="1496"/>
      <c r="AA494" s="1496"/>
      <c r="AB494" s="1496"/>
      <c r="AC494" s="1496"/>
      <c r="AD494" s="1496"/>
      <c r="AE494" s="1496"/>
      <c r="AF494" s="1496"/>
      <c r="AG494" s="1496"/>
      <c r="AH494" s="1496"/>
      <c r="AI494" s="1496"/>
      <c r="AJ494" s="1496"/>
      <c r="AK494" s="1595"/>
      <c r="AZ494" s="3"/>
      <c r="BB494" s="3"/>
      <c r="BC494" s="3"/>
    </row>
    <row r="495" spans="1:55" ht="12.95" customHeight="1">
      <c r="B495" s="45" t="s">
        <v>394</v>
      </c>
      <c r="C495" s="5"/>
      <c r="D495" s="5"/>
      <c r="E495" s="5"/>
      <c r="F495" s="5"/>
      <c r="G495" s="5"/>
      <c r="H495" s="5"/>
      <c r="I495" s="5"/>
      <c r="J495" s="5"/>
      <c r="K495" s="5"/>
      <c r="L495" s="5"/>
      <c r="M495" s="5"/>
      <c r="N495" s="5"/>
      <c r="O495" s="5"/>
      <c r="P495" s="5"/>
      <c r="Q495" s="1594" t="s">
        <v>2708</v>
      </c>
      <c r="R495" s="1496"/>
      <c r="S495" s="1496"/>
      <c r="T495" s="1496"/>
      <c r="U495" s="1496"/>
      <c r="V495" s="1496"/>
      <c r="W495" s="1496"/>
      <c r="X495" s="1496"/>
      <c r="Y495" s="1496"/>
      <c r="Z495" s="1496"/>
      <c r="AA495" s="1496"/>
      <c r="AB495" s="1496"/>
      <c r="AC495" s="1496"/>
      <c r="AD495" s="1496"/>
      <c r="AE495" s="1496"/>
      <c r="AF495" s="1496"/>
      <c r="AG495" s="1496"/>
      <c r="AH495" s="1496"/>
      <c r="AI495" s="1496"/>
      <c r="AJ495" s="1496"/>
      <c r="AK495" s="1595"/>
      <c r="AZ495" s="3"/>
      <c r="BB495" s="3"/>
      <c r="BC495" s="3"/>
    </row>
    <row r="496" spans="1:55" ht="12.95" customHeight="1">
      <c r="B496" s="45" t="s">
        <v>395</v>
      </c>
      <c r="C496" s="5"/>
      <c r="D496" s="5"/>
      <c r="E496" s="5"/>
      <c r="F496" s="5"/>
      <c r="G496" s="5"/>
      <c r="H496" s="5"/>
      <c r="I496" s="5"/>
      <c r="J496" s="5"/>
      <c r="K496" s="5"/>
      <c r="L496" s="5"/>
      <c r="M496" s="5"/>
      <c r="N496" s="5"/>
      <c r="O496" s="5"/>
      <c r="P496" s="5"/>
      <c r="Q496" s="1594" t="s">
        <v>2709</v>
      </c>
      <c r="R496" s="1496"/>
      <c r="S496" s="1496"/>
      <c r="T496" s="1496"/>
      <c r="U496" s="1496"/>
      <c r="V496" s="1496"/>
      <c r="W496" s="1496"/>
      <c r="X496" s="1496"/>
      <c r="Y496" s="1496"/>
      <c r="Z496" s="1496"/>
      <c r="AA496" s="1496"/>
      <c r="AB496" s="1496"/>
      <c r="AC496" s="1496"/>
      <c r="AD496" s="1496"/>
      <c r="AE496" s="1496"/>
      <c r="AF496" s="1496"/>
      <c r="AG496" s="1496"/>
      <c r="AH496" s="1496"/>
      <c r="AI496" s="1496"/>
      <c r="AJ496" s="1496"/>
      <c r="AK496" s="1595"/>
      <c r="AZ496" s="3"/>
      <c r="BA496" s="3"/>
      <c r="BB496" s="3"/>
      <c r="BC496" s="3"/>
    </row>
    <row r="497" spans="1:66" ht="12.95" customHeight="1">
      <c r="B497" s="1874" t="s">
        <v>396</v>
      </c>
      <c r="C497" s="1875"/>
      <c r="D497" s="1875"/>
      <c r="E497" s="1875"/>
      <c r="F497" s="1875"/>
      <c r="G497" s="1875"/>
      <c r="H497" s="1875"/>
      <c r="I497" s="1875"/>
      <c r="J497" s="1875"/>
      <c r="K497" s="1875"/>
      <c r="L497" s="1875"/>
      <c r="M497" s="1875"/>
      <c r="N497" s="1875"/>
      <c r="O497" s="1875"/>
      <c r="P497" s="1876"/>
      <c r="Q497" s="1880" t="s">
        <v>667</v>
      </c>
      <c r="R497" s="1881"/>
      <c r="S497" s="1779" t="s">
        <v>589</v>
      </c>
      <c r="T497" s="1780"/>
      <c r="U497" s="1780"/>
      <c r="V497" s="1780"/>
      <c r="W497" s="1780"/>
      <c r="X497" s="1780"/>
      <c r="Y497" s="1780"/>
      <c r="Z497" s="1780"/>
      <c r="AA497" s="1780"/>
      <c r="AB497" s="1780"/>
      <c r="AC497" s="1780"/>
      <c r="AD497" s="1780"/>
      <c r="AE497" s="1780"/>
      <c r="AF497" s="1780"/>
      <c r="AG497" s="1780"/>
      <c r="AH497" s="1780"/>
      <c r="AI497" s="1780"/>
      <c r="AJ497" s="1780"/>
      <c r="AK497" s="1781"/>
      <c r="AZ497" s="3"/>
      <c r="BA497" s="3"/>
      <c r="BB497" s="3"/>
      <c r="BC497" s="3"/>
    </row>
    <row r="498" spans="1:66" ht="12.95" customHeight="1">
      <c r="B498" s="1877"/>
      <c r="C498" s="1878"/>
      <c r="D498" s="1878"/>
      <c r="E498" s="1878"/>
      <c r="F498" s="1878"/>
      <c r="G498" s="1878"/>
      <c r="H498" s="1878"/>
      <c r="I498" s="1878"/>
      <c r="J498" s="1878"/>
      <c r="K498" s="1878"/>
      <c r="L498" s="1878"/>
      <c r="M498" s="1878"/>
      <c r="N498" s="1878"/>
      <c r="O498" s="1878"/>
      <c r="P498" s="1879"/>
      <c r="Q498" s="1882"/>
      <c r="R498" s="1883"/>
      <c r="S498" s="1782"/>
      <c r="T498" s="1783"/>
      <c r="U498" s="1783"/>
      <c r="V498" s="1783"/>
      <c r="W498" s="1783"/>
      <c r="X498" s="1783"/>
      <c r="Y498" s="1783"/>
      <c r="Z498" s="1783"/>
      <c r="AA498" s="1783"/>
      <c r="AB498" s="1783"/>
      <c r="AC498" s="1783"/>
      <c r="AD498" s="1783"/>
      <c r="AE498" s="1783"/>
      <c r="AF498" s="1783"/>
      <c r="AG498" s="1783"/>
      <c r="AH498" s="1783"/>
      <c r="AI498" s="1783"/>
      <c r="AJ498" s="1783"/>
      <c r="AK498" s="1784"/>
      <c r="AZ498" s="3"/>
      <c r="BA498" s="3"/>
      <c r="BB498" s="3"/>
      <c r="BC498" s="3"/>
    </row>
    <row r="499" spans="1:66" ht="12.95" customHeight="1">
      <c r="B499" s="890" t="s">
        <v>1658</v>
      </c>
      <c r="C499" s="868"/>
      <c r="D499" s="868"/>
      <c r="E499" s="868"/>
      <c r="F499" s="868"/>
      <c r="G499" s="868"/>
      <c r="H499" s="868"/>
      <c r="I499" s="868"/>
      <c r="J499" s="868"/>
      <c r="K499" s="868"/>
      <c r="L499" s="868"/>
      <c r="M499" s="868"/>
      <c r="N499" s="868"/>
      <c r="O499" s="868"/>
      <c r="P499" s="868"/>
      <c r="Q499" s="1864" t="s">
        <v>667</v>
      </c>
      <c r="R499" s="1865"/>
      <c r="S499" s="1865"/>
      <c r="T499" s="1865"/>
      <c r="U499" s="1865"/>
      <c r="V499" s="1865"/>
      <c r="W499" s="1865"/>
      <c r="X499" s="1865"/>
      <c r="Y499" s="1865"/>
      <c r="Z499" s="1865"/>
      <c r="AA499" s="1865"/>
      <c r="AB499" s="1865"/>
      <c r="AC499" s="1865"/>
      <c r="AD499" s="1865"/>
      <c r="AE499" s="1865"/>
      <c r="AF499" s="1865"/>
      <c r="AG499" s="1865"/>
      <c r="AH499" s="1865"/>
      <c r="AI499" s="1865"/>
      <c r="AJ499" s="1865"/>
      <c r="AK499" s="1866"/>
      <c r="AZ499" s="3"/>
      <c r="BA499" s="3"/>
      <c r="BB499" s="3"/>
      <c r="BC499" s="3"/>
    </row>
    <row r="500" spans="1:66" ht="12.95" customHeight="1">
      <c r="B500" s="45" t="s">
        <v>397</v>
      </c>
      <c r="C500" s="5"/>
      <c r="D500" s="5"/>
      <c r="E500" s="5"/>
      <c r="F500" s="5"/>
      <c r="G500" s="5"/>
      <c r="H500" s="5"/>
      <c r="I500" s="5"/>
      <c r="J500" s="5"/>
      <c r="K500" s="5"/>
      <c r="L500" s="5"/>
      <c r="M500" s="5"/>
      <c r="N500" s="5"/>
      <c r="O500" s="5"/>
      <c r="P500" s="5"/>
      <c r="Q500" s="1594" t="s">
        <v>2710</v>
      </c>
      <c r="R500" s="1496"/>
      <c r="S500" s="1496"/>
      <c r="T500" s="1496"/>
      <c r="U500" s="1496"/>
      <c r="V500" s="1496"/>
      <c r="W500" s="1496"/>
      <c r="X500" s="1496"/>
      <c r="Y500" s="1496"/>
      <c r="Z500" s="1496"/>
      <c r="AA500" s="1496"/>
      <c r="AB500" s="1496"/>
      <c r="AC500" s="1496"/>
      <c r="AD500" s="1496"/>
      <c r="AE500" s="1496"/>
      <c r="AF500" s="1496"/>
      <c r="AG500" s="1496"/>
      <c r="AH500" s="1496"/>
      <c r="AI500" s="1496"/>
      <c r="AJ500" s="1496"/>
      <c r="AK500" s="1595"/>
      <c r="AZ500" s="3"/>
      <c r="BA500" s="3"/>
      <c r="BB500" s="3"/>
      <c r="BC500" s="3"/>
    </row>
    <row r="501" spans="1:66" ht="12.95" customHeight="1">
      <c r="B501" s="45" t="s">
        <v>398</v>
      </c>
      <c r="C501" s="5"/>
      <c r="D501" s="5"/>
      <c r="E501" s="5"/>
      <c r="F501" s="5"/>
      <c r="G501" s="5"/>
      <c r="H501" s="5"/>
      <c r="I501" s="5"/>
      <c r="J501" s="5"/>
      <c r="K501" s="5"/>
      <c r="L501" s="5"/>
      <c r="M501" s="5"/>
      <c r="N501" s="5"/>
      <c r="O501" s="5"/>
      <c r="P501" s="5"/>
      <c r="Q501" s="1594">
        <v>0</v>
      </c>
      <c r="R501" s="1496"/>
      <c r="S501" s="1496"/>
      <c r="T501" s="1496"/>
      <c r="U501" s="1496"/>
      <c r="V501" s="1496"/>
      <c r="W501" s="1496"/>
      <c r="X501" s="1496"/>
      <c r="Y501" s="1496"/>
      <c r="Z501" s="1496"/>
      <c r="AA501" s="1496"/>
      <c r="AB501" s="1496"/>
      <c r="AC501" s="1496"/>
      <c r="AD501" s="1496"/>
      <c r="AE501" s="1496"/>
      <c r="AF501" s="1496"/>
      <c r="AG501" s="1496"/>
      <c r="AH501" s="1496"/>
      <c r="AI501" s="1496"/>
      <c r="AJ501" s="1496"/>
      <c r="AK501" s="1595"/>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594">
        <v>40</v>
      </c>
      <c r="R502" s="1496"/>
      <c r="S502" s="1496"/>
      <c r="T502" s="1496"/>
      <c r="U502" s="1496"/>
      <c r="V502" s="1496"/>
      <c r="W502" s="1496"/>
      <c r="X502" s="1496"/>
      <c r="Y502" s="1496"/>
      <c r="Z502" s="1496"/>
      <c r="AA502" s="1496"/>
      <c r="AB502" s="1496"/>
      <c r="AC502" s="1496"/>
      <c r="AD502" s="1496"/>
      <c r="AE502" s="1496"/>
      <c r="AF502" s="1496"/>
      <c r="AG502" s="1496"/>
      <c r="AH502" s="1496"/>
      <c r="AI502" s="1496"/>
      <c r="AJ502" s="1496"/>
      <c r="AK502" s="1595"/>
      <c r="AZ502" s="3"/>
      <c r="BA502" s="3"/>
      <c r="BB502" s="3"/>
      <c r="BC502" s="3"/>
    </row>
    <row r="503" spans="1:66" ht="12.95" customHeight="1">
      <c r="B503" s="121" t="s">
        <v>1656</v>
      </c>
      <c r="C503" s="5"/>
      <c r="D503" s="5"/>
      <c r="E503" s="5"/>
      <c r="F503" s="5"/>
      <c r="G503" s="5"/>
      <c r="H503" s="5"/>
      <c r="I503" s="5"/>
      <c r="J503" s="5"/>
      <c r="K503" s="5"/>
      <c r="L503" s="5"/>
      <c r="M503" s="1485">
        <v>40</v>
      </c>
      <c r="N503" s="1486"/>
      <c r="O503" s="1486"/>
      <c r="P503" s="1487"/>
      <c r="Q503" s="121" t="s">
        <v>1657</v>
      </c>
      <c r="R503" s="5"/>
      <c r="S503" s="5"/>
      <c r="T503" s="5"/>
      <c r="U503" s="5"/>
      <c r="V503" s="5"/>
      <c r="W503" s="5"/>
      <c r="X503" s="5"/>
      <c r="Y503" s="5"/>
      <c r="Z503" s="5"/>
      <c r="AA503" s="5"/>
      <c r="AB503" s="5"/>
      <c r="AC503" s="5"/>
      <c r="AD503" s="5"/>
      <c r="AE503" s="5"/>
      <c r="AF503" s="5"/>
      <c r="AG503" s="5"/>
      <c r="AH503" s="1485">
        <v>0</v>
      </c>
      <c r="AI503" s="1486"/>
      <c r="AJ503" s="1486"/>
      <c r="AK503" s="1487"/>
      <c r="AZ503" s="3"/>
      <c r="BA503" s="3"/>
      <c r="BB503" s="3"/>
      <c r="BC503" s="3"/>
    </row>
    <row r="504" spans="1:66" ht="12.95" customHeight="1">
      <c r="B504" s="511"/>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7"/>
      <c r="C506" s="511"/>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86" t="s">
        <v>400</v>
      </c>
      <c r="AD507" s="1787"/>
      <c r="AE507" s="1787"/>
      <c r="AF507" s="1787"/>
      <c r="AG507" s="1787"/>
      <c r="AH507" s="1787"/>
      <c r="AI507" s="1787"/>
      <c r="AJ507" s="1787"/>
      <c r="AK507" s="1788"/>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86" t="s">
        <v>401</v>
      </c>
      <c r="AD508" s="1787"/>
      <c r="AE508" s="1787"/>
      <c r="AF508" s="1787"/>
      <c r="AG508" s="50" t="s">
        <v>402</v>
      </c>
      <c r="AH508" s="1787" t="s">
        <v>403</v>
      </c>
      <c r="AI508" s="1787"/>
      <c r="AJ508" s="1787"/>
      <c r="AK508" s="1788"/>
      <c r="AZ508" s="3"/>
      <c r="BA508" s="3"/>
      <c r="BB508" s="3"/>
      <c r="BC508" s="3"/>
      <c r="BD508" s="3"/>
      <c r="BE508" s="3"/>
      <c r="BF508" s="3"/>
      <c r="BG508" s="3"/>
      <c r="BH508" s="3"/>
      <c r="BI508" s="3"/>
      <c r="BJ508" s="3"/>
      <c r="BK508" s="3"/>
      <c r="BL508" s="3"/>
      <c r="BM508" s="3"/>
      <c r="BN508" s="3"/>
    </row>
    <row r="509" spans="1:66" ht="12.95" customHeight="1">
      <c r="B509" s="1713" t="s">
        <v>404</v>
      </c>
      <c r="C509" s="1523"/>
      <c r="D509" s="1523"/>
      <c r="E509" s="1523"/>
      <c r="F509" s="1523"/>
      <c r="G509" s="1523"/>
      <c r="H509" s="1524"/>
      <c r="I509" s="42" t="s">
        <v>405</v>
      </c>
      <c r="J509" s="42"/>
      <c r="K509" s="42"/>
      <c r="L509" s="42"/>
      <c r="M509" s="42"/>
      <c r="N509" s="42"/>
      <c r="O509" s="42"/>
      <c r="P509" s="42"/>
      <c r="Q509" s="42"/>
      <c r="R509" s="42"/>
      <c r="S509" s="42"/>
      <c r="T509" s="42"/>
      <c r="U509" s="42"/>
      <c r="V509" s="42"/>
      <c r="W509" s="42"/>
      <c r="AC509" s="1536">
        <v>3</v>
      </c>
      <c r="AD509" s="1537"/>
      <c r="AE509" s="1537"/>
      <c r="AF509" s="1537"/>
      <c r="AG509" s="13" t="s">
        <v>402</v>
      </c>
      <c r="AH509" s="1389">
        <v>2025</v>
      </c>
      <c r="AI509" s="1389"/>
      <c r="AJ509" s="1389"/>
      <c r="AK509" s="1390"/>
      <c r="AZ509" s="3"/>
      <c r="BA509" s="3"/>
      <c r="BB509" s="3"/>
      <c r="BC509" s="3"/>
      <c r="BD509" s="3"/>
      <c r="BE509" s="3"/>
      <c r="BF509" s="3"/>
      <c r="BG509" s="3"/>
      <c r="BH509" s="3"/>
      <c r="BI509" s="3"/>
      <c r="BJ509" s="3"/>
      <c r="BK509" s="3"/>
      <c r="BL509" s="3"/>
      <c r="BM509" s="3"/>
      <c r="BN509" s="3"/>
    </row>
    <row r="510" spans="1:66" ht="12.95" customHeight="1">
      <c r="B510" s="1714"/>
      <c r="C510" s="1525"/>
      <c r="D510" s="1525"/>
      <c r="E510" s="1525"/>
      <c r="F510" s="1525"/>
      <c r="G510" s="1525"/>
      <c r="H510" s="1526"/>
      <c r="I510" s="48" t="s">
        <v>406</v>
      </c>
      <c r="J510" s="48"/>
      <c r="K510" s="48"/>
      <c r="L510" s="48"/>
      <c r="M510" s="48"/>
      <c r="N510" s="48"/>
      <c r="O510" s="48"/>
      <c r="P510" s="48"/>
      <c r="Q510" s="48"/>
      <c r="R510" s="48"/>
      <c r="S510" s="48"/>
      <c r="T510" s="48"/>
      <c r="U510" s="48"/>
      <c r="V510" s="48"/>
      <c r="W510" s="48"/>
      <c r="X510" s="48"/>
      <c r="Y510" s="48"/>
      <c r="Z510" s="48"/>
      <c r="AA510" s="48"/>
      <c r="AB510" s="48"/>
      <c r="AC510" s="1536">
        <v>2</v>
      </c>
      <c r="AD510" s="1537"/>
      <c r="AE510" s="1537"/>
      <c r="AF510" s="1537"/>
      <c r="AG510" s="38" t="s">
        <v>402</v>
      </c>
      <c r="AH510" s="1389">
        <v>2027</v>
      </c>
      <c r="AI510" s="1389"/>
      <c r="AJ510" s="1389"/>
      <c r="AK510" s="1390"/>
      <c r="AZ510" s="3"/>
      <c r="BA510" s="3"/>
      <c r="BB510" s="3"/>
      <c r="BC510" s="3"/>
      <c r="BD510" s="3"/>
      <c r="BE510" s="3"/>
      <c r="BF510" s="3"/>
      <c r="BG510" s="3"/>
      <c r="BH510" s="3"/>
      <c r="BI510" s="3"/>
      <c r="BJ510" s="3"/>
      <c r="BK510" s="3"/>
      <c r="BL510" s="3"/>
      <c r="BM510" s="3"/>
      <c r="BN510" s="3"/>
    </row>
    <row r="511" spans="1:66" ht="12.95" customHeight="1">
      <c r="B511" s="1713" t="s">
        <v>407</v>
      </c>
      <c r="C511" s="1523"/>
      <c r="D511" s="1523"/>
      <c r="E511" s="1523"/>
      <c r="F511" s="1523"/>
      <c r="G511" s="1523"/>
      <c r="H511" s="1524"/>
      <c r="I511" s="42" t="s">
        <v>408</v>
      </c>
      <c r="J511" s="42"/>
      <c r="K511" s="42"/>
      <c r="L511" s="42"/>
      <c r="M511" s="42"/>
      <c r="N511" s="42"/>
      <c r="O511" s="42"/>
      <c r="P511" s="42"/>
      <c r="Q511" s="42"/>
      <c r="R511" s="42"/>
      <c r="S511" s="42"/>
      <c r="T511" s="42"/>
      <c r="U511" s="42"/>
      <c r="V511" s="42"/>
      <c r="W511" s="42"/>
      <c r="AC511" s="1536" t="s">
        <v>589</v>
      </c>
      <c r="AD511" s="1537"/>
      <c r="AE511" s="1537"/>
      <c r="AF511" s="1537"/>
      <c r="AG511" s="13" t="s">
        <v>402</v>
      </c>
      <c r="AH511" s="1389"/>
      <c r="AI511" s="1389"/>
      <c r="AJ511" s="1389"/>
      <c r="AK511" s="1390"/>
      <c r="AZ511" s="3"/>
      <c r="BA511" s="3"/>
      <c r="BB511" s="3"/>
      <c r="BC511" s="3"/>
      <c r="BD511" s="3"/>
      <c r="BE511" s="3"/>
      <c r="BF511" s="3"/>
      <c r="BG511" s="3"/>
      <c r="BH511" s="3"/>
      <c r="BI511" s="3"/>
      <c r="BJ511" s="3"/>
      <c r="BK511" s="3"/>
      <c r="BL511" s="3"/>
      <c r="BM511" s="3"/>
      <c r="BN511" s="3"/>
    </row>
    <row r="512" spans="1:66" ht="12.95" customHeight="1">
      <c r="B512" s="1714"/>
      <c r="C512" s="1525"/>
      <c r="D512" s="1525"/>
      <c r="E512" s="1525"/>
      <c r="F512" s="1525"/>
      <c r="G512" s="1525"/>
      <c r="H512" s="1526"/>
      <c r="I512" t="s">
        <v>409</v>
      </c>
      <c r="AC512" s="1536" t="s">
        <v>589</v>
      </c>
      <c r="AD512" s="1537"/>
      <c r="AE512" s="1537"/>
      <c r="AF512" s="1537"/>
      <c r="AG512" s="13" t="s">
        <v>402</v>
      </c>
      <c r="AH512" s="1389"/>
      <c r="AI512" s="1389"/>
      <c r="AJ512" s="1389"/>
      <c r="AK512" s="1390"/>
      <c r="AZ512" s="3"/>
      <c r="BA512" s="3"/>
      <c r="BB512" s="3"/>
      <c r="BC512" s="3"/>
      <c r="BD512" s="3"/>
      <c r="BE512" s="3"/>
      <c r="BF512" s="3"/>
      <c r="BG512" s="3"/>
      <c r="BH512" s="3"/>
      <c r="BI512" s="3"/>
      <c r="BJ512" s="3"/>
      <c r="BK512" s="3"/>
      <c r="BL512" s="3"/>
      <c r="BM512" s="3"/>
      <c r="BN512" s="3"/>
    </row>
    <row r="513" spans="2:66" ht="12.95" customHeight="1">
      <c r="B513" s="1714"/>
      <c r="C513" s="1525"/>
      <c r="D513" s="1525"/>
      <c r="E513" s="1525"/>
      <c r="F513" s="1525"/>
      <c r="G513" s="1525"/>
      <c r="H513" s="1526"/>
      <c r="I513" t="s">
        <v>410</v>
      </c>
      <c r="AC513" s="1536">
        <v>3</v>
      </c>
      <c r="AD513" s="1537"/>
      <c r="AE513" s="1537"/>
      <c r="AF513" s="1537"/>
      <c r="AG513" s="13" t="s">
        <v>402</v>
      </c>
      <c r="AH513" s="1389">
        <v>2025</v>
      </c>
      <c r="AI513" s="1389"/>
      <c r="AJ513" s="1389"/>
      <c r="AK513" s="1390"/>
      <c r="AZ513" s="3"/>
      <c r="BA513" s="3"/>
      <c r="BB513" s="3"/>
      <c r="BC513" s="3"/>
      <c r="BD513" s="3"/>
      <c r="BE513" s="3"/>
      <c r="BF513" s="3"/>
      <c r="BG513" s="3"/>
      <c r="BH513" s="3"/>
      <c r="BI513" s="3"/>
      <c r="BJ513" s="3"/>
      <c r="BK513" s="3"/>
      <c r="BL513" s="3"/>
      <c r="BM513" s="3"/>
      <c r="BN513" s="3"/>
    </row>
    <row r="514" spans="2:66" ht="12.95" customHeight="1">
      <c r="B514" s="1714"/>
      <c r="C514" s="1525"/>
      <c r="D514" s="1525"/>
      <c r="E514" s="1525"/>
      <c r="F514" s="1525"/>
      <c r="G514" s="1525"/>
      <c r="H514" s="1526"/>
      <c r="I514" t="s">
        <v>411</v>
      </c>
      <c r="AC514" s="1536">
        <v>2</v>
      </c>
      <c r="AD514" s="1537"/>
      <c r="AE514" s="1537"/>
      <c r="AF514" s="1537"/>
      <c r="AG514" s="13" t="s">
        <v>402</v>
      </c>
      <c r="AH514" s="1389">
        <v>2027</v>
      </c>
      <c r="AI514" s="1389"/>
      <c r="AJ514" s="1389"/>
      <c r="AK514" s="1390"/>
      <c r="AZ514" s="3"/>
      <c r="BA514" s="3"/>
      <c r="BB514" s="3"/>
      <c r="BC514" s="3"/>
      <c r="BD514" s="3"/>
      <c r="BE514" s="3"/>
      <c r="BF514" s="3"/>
      <c r="BG514" s="3"/>
      <c r="BH514" s="3"/>
      <c r="BI514" s="3"/>
      <c r="BJ514" s="3"/>
      <c r="BK514" s="3"/>
      <c r="BL514" s="3"/>
      <c r="BM514" s="3"/>
      <c r="BN514" s="3"/>
    </row>
    <row r="515" spans="2:66" ht="12.95" customHeight="1">
      <c r="B515" s="1714"/>
      <c r="C515" s="1525"/>
      <c r="D515" s="1525"/>
      <c r="E515" s="1525"/>
      <c r="F515" s="1525"/>
      <c r="G515" s="1525"/>
      <c r="H515" s="1526"/>
      <c r="I515" s="3" t="s">
        <v>412</v>
      </c>
      <c r="AC515" s="1376">
        <v>2</v>
      </c>
      <c r="AD515" s="1377"/>
      <c r="AE515" s="1377"/>
      <c r="AF515" s="1377"/>
      <c r="AG515" s="13" t="s">
        <v>402</v>
      </c>
      <c r="AH515" s="1389">
        <v>2027</v>
      </c>
      <c r="AI515" s="1389"/>
      <c r="AJ515" s="1389"/>
      <c r="AK515" s="1390"/>
      <c r="AZ515" s="3"/>
      <c r="BA515" s="3"/>
      <c r="BB515" s="3"/>
      <c r="BC515" s="3"/>
      <c r="BD515" s="3"/>
      <c r="BE515" s="3"/>
      <c r="BF515" s="3"/>
      <c r="BG515" s="3"/>
      <c r="BH515" s="3"/>
      <c r="BI515" s="3"/>
      <c r="BJ515" s="3"/>
      <c r="BK515" s="3"/>
      <c r="BL515" s="3"/>
      <c r="BM515" s="3"/>
      <c r="BN515" s="3"/>
    </row>
    <row r="516" spans="2:66" ht="12.95" customHeight="1">
      <c r="B516" s="1714"/>
      <c r="C516" s="1525"/>
      <c r="D516" s="1525"/>
      <c r="E516" s="1525"/>
      <c r="F516" s="1525"/>
      <c r="G516" s="1525"/>
      <c r="H516" s="1526"/>
      <c r="I516" s="891" t="s">
        <v>169</v>
      </c>
      <c r="J516" s="48"/>
      <c r="K516" s="48"/>
      <c r="L516" s="1492" t="s">
        <v>333</v>
      </c>
      <c r="M516" s="1493"/>
      <c r="N516" s="1493"/>
      <c r="O516" s="1493"/>
      <c r="P516" s="1493"/>
      <c r="Q516" s="1493"/>
      <c r="R516" s="1493"/>
      <c r="S516" s="1493"/>
      <c r="T516" s="1493"/>
      <c r="U516" s="1493"/>
      <c r="V516" s="1493"/>
      <c r="W516" s="1493"/>
      <c r="X516" s="1493"/>
      <c r="Y516" s="1493"/>
      <c r="Z516" s="1493"/>
      <c r="AA516" s="1493"/>
      <c r="AB516" s="1494"/>
      <c r="AC516" s="1536" t="s">
        <v>589</v>
      </c>
      <c r="AD516" s="1537"/>
      <c r="AE516" s="1537"/>
      <c r="AF516" s="1537"/>
      <c r="AG516" s="38" t="s">
        <v>402</v>
      </c>
      <c r="AH516" s="1389"/>
      <c r="AI516" s="1389"/>
      <c r="AJ516" s="1389"/>
      <c r="AK516" s="1390"/>
      <c r="AZ516" s="3"/>
      <c r="BA516" s="3"/>
      <c r="BB516" s="3"/>
      <c r="BC516" s="3"/>
      <c r="BD516" s="3"/>
      <c r="BE516" s="3"/>
      <c r="BF516" s="3"/>
      <c r="BG516" s="3"/>
      <c r="BH516" s="3"/>
      <c r="BI516" s="3"/>
      <c r="BJ516" s="3"/>
      <c r="BK516" s="3"/>
      <c r="BL516" s="3"/>
      <c r="BM516" s="3"/>
      <c r="BN516" s="3"/>
    </row>
    <row r="517" spans="2:66" ht="12.95" customHeight="1">
      <c r="B517" s="866"/>
      <c r="C517" s="130"/>
      <c r="D517" s="130"/>
      <c r="E517" s="130"/>
      <c r="F517" s="130"/>
      <c r="G517" s="130"/>
      <c r="H517" s="867"/>
      <c r="I517" s="3" t="s">
        <v>1662</v>
      </c>
      <c r="AC517" s="1772" t="s">
        <v>543</v>
      </c>
      <c r="AD517" s="1772"/>
      <c r="AE517" s="1772"/>
      <c r="AF517" s="1772"/>
      <c r="AG517" s="13"/>
      <c r="AH517" s="1354"/>
      <c r="AI517" s="1354"/>
      <c r="AJ517" s="1354"/>
      <c r="AK517" s="1789"/>
      <c r="AZ517" s="3"/>
      <c r="BA517" s="3"/>
      <c r="BB517" s="3"/>
      <c r="BC517" s="3"/>
      <c r="BD517" s="3"/>
      <c r="BE517" s="3"/>
      <c r="BF517" s="3"/>
      <c r="BG517" s="3"/>
      <c r="BH517" s="3"/>
      <c r="BI517" s="3"/>
      <c r="BJ517" s="3"/>
      <c r="BK517" s="3"/>
      <c r="BL517" s="3"/>
      <c r="BM517" s="3"/>
      <c r="BN517" s="3"/>
    </row>
    <row r="518" spans="2:66" ht="12.95" customHeight="1">
      <c r="B518" s="866"/>
      <c r="C518" s="130"/>
      <c r="D518" s="130"/>
      <c r="E518" s="130"/>
      <c r="F518" s="130"/>
      <c r="G518" s="130"/>
      <c r="H518" s="867"/>
      <c r="I518" t="s">
        <v>1659</v>
      </c>
      <c r="AC518" s="1376">
        <v>3</v>
      </c>
      <c r="AD518" s="1377"/>
      <c r="AE518" s="1377"/>
      <c r="AF518" s="1378"/>
      <c r="AG518" s="13"/>
      <c r="AH518" s="1354"/>
      <c r="AI518" s="1354"/>
      <c r="AJ518" s="1354"/>
      <c r="AK518" s="1789"/>
      <c r="AZ518" s="3"/>
      <c r="BA518" s="3"/>
      <c r="BB518" s="3"/>
      <c r="BC518" s="3"/>
      <c r="BD518" s="3"/>
      <c r="BE518" s="3"/>
      <c r="BF518" s="3"/>
      <c r="BG518" s="3"/>
      <c r="BH518" s="3"/>
      <c r="BI518" s="3"/>
      <c r="BJ518" s="3"/>
      <c r="BK518" s="3"/>
      <c r="BL518" s="3"/>
      <c r="BM518" s="3"/>
      <c r="BN518" s="3"/>
    </row>
    <row r="519" spans="2:66" ht="12.95" customHeight="1">
      <c r="B519" s="866"/>
      <c r="C519" s="130"/>
      <c r="D519" s="130"/>
      <c r="E519" s="130"/>
      <c r="F519" s="130"/>
      <c r="G519" s="130"/>
      <c r="H519" s="867"/>
      <c r="I519" t="s">
        <v>1660</v>
      </c>
      <c r="AC519" s="885"/>
      <c r="AD519" s="886"/>
      <c r="AE519" s="886"/>
      <c r="AF519" s="887"/>
      <c r="AG519" s="13"/>
      <c r="AH519" s="1"/>
      <c r="AI519" s="1"/>
      <c r="AJ519" s="1"/>
      <c r="AK519" s="1000"/>
      <c r="AZ519" s="3"/>
      <c r="BA519" s="3"/>
      <c r="BB519" s="3"/>
      <c r="BC519" s="3"/>
      <c r="BD519" s="3"/>
      <c r="BE519" s="3"/>
      <c r="BF519" s="3"/>
      <c r="BG519" s="3"/>
      <c r="BH519" s="3"/>
      <c r="BI519" s="3"/>
      <c r="BJ519" s="3"/>
      <c r="BK519" s="3"/>
      <c r="BL519" s="3"/>
      <c r="BM519" s="3"/>
      <c r="BN519" s="3"/>
    </row>
    <row r="520" spans="2:66" ht="12.95" customHeight="1">
      <c r="B520" s="866"/>
      <c r="C520" s="130"/>
      <c r="D520" s="130"/>
      <c r="E520" s="130"/>
      <c r="F520" s="130"/>
      <c r="G520" s="130"/>
      <c r="H520" s="867"/>
      <c r="I520" s="892" t="s">
        <v>1661</v>
      </c>
      <c r="J520" s="48"/>
      <c r="K520" s="48"/>
      <c r="L520" s="48"/>
      <c r="M520" s="48"/>
      <c r="N520" s="48"/>
      <c r="O520" s="48"/>
      <c r="P520" s="48"/>
      <c r="Q520" s="48"/>
      <c r="R520" s="48"/>
      <c r="S520" s="48"/>
      <c r="T520" s="48"/>
      <c r="U520" s="48"/>
      <c r="V520" s="48"/>
      <c r="W520" s="48"/>
      <c r="X520" s="48"/>
      <c r="Y520" s="48"/>
      <c r="Z520" s="48"/>
      <c r="AA520" s="48"/>
      <c r="AB520" s="48"/>
      <c r="AC520" s="1871">
        <v>0.9</v>
      </c>
      <c r="AD520" s="1872"/>
      <c r="AE520" s="1872"/>
      <c r="AF520" s="1873"/>
      <c r="AG520" s="38"/>
      <c r="AH520" s="1766"/>
      <c r="AI520" s="1766"/>
      <c r="AJ520" s="1766"/>
      <c r="AK520" s="1767"/>
      <c r="AZ520" s="3"/>
      <c r="BA520" s="3"/>
      <c r="BB520" s="3"/>
      <c r="BC520" s="3"/>
      <c r="BD520" s="3"/>
      <c r="BE520" s="3"/>
      <c r="BF520" s="3"/>
      <c r="BG520" s="3"/>
      <c r="BH520" s="3"/>
      <c r="BI520" s="3"/>
      <c r="BJ520" s="3"/>
      <c r="BK520" s="3"/>
      <c r="BL520" s="3"/>
      <c r="BM520" s="3"/>
      <c r="BN520" s="3" t="s">
        <v>1182</v>
      </c>
    </row>
    <row r="521" spans="2:66" ht="12.95" customHeight="1">
      <c r="B521" s="866"/>
      <c r="C521" s="130"/>
      <c r="D521" s="130"/>
      <c r="E521" s="130"/>
      <c r="F521" s="130"/>
      <c r="G521" s="130"/>
      <c r="H521" s="867"/>
      <c r="I521" s="3"/>
      <c r="L521" s="8"/>
      <c r="M521" s="8"/>
      <c r="N521" s="8"/>
      <c r="O521" s="8"/>
      <c r="P521" s="8"/>
      <c r="Q521" s="8"/>
      <c r="R521" s="8"/>
      <c r="S521" s="8"/>
      <c r="T521" s="8"/>
      <c r="U521" s="8"/>
      <c r="V521" s="8"/>
      <c r="W521" s="8"/>
      <c r="X521" s="1001"/>
      <c r="Y521" s="1001"/>
      <c r="Z521" s="1001"/>
      <c r="AA521" s="1001"/>
      <c r="AB521" s="1008"/>
      <c r="AC521" s="1508" t="s">
        <v>401</v>
      </c>
      <c r="AD521" s="1509"/>
      <c r="AE521" s="1509"/>
      <c r="AF521" s="1509"/>
      <c r="AG521" s="38" t="s">
        <v>402</v>
      </c>
      <c r="AH521" s="1509" t="s">
        <v>403</v>
      </c>
      <c r="AI521" s="1509"/>
      <c r="AJ521" s="1509"/>
      <c r="AK521" s="1884"/>
      <c r="AZ521" s="3"/>
      <c r="BA521" s="3"/>
      <c r="BB521" s="3"/>
      <c r="BC521" s="3"/>
      <c r="BD521" s="3"/>
      <c r="BE521" s="3"/>
      <c r="BF521" s="3"/>
      <c r="BG521" s="3"/>
      <c r="BH521" s="3"/>
      <c r="BI521" s="3"/>
      <c r="BJ521" s="3"/>
      <c r="BK521" s="3"/>
      <c r="BL521" s="3"/>
      <c r="BM521" s="3"/>
      <c r="BN521" s="3" t="s">
        <v>2058</v>
      </c>
    </row>
    <row r="522" spans="2:66" ht="12.95" customHeight="1">
      <c r="B522" s="1713" t="s">
        <v>413</v>
      </c>
      <c r="C522" s="1523"/>
      <c r="D522" s="1523"/>
      <c r="E522" s="1523"/>
      <c r="F522" s="1523"/>
      <c r="G522" s="1523"/>
      <c r="H522" s="1524"/>
      <c r="I522" s="42" t="s">
        <v>414</v>
      </c>
      <c r="J522" s="42"/>
      <c r="K522" s="42"/>
      <c r="L522" s="42"/>
      <c r="M522" s="42"/>
      <c r="N522" s="42"/>
      <c r="O522" s="42"/>
      <c r="P522" s="42"/>
      <c r="Q522" s="42"/>
      <c r="R522" s="42"/>
      <c r="S522" s="42"/>
      <c r="T522" s="42"/>
      <c r="U522" s="42"/>
      <c r="V522" s="42"/>
      <c r="W522" s="42"/>
      <c r="AC522" s="1536">
        <v>5</v>
      </c>
      <c r="AD522" s="1537"/>
      <c r="AE522" s="1537"/>
      <c r="AF522" s="1537"/>
      <c r="AG522" s="13" t="s">
        <v>402</v>
      </c>
      <c r="AH522" s="1389">
        <v>2026</v>
      </c>
      <c r="AI522" s="1389"/>
      <c r="AJ522" s="1389"/>
      <c r="AK522" s="1390"/>
      <c r="AZ522" s="3"/>
      <c r="BA522" s="3"/>
      <c r="BB522" s="3"/>
      <c r="BC522" s="3"/>
      <c r="BD522" s="3"/>
      <c r="BE522" s="3"/>
      <c r="BF522" s="3"/>
      <c r="BG522" s="3"/>
      <c r="BH522" s="3"/>
      <c r="BI522" s="3"/>
      <c r="BJ522" s="3"/>
      <c r="BK522" s="3"/>
      <c r="BL522" s="3"/>
      <c r="BM522" s="3"/>
      <c r="BN522" s="3" t="s">
        <v>2059</v>
      </c>
    </row>
    <row r="523" spans="2:66" ht="12.95" customHeight="1">
      <c r="B523" s="1714"/>
      <c r="C523" s="1525"/>
      <c r="D523" s="1525"/>
      <c r="E523" s="1525"/>
      <c r="F523" s="1525"/>
      <c r="G523" s="1525"/>
      <c r="H523" s="1526"/>
      <c r="I523" t="s">
        <v>415</v>
      </c>
      <c r="AC523" s="1536">
        <v>5</v>
      </c>
      <c r="AD523" s="1537"/>
      <c r="AE523" s="1537"/>
      <c r="AF523" s="1537"/>
      <c r="AG523" s="13" t="s">
        <v>402</v>
      </c>
      <c r="AH523" s="1389">
        <v>2026</v>
      </c>
      <c r="AI523" s="1389"/>
      <c r="AJ523" s="1389"/>
      <c r="AK523" s="1390"/>
      <c r="AZ523" s="3"/>
      <c r="BA523" s="3"/>
      <c r="BB523" s="3"/>
      <c r="BC523" s="3"/>
      <c r="BD523" s="3"/>
      <c r="BE523" s="3"/>
      <c r="BF523" s="3"/>
      <c r="BG523" s="3"/>
      <c r="BH523" s="3"/>
      <c r="BI523" s="3"/>
      <c r="BJ523" s="3"/>
      <c r="BK523" s="3"/>
      <c r="BL523" s="3"/>
      <c r="BM523" s="3"/>
      <c r="BN523" s="3" t="s">
        <v>2060</v>
      </c>
    </row>
    <row r="524" spans="2:66" ht="12.95" customHeight="1">
      <c r="B524" s="1714"/>
      <c r="C524" s="1525"/>
      <c r="D524" s="1525"/>
      <c r="E524" s="1525"/>
      <c r="F524" s="1525"/>
      <c r="G524" s="1525"/>
      <c r="H524" s="1526"/>
      <c r="I524" s="48" t="s">
        <v>416</v>
      </c>
      <c r="J524" s="48"/>
      <c r="K524" s="48"/>
      <c r="L524" s="48"/>
      <c r="M524" s="48"/>
      <c r="N524" s="48"/>
      <c r="O524" s="48"/>
      <c r="P524" s="48"/>
      <c r="Q524" s="48"/>
      <c r="R524" s="48"/>
      <c r="S524" s="48"/>
      <c r="T524" s="48"/>
      <c r="U524" s="48"/>
      <c r="V524" s="48"/>
      <c r="W524" s="48"/>
      <c r="X524" s="48"/>
      <c r="Y524" s="48"/>
      <c r="Z524" s="48"/>
      <c r="AA524" s="48"/>
      <c r="AB524" s="48"/>
      <c r="AC524" s="1536">
        <v>2</v>
      </c>
      <c r="AD524" s="1537"/>
      <c r="AE524" s="1537"/>
      <c r="AF524" s="1537"/>
      <c r="AG524" s="38" t="s">
        <v>402</v>
      </c>
      <c r="AH524" s="1389">
        <v>2027</v>
      </c>
      <c r="AI524" s="1389"/>
      <c r="AJ524" s="1389"/>
      <c r="AK524" s="1390"/>
      <c r="AZ524" s="3"/>
      <c r="BA524" s="3"/>
      <c r="BB524" s="3"/>
      <c r="BC524" s="3"/>
      <c r="BD524" s="3"/>
      <c r="BE524" s="3"/>
      <c r="BF524" s="3"/>
      <c r="BG524" s="3"/>
      <c r="BH524" s="3"/>
      <c r="BI524" s="3"/>
      <c r="BJ524" s="3"/>
      <c r="BK524" s="3"/>
      <c r="BL524" s="3"/>
      <c r="BM524" s="3"/>
      <c r="BN524" s="3" t="s">
        <v>2061</v>
      </c>
    </row>
    <row r="525" spans="2:66" ht="12.95" customHeight="1">
      <c r="B525" s="1713" t="s">
        <v>417</v>
      </c>
      <c r="C525" s="1523"/>
      <c r="D525" s="1523"/>
      <c r="E525" s="1523"/>
      <c r="F525" s="1523"/>
      <c r="G525" s="1523"/>
      <c r="H525" s="1524"/>
      <c r="I525" s="42" t="s">
        <v>414</v>
      </c>
      <c r="J525" s="42"/>
      <c r="K525" s="42"/>
      <c r="L525" s="42"/>
      <c r="M525" s="42"/>
      <c r="N525" s="42"/>
      <c r="O525" s="42"/>
      <c r="P525" s="42"/>
      <c r="Q525" s="42"/>
      <c r="R525" s="42"/>
      <c r="S525" s="42"/>
      <c r="T525" s="42"/>
      <c r="U525" s="42"/>
      <c r="V525" s="42"/>
      <c r="W525" s="42"/>
      <c r="X525" s="42"/>
      <c r="Y525" s="42"/>
      <c r="Z525" s="42"/>
      <c r="AA525" s="42"/>
      <c r="AB525" s="42"/>
      <c r="AC525" s="1376">
        <v>5</v>
      </c>
      <c r="AD525" s="1377"/>
      <c r="AE525" s="1377"/>
      <c r="AF525" s="1377"/>
      <c r="AG525" s="129" t="s">
        <v>402</v>
      </c>
      <c r="AH525" s="1389">
        <v>2026</v>
      </c>
      <c r="AI525" s="1389"/>
      <c r="AJ525" s="1389"/>
      <c r="AK525" s="1390"/>
      <c r="AZ525" s="3"/>
      <c r="BB525" s="3"/>
      <c r="BC525" s="3"/>
      <c r="BD525" s="3"/>
      <c r="BE525" s="3"/>
      <c r="BF525" s="3"/>
      <c r="BG525" s="3"/>
      <c r="BH525" s="3"/>
      <c r="BI525" s="3"/>
      <c r="BJ525" s="3"/>
      <c r="BK525" s="3"/>
      <c r="BL525" s="3"/>
      <c r="BM525" s="3"/>
      <c r="BN525" s="3" t="s">
        <v>2062</v>
      </c>
    </row>
    <row r="526" spans="2:66" ht="12.95" customHeight="1">
      <c r="B526" s="1714"/>
      <c r="C526" s="1525"/>
      <c r="D526" s="1525"/>
      <c r="E526" s="1525"/>
      <c r="F526" s="1525"/>
      <c r="G526" s="1525"/>
      <c r="H526" s="1526"/>
      <c r="I526" t="s">
        <v>415</v>
      </c>
      <c r="AC526" s="1536">
        <v>5</v>
      </c>
      <c r="AD526" s="1537"/>
      <c r="AE526" s="1537"/>
      <c r="AF526" s="1537"/>
      <c r="AG526" s="13" t="s">
        <v>402</v>
      </c>
      <c r="AH526" s="1389">
        <v>2026</v>
      </c>
      <c r="AI526" s="1389"/>
      <c r="AJ526" s="1389"/>
      <c r="AK526" s="1390"/>
      <c r="BB526" s="3"/>
      <c r="BC526" s="3"/>
      <c r="BD526" s="3"/>
      <c r="BE526" s="3"/>
      <c r="BF526" s="3"/>
      <c r="BG526" s="3"/>
      <c r="BH526" s="3"/>
      <c r="BI526" s="3"/>
      <c r="BJ526" s="3"/>
      <c r="BK526" s="3"/>
      <c r="BL526" s="3"/>
      <c r="BM526" s="3"/>
      <c r="BN526" s="3" t="s">
        <v>2063</v>
      </c>
    </row>
    <row r="527" spans="2:66" ht="12.95" customHeight="1">
      <c r="B527" s="1715"/>
      <c r="C527" s="1527"/>
      <c r="D527" s="1527"/>
      <c r="E527" s="1527"/>
      <c r="F527" s="1527"/>
      <c r="G527" s="1527"/>
      <c r="H527" s="1528"/>
      <c r="I527" s="48" t="s">
        <v>416</v>
      </c>
      <c r="J527" s="48"/>
      <c r="K527" s="48"/>
      <c r="L527" s="48"/>
      <c r="M527" s="48"/>
      <c r="N527" s="48"/>
      <c r="O527" s="48"/>
      <c r="P527" s="48"/>
      <c r="Q527" s="48"/>
      <c r="R527" s="48"/>
      <c r="S527" s="48"/>
      <c r="T527" s="48"/>
      <c r="U527" s="48"/>
      <c r="V527" s="48"/>
      <c r="W527" s="48"/>
      <c r="X527" s="48"/>
      <c r="Y527" s="48"/>
      <c r="Z527" s="48"/>
      <c r="AA527" s="48"/>
      <c r="AB527" s="48"/>
      <c r="AC527" s="1536">
        <v>2</v>
      </c>
      <c r="AD527" s="1537"/>
      <c r="AE527" s="1537"/>
      <c r="AF527" s="1537"/>
      <c r="AG527" s="38" t="s">
        <v>402</v>
      </c>
      <c r="AH527" s="1389">
        <v>2027</v>
      </c>
      <c r="AI527" s="1389"/>
      <c r="AJ527" s="1389"/>
      <c r="AK527" s="1390"/>
      <c r="BB527" s="3"/>
      <c r="BC527" s="3"/>
      <c r="BD527" s="3"/>
      <c r="BE527" s="3"/>
      <c r="BF527" s="3"/>
      <c r="BG527" s="3"/>
      <c r="BH527" s="3"/>
      <c r="BI527" s="3"/>
      <c r="BJ527" s="3"/>
      <c r="BK527" s="3"/>
      <c r="BL527" s="3"/>
      <c r="BM527" s="3"/>
      <c r="BN527" s="3" t="s">
        <v>2064</v>
      </c>
    </row>
    <row r="528" spans="2:66" ht="12.95" customHeight="1">
      <c r="B528" s="1713" t="s">
        <v>418</v>
      </c>
      <c r="C528" s="1523"/>
      <c r="D528" s="1523"/>
      <c r="E528" s="1523"/>
      <c r="F528" s="1523"/>
      <c r="G528" s="1523"/>
      <c r="H528" s="1524"/>
      <c r="I528" s="41" t="s">
        <v>419</v>
      </c>
      <c r="J528" s="42"/>
      <c r="K528" s="42"/>
      <c r="L528" s="42"/>
      <c r="M528" s="42"/>
      <c r="N528" s="42"/>
      <c r="O528" s="1492" t="s">
        <v>2731</v>
      </c>
      <c r="P528" s="1493"/>
      <c r="Q528" s="1493"/>
      <c r="R528" s="1493"/>
      <c r="S528" s="1493"/>
      <c r="T528" s="1493"/>
      <c r="U528" s="1493"/>
      <c r="V528" s="1493"/>
      <c r="W528" s="1493"/>
      <c r="X528" s="1493"/>
      <c r="Y528" s="1493"/>
      <c r="Z528" s="1493"/>
      <c r="AA528" s="1493"/>
      <c r="AB528" s="58"/>
      <c r="AC528" s="1376" t="s">
        <v>589</v>
      </c>
      <c r="AD528" s="1377"/>
      <c r="AE528" s="1377"/>
      <c r="AF528" s="1377"/>
      <c r="AG528" s="129" t="s">
        <v>402</v>
      </c>
      <c r="AH528" s="1389"/>
      <c r="AI528" s="1389"/>
      <c r="AJ528" s="1389"/>
      <c r="AK528" s="1390"/>
      <c r="AZ528" s="3"/>
      <c r="BB528" s="3"/>
      <c r="BC528" s="3"/>
      <c r="BD528" s="3"/>
      <c r="BE528" s="3"/>
      <c r="BF528" s="3"/>
      <c r="BG528" s="3"/>
      <c r="BH528" s="3"/>
      <c r="BI528" s="3"/>
      <c r="BJ528" s="3"/>
      <c r="BK528" s="3"/>
      <c r="BL528" s="3"/>
      <c r="BM528" s="3"/>
      <c r="BN528" s="3" t="s">
        <v>2065</v>
      </c>
    </row>
    <row r="529" spans="2:66" ht="12.95" customHeight="1">
      <c r="B529" s="1714"/>
      <c r="C529" s="1525"/>
      <c r="D529" s="1525"/>
      <c r="E529" s="1525"/>
      <c r="F529" s="1525"/>
      <c r="G529" s="1525"/>
      <c r="H529" s="1526"/>
      <c r="I529" s="114" t="s">
        <v>420</v>
      </c>
      <c r="AB529" s="65"/>
      <c r="AC529" s="1536">
        <v>10</v>
      </c>
      <c r="AD529" s="1537"/>
      <c r="AE529" s="1537"/>
      <c r="AF529" s="1537"/>
      <c r="AG529" s="13" t="s">
        <v>402</v>
      </c>
      <c r="AH529" s="1389">
        <v>2025</v>
      </c>
      <c r="AI529" s="1389"/>
      <c r="AJ529" s="1389"/>
      <c r="AK529" s="1390"/>
      <c r="AZ529" s="3"/>
      <c r="BB529" s="3"/>
      <c r="BC529" s="3"/>
      <c r="BD529" s="3"/>
      <c r="BE529" s="3"/>
      <c r="BF529" s="3"/>
      <c r="BG529" s="3"/>
      <c r="BH529" s="3"/>
      <c r="BI529" s="3"/>
      <c r="BJ529" s="3"/>
      <c r="BK529" s="3"/>
      <c r="BL529" s="3"/>
      <c r="BM529" s="3"/>
      <c r="BN529" s="3" t="s">
        <v>2066</v>
      </c>
    </row>
    <row r="530" spans="2:66" ht="12.95" customHeight="1">
      <c r="B530" s="1714"/>
      <c r="C530" s="1525"/>
      <c r="D530" s="1525"/>
      <c r="E530" s="1525"/>
      <c r="F530" s="1525"/>
      <c r="G530" s="1525"/>
      <c r="H530" s="1526"/>
      <c r="I530" s="47" t="s">
        <v>421</v>
      </c>
      <c r="J530" s="48"/>
      <c r="K530" s="48"/>
      <c r="L530" s="48"/>
      <c r="M530" s="48"/>
      <c r="N530" s="48"/>
      <c r="O530" s="48"/>
      <c r="P530" s="48"/>
      <c r="Q530" s="48"/>
      <c r="R530" s="48"/>
      <c r="S530" s="48"/>
      <c r="T530" s="48"/>
      <c r="U530" s="48"/>
      <c r="V530" s="48"/>
      <c r="W530" s="48"/>
      <c r="X530" s="48"/>
      <c r="Y530" s="48"/>
      <c r="Z530" s="48"/>
      <c r="AA530" s="48"/>
      <c r="AB530" s="49"/>
      <c r="AC530" s="1536">
        <v>5</v>
      </c>
      <c r="AD530" s="1537"/>
      <c r="AE530" s="1537"/>
      <c r="AF530" s="1537"/>
      <c r="AG530" s="38" t="s">
        <v>402</v>
      </c>
      <c r="AH530" s="1389">
        <v>2026</v>
      </c>
      <c r="AI530" s="1389"/>
      <c r="AJ530" s="1389"/>
      <c r="AK530" s="1390"/>
      <c r="AZ530" s="3"/>
      <c r="BA530" s="3"/>
      <c r="BB530" s="3"/>
      <c r="BC530" s="3"/>
      <c r="BD530" s="3"/>
      <c r="BE530" s="3"/>
      <c r="BF530" s="3"/>
      <c r="BG530" s="3"/>
      <c r="BH530" s="3"/>
      <c r="BI530" s="3"/>
      <c r="BJ530" s="3"/>
      <c r="BK530" s="3"/>
      <c r="BL530" s="3"/>
      <c r="BM530" s="3"/>
      <c r="BN530" s="3" t="s">
        <v>2067</v>
      </c>
    </row>
    <row r="531" spans="2:66" ht="12.95" customHeight="1">
      <c r="B531" s="1714"/>
      <c r="C531" s="1525"/>
      <c r="D531" s="1525"/>
      <c r="E531" s="1525"/>
      <c r="F531" s="1525"/>
      <c r="G531" s="1525"/>
      <c r="H531" s="1526"/>
      <c r="I531" s="42" t="s">
        <v>422</v>
      </c>
      <c r="J531" s="42"/>
      <c r="K531" s="42"/>
      <c r="L531" s="42"/>
      <c r="M531" s="42"/>
      <c r="N531" s="42"/>
      <c r="O531" s="1492" t="s">
        <v>2786</v>
      </c>
      <c r="P531" s="1493"/>
      <c r="Q531" s="1493"/>
      <c r="R531" s="1493"/>
      <c r="S531" s="1493"/>
      <c r="T531" s="1493"/>
      <c r="U531" s="1493"/>
      <c r="V531" s="1493"/>
      <c r="W531" s="1493"/>
      <c r="X531" s="1493"/>
      <c r="Y531" s="1493"/>
      <c r="Z531" s="1493"/>
      <c r="AA531" s="1493"/>
      <c r="AC531" s="1536" t="s">
        <v>589</v>
      </c>
      <c r="AD531" s="1537"/>
      <c r="AE531" s="1537"/>
      <c r="AF531" s="1537"/>
      <c r="AG531" s="13" t="s">
        <v>402</v>
      </c>
      <c r="AH531" s="1389"/>
      <c r="AI531" s="1389"/>
      <c r="AJ531" s="1389"/>
      <c r="AK531" s="1390"/>
      <c r="AZ531" s="3"/>
      <c r="BA531" s="3"/>
      <c r="BB531" s="3"/>
      <c r="BC531" s="3"/>
      <c r="BD531" s="3"/>
      <c r="BE531" s="3"/>
      <c r="BF531" s="3"/>
      <c r="BG531" s="3"/>
      <c r="BH531" s="3"/>
      <c r="BI531" s="3"/>
      <c r="BJ531" s="3"/>
      <c r="BK531" s="3"/>
      <c r="BL531" s="3"/>
      <c r="BM531" s="3"/>
      <c r="BN531" s="3" t="s">
        <v>2068</v>
      </c>
    </row>
    <row r="532" spans="2:66" ht="12.95" customHeight="1">
      <c r="B532" s="1714"/>
      <c r="C532" s="1525"/>
      <c r="D532" s="1525"/>
      <c r="E532" s="1525"/>
      <c r="F532" s="1525"/>
      <c r="G532" s="1525"/>
      <c r="H532" s="1526"/>
      <c r="I532" t="s">
        <v>420</v>
      </c>
      <c r="AC532" s="1536">
        <v>5</v>
      </c>
      <c r="AD532" s="1537"/>
      <c r="AE532" s="1537"/>
      <c r="AF532" s="1537"/>
      <c r="AG532" s="13" t="s">
        <v>402</v>
      </c>
      <c r="AH532" s="1389">
        <v>2025</v>
      </c>
      <c r="AI532" s="1389"/>
      <c r="AJ532" s="1389"/>
      <c r="AK532" s="1390"/>
      <c r="AZ532" s="3"/>
      <c r="BA532" s="3"/>
      <c r="BB532" s="3"/>
      <c r="BC532" s="3"/>
      <c r="BD532" s="3"/>
      <c r="BE532" s="3"/>
      <c r="BF532" s="3"/>
      <c r="BG532" s="3"/>
      <c r="BH532" s="3"/>
      <c r="BI532" s="3"/>
      <c r="BJ532" s="3"/>
      <c r="BK532" s="3"/>
      <c r="BL532" s="3"/>
      <c r="BM532" s="3"/>
      <c r="BN532" s="3" t="s">
        <v>2069</v>
      </c>
    </row>
    <row r="533" spans="2:66" ht="12.95" customHeight="1">
      <c r="B533" s="1714"/>
      <c r="C533" s="1525"/>
      <c r="D533" s="1525"/>
      <c r="E533" s="1525"/>
      <c r="F533" s="1525"/>
      <c r="G533" s="1525"/>
      <c r="H533" s="1526"/>
      <c r="I533" s="48" t="s">
        <v>421</v>
      </c>
      <c r="J533" s="48"/>
      <c r="K533" s="48"/>
      <c r="L533" s="48"/>
      <c r="M533" s="48"/>
      <c r="N533" s="48"/>
      <c r="O533" s="48"/>
      <c r="P533" s="48"/>
      <c r="Q533" s="48"/>
      <c r="R533" s="48"/>
      <c r="S533" s="48"/>
      <c r="T533" s="48"/>
      <c r="U533" s="48"/>
      <c r="V533" s="48"/>
      <c r="W533" s="48"/>
      <c r="X533" s="48"/>
      <c r="Y533" s="48"/>
      <c r="Z533" s="48"/>
      <c r="AA533" s="48"/>
      <c r="AB533" s="48"/>
      <c r="AC533" s="1536">
        <v>12</v>
      </c>
      <c r="AD533" s="1537"/>
      <c r="AE533" s="1537"/>
      <c r="AF533" s="1537"/>
      <c r="AG533" s="38" t="s">
        <v>402</v>
      </c>
      <c r="AH533" s="1389">
        <v>2025</v>
      </c>
      <c r="AI533" s="1389"/>
      <c r="AJ533" s="1389"/>
      <c r="AK533" s="1390"/>
      <c r="AZ533" s="3"/>
      <c r="BA533" s="3"/>
      <c r="BB533" s="3"/>
      <c r="BC533" s="3"/>
      <c r="BD533" s="3"/>
      <c r="BE533" s="3"/>
      <c r="BF533" s="3"/>
      <c r="BG533" s="3"/>
      <c r="BH533" s="3"/>
      <c r="BI533" s="3"/>
      <c r="BJ533" s="3"/>
      <c r="BK533" s="3"/>
      <c r="BL533" s="3"/>
      <c r="BM533" s="3"/>
      <c r="BN533" s="3" t="s">
        <v>2070</v>
      </c>
    </row>
    <row r="534" spans="2:66" ht="12.95" customHeight="1">
      <c r="B534" s="1714"/>
      <c r="C534" s="1525"/>
      <c r="D534" s="1525"/>
      <c r="E534" s="1525"/>
      <c r="F534" s="1525"/>
      <c r="G534" s="1525"/>
      <c r="H534" s="1526"/>
      <c r="I534" s="42" t="s">
        <v>422</v>
      </c>
      <c r="J534" s="42"/>
      <c r="K534" s="42"/>
      <c r="L534" s="42"/>
      <c r="M534" s="42"/>
      <c r="N534" s="42"/>
      <c r="O534" s="1492" t="s">
        <v>2766</v>
      </c>
      <c r="P534" s="1493"/>
      <c r="Q534" s="1493"/>
      <c r="R534" s="1493"/>
      <c r="S534" s="1493"/>
      <c r="T534" s="1493"/>
      <c r="U534" s="1493"/>
      <c r="V534" s="1493"/>
      <c r="W534" s="1493"/>
      <c r="X534" s="1493"/>
      <c r="Y534" s="1493"/>
      <c r="Z534" s="1493"/>
      <c r="AA534" s="1493"/>
      <c r="AC534" s="1536" t="s">
        <v>589</v>
      </c>
      <c r="AD534" s="1537"/>
      <c r="AE534" s="1537"/>
      <c r="AF534" s="1537"/>
      <c r="AG534" s="13" t="s">
        <v>402</v>
      </c>
      <c r="AH534" s="1389"/>
      <c r="AI534" s="1389"/>
      <c r="AJ534" s="1389"/>
      <c r="AK534" s="1390"/>
      <c r="AZ534" s="3"/>
      <c r="BA534" s="3"/>
      <c r="BB534" s="3"/>
      <c r="BC534" s="3"/>
      <c r="BD534" s="3"/>
      <c r="BE534" s="3"/>
      <c r="BF534" s="3"/>
      <c r="BG534" s="3"/>
      <c r="BH534" s="3"/>
      <c r="BI534" s="3"/>
      <c r="BJ534" s="3"/>
      <c r="BK534" s="3"/>
      <c r="BL534" s="3"/>
      <c r="BM534" s="3"/>
      <c r="BN534" s="3" t="s">
        <v>2071</v>
      </c>
    </row>
    <row r="535" spans="2:66" ht="12.95" customHeight="1">
      <c r="B535" s="1714"/>
      <c r="C535" s="1525"/>
      <c r="D535" s="1525"/>
      <c r="E535" s="1525"/>
      <c r="F535" s="1525"/>
      <c r="G535" s="1525"/>
      <c r="H535" s="1526"/>
      <c r="I535" t="s">
        <v>420</v>
      </c>
      <c r="AC535" s="1536">
        <v>5</v>
      </c>
      <c r="AD535" s="1537"/>
      <c r="AE535" s="1537"/>
      <c r="AF535" s="1537"/>
      <c r="AG535" s="13" t="s">
        <v>402</v>
      </c>
      <c r="AH535" s="1389">
        <v>2025</v>
      </c>
      <c r="AI535" s="1389"/>
      <c r="AJ535" s="1389"/>
      <c r="AK535" s="1390"/>
      <c r="AZ535" s="3"/>
      <c r="BA535" s="3"/>
      <c r="BB535" s="3"/>
      <c r="BC535" s="3"/>
      <c r="BD535" s="3"/>
      <c r="BE535" s="3"/>
      <c r="BF535" s="3"/>
      <c r="BG535" s="3"/>
      <c r="BH535" s="3"/>
      <c r="BI535" s="3"/>
      <c r="BJ535" s="3"/>
      <c r="BK535" s="3"/>
      <c r="BL535" s="3"/>
      <c r="BM535" s="3"/>
      <c r="BN535" s="3" t="s">
        <v>2072</v>
      </c>
    </row>
    <row r="536" spans="2:66" ht="12.95" customHeight="1">
      <c r="B536" s="1714"/>
      <c r="C536" s="1525"/>
      <c r="D536" s="1525"/>
      <c r="E536" s="1525"/>
      <c r="F536" s="1525"/>
      <c r="G536" s="1525"/>
      <c r="H536" s="1526"/>
      <c r="I536" s="48" t="s">
        <v>421</v>
      </c>
      <c r="J536" s="48"/>
      <c r="K536" s="48"/>
      <c r="L536" s="48"/>
      <c r="M536" s="48"/>
      <c r="N536" s="48"/>
      <c r="O536" s="48"/>
      <c r="P536" s="48"/>
      <c r="Q536" s="48"/>
      <c r="R536" s="48"/>
      <c r="S536" s="48"/>
      <c r="T536" s="48"/>
      <c r="U536" s="48"/>
      <c r="V536" s="48"/>
      <c r="W536" s="48"/>
      <c r="X536" s="48"/>
      <c r="Y536" s="48"/>
      <c r="Z536" s="48"/>
      <c r="AA536" s="48"/>
      <c r="AB536" s="48"/>
      <c r="AC536" s="1536">
        <v>12</v>
      </c>
      <c r="AD536" s="1537"/>
      <c r="AE536" s="1537"/>
      <c r="AF536" s="1537"/>
      <c r="AG536" s="38" t="s">
        <v>402</v>
      </c>
      <c r="AH536" s="1389">
        <v>2025</v>
      </c>
      <c r="AI536" s="1389"/>
      <c r="AJ536" s="1389"/>
      <c r="AK536" s="1390"/>
      <c r="AZ536" s="3"/>
      <c r="BA536" s="3"/>
      <c r="BB536" s="3"/>
      <c r="BC536" s="3"/>
      <c r="BD536" s="3"/>
      <c r="BE536" s="3"/>
      <c r="BF536" s="3"/>
      <c r="BG536" s="3"/>
      <c r="BH536" s="3"/>
      <c r="BI536" s="3"/>
      <c r="BJ536" s="3"/>
      <c r="BK536" s="3"/>
      <c r="BL536" s="3"/>
      <c r="BM536" s="3"/>
      <c r="BN536" s="3" t="s">
        <v>2073</v>
      </c>
    </row>
    <row r="537" spans="2:66" ht="12.95" customHeight="1">
      <c r="B537" s="1714"/>
      <c r="C537" s="1525"/>
      <c r="D537" s="1525"/>
      <c r="E537" s="1525"/>
      <c r="F537" s="1525"/>
      <c r="G537" s="1525"/>
      <c r="H537" s="1526"/>
      <c r="I537" s="42" t="s">
        <v>422</v>
      </c>
      <c r="J537" s="42"/>
      <c r="K537" s="42"/>
      <c r="L537" s="42"/>
      <c r="M537" s="42"/>
      <c r="N537" s="42"/>
      <c r="O537" s="1492" t="s">
        <v>2785</v>
      </c>
      <c r="P537" s="1493"/>
      <c r="Q537" s="1493"/>
      <c r="R537" s="1493"/>
      <c r="S537" s="1493"/>
      <c r="T537" s="1493"/>
      <c r="U537" s="1493"/>
      <c r="V537" s="1493"/>
      <c r="W537" s="1493"/>
      <c r="X537" s="1493"/>
      <c r="Y537" s="1493"/>
      <c r="Z537" s="1493"/>
      <c r="AA537" s="1493"/>
      <c r="AC537" s="1536" t="s">
        <v>589</v>
      </c>
      <c r="AD537" s="1537"/>
      <c r="AE537" s="1537"/>
      <c r="AF537" s="1537"/>
      <c r="AG537" s="13" t="s">
        <v>402</v>
      </c>
      <c r="AH537" s="1389"/>
      <c r="AI537" s="1389"/>
      <c r="AJ537" s="1389"/>
      <c r="AK537" s="1390"/>
      <c r="AZ537" s="3"/>
      <c r="BA537" s="3"/>
      <c r="BB537" s="3"/>
      <c r="BC537" s="3"/>
      <c r="BD537" s="3"/>
      <c r="BE537" s="3"/>
      <c r="BF537" s="3"/>
      <c r="BG537" s="3"/>
      <c r="BH537" s="3"/>
      <c r="BI537" s="3"/>
      <c r="BJ537" s="3"/>
      <c r="BK537" s="3"/>
      <c r="BL537" s="3"/>
      <c r="BM537" s="3"/>
      <c r="BN537" s="3" t="s">
        <v>2074</v>
      </c>
    </row>
    <row r="538" spans="2:66" ht="12.95" customHeight="1">
      <c r="B538" s="1714"/>
      <c r="C538" s="1525"/>
      <c r="D538" s="1525"/>
      <c r="E538" s="1525"/>
      <c r="F538" s="1525"/>
      <c r="G538" s="1525"/>
      <c r="H538" s="1526"/>
      <c r="I538" t="s">
        <v>420</v>
      </c>
      <c r="AC538" s="1536">
        <v>11</v>
      </c>
      <c r="AD538" s="1537"/>
      <c r="AE538" s="1537"/>
      <c r="AF538" s="1537"/>
      <c r="AG538" s="13" t="s">
        <v>402</v>
      </c>
      <c r="AH538" s="1389">
        <v>2024</v>
      </c>
      <c r="AI538" s="1389"/>
      <c r="AJ538" s="1389"/>
      <c r="AK538" s="1390"/>
      <c r="AZ538" s="3"/>
      <c r="BA538" s="3"/>
      <c r="BB538" s="3"/>
      <c r="BC538" s="3"/>
      <c r="BD538" s="3"/>
      <c r="BE538" s="3"/>
      <c r="BF538" s="3"/>
      <c r="BG538" s="3"/>
      <c r="BH538" s="3"/>
      <c r="BI538" s="3"/>
      <c r="BJ538" s="3"/>
      <c r="BK538" s="3"/>
      <c r="BL538" s="3"/>
      <c r="BM538" s="3"/>
      <c r="BN538" s="3" t="s">
        <v>2075</v>
      </c>
    </row>
    <row r="539" spans="2:66" ht="12.95" customHeight="1">
      <c r="B539" s="1714"/>
      <c r="C539" s="1525"/>
      <c r="D539" s="1525"/>
      <c r="E539" s="1525"/>
      <c r="F539" s="1525"/>
      <c r="G539" s="1525"/>
      <c r="H539" s="1526"/>
      <c r="I539" s="48" t="s">
        <v>421</v>
      </c>
      <c r="J539" s="48"/>
      <c r="K539" s="48"/>
      <c r="L539" s="48"/>
      <c r="M539" s="48"/>
      <c r="N539" s="48"/>
      <c r="O539" s="48"/>
      <c r="P539" s="48"/>
      <c r="Q539" s="48"/>
      <c r="R539" s="48"/>
      <c r="S539" s="48"/>
      <c r="T539" s="48"/>
      <c r="U539" s="48"/>
      <c r="V539" s="48"/>
      <c r="W539" s="48"/>
      <c r="X539" s="48"/>
      <c r="Y539" s="48"/>
      <c r="Z539" s="48"/>
      <c r="AA539" s="48"/>
      <c r="AB539" s="48"/>
      <c r="AC539" s="1536">
        <v>12</v>
      </c>
      <c r="AD539" s="1537"/>
      <c r="AE539" s="1537"/>
      <c r="AF539" s="1537"/>
      <c r="AG539" s="38" t="s">
        <v>402</v>
      </c>
      <c r="AH539" s="1389">
        <v>2025</v>
      </c>
      <c r="AI539" s="1389"/>
      <c r="AJ539" s="1389"/>
      <c r="AK539" s="1390"/>
      <c r="AZ539" s="3"/>
      <c r="BA539" s="3"/>
      <c r="BB539" s="3"/>
      <c r="BC539" s="3"/>
      <c r="BD539" s="3"/>
      <c r="BE539" s="3"/>
      <c r="BF539" s="3"/>
      <c r="BG539" s="3"/>
      <c r="BH539" s="3"/>
      <c r="BI539" s="3"/>
      <c r="BJ539" s="3"/>
      <c r="BK539" s="3"/>
      <c r="BL539" s="3"/>
      <c r="BM539" s="3"/>
      <c r="BN539" s="3" t="s">
        <v>2076</v>
      </c>
    </row>
    <row r="540" spans="2:66" ht="12.95" customHeight="1">
      <c r="B540" s="1714"/>
      <c r="C540" s="1525"/>
      <c r="D540" s="1525"/>
      <c r="E540" s="1525"/>
      <c r="F540" s="1525"/>
      <c r="G540" s="1525"/>
      <c r="H540" s="1526"/>
      <c r="I540" s="42" t="s">
        <v>422</v>
      </c>
      <c r="J540" s="42"/>
      <c r="K540" s="42"/>
      <c r="L540" s="42"/>
      <c r="M540" s="42"/>
      <c r="N540" s="42"/>
      <c r="O540" s="1492" t="s">
        <v>333</v>
      </c>
      <c r="P540" s="1493"/>
      <c r="Q540" s="1493"/>
      <c r="R540" s="1493"/>
      <c r="S540" s="1493"/>
      <c r="T540" s="1493"/>
      <c r="U540" s="1493"/>
      <c r="V540" s="1493"/>
      <c r="W540" s="1493"/>
      <c r="X540" s="1493"/>
      <c r="Y540" s="1493"/>
      <c r="Z540" s="1493"/>
      <c r="AA540" s="1493"/>
      <c r="AC540" s="1536" t="s">
        <v>589</v>
      </c>
      <c r="AD540" s="1537"/>
      <c r="AE540" s="1537"/>
      <c r="AF540" s="1537"/>
      <c r="AG540" s="13" t="s">
        <v>402</v>
      </c>
      <c r="AH540" s="1389"/>
      <c r="AI540" s="1389"/>
      <c r="AJ540" s="1389"/>
      <c r="AK540" s="1390"/>
      <c r="AZ540" s="3"/>
      <c r="BA540" s="3"/>
      <c r="BB540" s="3"/>
      <c r="BC540" s="3"/>
      <c r="BD540" s="3"/>
      <c r="BE540" s="3"/>
      <c r="BF540" s="3"/>
      <c r="BG540" s="3"/>
      <c r="BH540" s="3"/>
      <c r="BI540" s="3"/>
      <c r="BJ540" s="3"/>
      <c r="BK540" s="3"/>
      <c r="BL540" s="3"/>
      <c r="BM540" s="3"/>
      <c r="BN540" s="3" t="s">
        <v>2077</v>
      </c>
    </row>
    <row r="541" spans="2:66" ht="12.95" customHeight="1">
      <c r="B541" s="1714"/>
      <c r="C541" s="1525"/>
      <c r="D541" s="1525"/>
      <c r="E541" s="1525"/>
      <c r="F541" s="1525"/>
      <c r="G541" s="1525"/>
      <c r="H541" s="1526"/>
      <c r="I541" t="s">
        <v>420</v>
      </c>
      <c r="AC541" s="1536" t="s">
        <v>589</v>
      </c>
      <c r="AD541" s="1537"/>
      <c r="AE541" s="1537"/>
      <c r="AF541" s="1537"/>
      <c r="AG541" s="38" t="s">
        <v>402</v>
      </c>
      <c r="AH541" s="1389"/>
      <c r="AI541" s="1389"/>
      <c r="AJ541" s="1389"/>
      <c r="AK541" s="1390"/>
      <c r="AZ541" s="3"/>
      <c r="BA541" s="3"/>
      <c r="BB541" s="3"/>
      <c r="BC541" s="3"/>
      <c r="BD541" s="3"/>
      <c r="BE541" s="3"/>
      <c r="BF541" s="3"/>
      <c r="BG541" s="3"/>
      <c r="BH541" s="3"/>
      <c r="BI541" s="3"/>
      <c r="BJ541" s="3"/>
      <c r="BK541" s="3"/>
      <c r="BL541" s="3"/>
      <c r="BM541" s="3"/>
      <c r="BN541" s="3" t="s">
        <v>2078</v>
      </c>
    </row>
    <row r="542" spans="2:66" ht="12.95" customHeight="1">
      <c r="B542" s="1714"/>
      <c r="C542" s="1525"/>
      <c r="D542" s="1525"/>
      <c r="E542" s="1525"/>
      <c r="F542" s="1525"/>
      <c r="G542" s="1525"/>
      <c r="H542" s="1526"/>
      <c r="I542" s="48" t="s">
        <v>421</v>
      </c>
      <c r="J542" s="48"/>
      <c r="K542" s="48"/>
      <c r="L542" s="48"/>
      <c r="M542" s="48"/>
      <c r="N542" s="48"/>
      <c r="O542" s="48"/>
      <c r="P542" s="48"/>
      <c r="Q542" s="48"/>
      <c r="R542" s="48"/>
      <c r="S542" s="48"/>
      <c r="T542" s="48"/>
      <c r="U542" s="48"/>
      <c r="V542" s="48"/>
      <c r="W542" s="48"/>
      <c r="X542" s="48"/>
      <c r="Y542" s="48"/>
      <c r="Z542" s="48"/>
      <c r="AA542" s="48"/>
      <c r="AB542" s="48"/>
      <c r="AC542" s="1536" t="s">
        <v>589</v>
      </c>
      <c r="AD542" s="1537"/>
      <c r="AE542" s="1537"/>
      <c r="AF542" s="1537"/>
      <c r="AG542" s="13" t="s">
        <v>402</v>
      </c>
      <c r="AH542" s="1389"/>
      <c r="AI542" s="1389"/>
      <c r="AJ542" s="1389"/>
      <c r="AK542" s="1390"/>
      <c r="AZ542" s="3"/>
      <c r="BA542" s="3"/>
      <c r="BB542" s="3"/>
      <c r="BC542" s="3"/>
      <c r="BD542" s="3"/>
      <c r="BE542" s="3"/>
      <c r="BF542" s="3"/>
      <c r="BG542" s="3"/>
      <c r="BH542" s="3"/>
      <c r="BI542" s="3"/>
      <c r="BJ542" s="3"/>
      <c r="BK542" s="3"/>
      <c r="BL542" s="3"/>
      <c r="BM542" s="3"/>
      <c r="BN542" s="3" t="s">
        <v>2079</v>
      </c>
    </row>
    <row r="543" spans="2:66" ht="12.95" customHeight="1">
      <c r="B543" s="1714"/>
      <c r="C543" s="1525"/>
      <c r="D543" s="1525"/>
      <c r="E543" s="1525"/>
      <c r="F543" s="1525"/>
      <c r="G543" s="1525"/>
      <c r="H543" s="1526"/>
      <c r="I543" s="42" t="s">
        <v>422</v>
      </c>
      <c r="J543" s="42"/>
      <c r="K543" s="42"/>
      <c r="L543" s="42"/>
      <c r="M543" s="42"/>
      <c r="N543" s="42"/>
      <c r="O543" s="1492" t="s">
        <v>333</v>
      </c>
      <c r="P543" s="1493"/>
      <c r="Q543" s="1493"/>
      <c r="R543" s="1493"/>
      <c r="S543" s="1493"/>
      <c r="T543" s="1493"/>
      <c r="U543" s="1493"/>
      <c r="V543" s="1493"/>
      <c r="W543" s="1493"/>
      <c r="X543" s="1493"/>
      <c r="Y543" s="1493"/>
      <c r="Z543" s="1493"/>
      <c r="AA543" s="1493"/>
      <c r="AC543" s="1536" t="s">
        <v>589</v>
      </c>
      <c r="AD543" s="1537"/>
      <c r="AE543" s="1537"/>
      <c r="AF543" s="1537"/>
      <c r="AG543" s="38" t="s">
        <v>402</v>
      </c>
      <c r="AH543" s="1389"/>
      <c r="AI543" s="1389"/>
      <c r="AJ543" s="1389"/>
      <c r="AK543" s="1390"/>
      <c r="AZ543" s="3"/>
      <c r="BA543" s="3"/>
      <c r="BB543" s="3"/>
      <c r="BC543" s="3"/>
      <c r="BD543" s="3"/>
      <c r="BE543" s="3"/>
      <c r="BF543" s="3"/>
      <c r="BG543" s="3"/>
      <c r="BH543" s="3"/>
      <c r="BI543" s="3"/>
      <c r="BJ543" s="3"/>
      <c r="BK543" s="3"/>
      <c r="BL543" s="3"/>
      <c r="BM543" s="3"/>
      <c r="BN543" s="3" t="s">
        <v>2080</v>
      </c>
    </row>
    <row r="544" spans="2:66" ht="12.95" customHeight="1">
      <c r="B544" s="1714"/>
      <c r="C544" s="1525"/>
      <c r="D544" s="1525"/>
      <c r="E544" s="1525"/>
      <c r="F544" s="1525"/>
      <c r="G544" s="1525"/>
      <c r="H544" s="1526"/>
      <c r="I544" t="s">
        <v>420</v>
      </c>
      <c r="AC544" s="1536" t="s">
        <v>589</v>
      </c>
      <c r="AD544" s="1537"/>
      <c r="AE544" s="1537"/>
      <c r="AF544" s="1537"/>
      <c r="AG544" s="13" t="s">
        <v>402</v>
      </c>
      <c r="AH544" s="1389"/>
      <c r="AI544" s="1389"/>
      <c r="AJ544" s="1389"/>
      <c r="AK544" s="1390"/>
      <c r="AZ544" s="3"/>
      <c r="BA544" s="3"/>
      <c r="BB544" s="3"/>
      <c r="BC544" s="3"/>
      <c r="BD544" s="3"/>
      <c r="BE544" s="3"/>
      <c r="BF544" s="3"/>
      <c r="BG544" s="3"/>
      <c r="BH544" s="3"/>
      <c r="BI544" s="3"/>
      <c r="BJ544" s="3"/>
      <c r="BK544" s="3"/>
      <c r="BL544" s="3"/>
      <c r="BM544" s="3"/>
      <c r="BN544" s="3" t="s">
        <v>2081</v>
      </c>
    </row>
    <row r="545" spans="1:66" ht="12.95" customHeight="1">
      <c r="B545" s="1714"/>
      <c r="C545" s="1525"/>
      <c r="D545" s="1525"/>
      <c r="E545" s="1525"/>
      <c r="F545" s="1525"/>
      <c r="G545" s="1525"/>
      <c r="H545" s="1526"/>
      <c r="I545" s="48" t="s">
        <v>421</v>
      </c>
      <c r="J545" s="48"/>
      <c r="K545" s="48"/>
      <c r="L545" s="48"/>
      <c r="M545" s="48"/>
      <c r="N545" s="48"/>
      <c r="O545" s="48"/>
      <c r="P545" s="48"/>
      <c r="Q545" s="48"/>
      <c r="R545" s="48"/>
      <c r="S545" s="48"/>
      <c r="T545" s="48"/>
      <c r="U545" s="48"/>
      <c r="V545" s="48"/>
      <c r="W545" s="48"/>
      <c r="X545" s="48"/>
      <c r="Y545" s="48"/>
      <c r="Z545" s="48"/>
      <c r="AA545" s="48"/>
      <c r="AB545" s="48"/>
      <c r="AC545" s="1536" t="s">
        <v>589</v>
      </c>
      <c r="AD545" s="1537"/>
      <c r="AE545" s="1537"/>
      <c r="AF545" s="1537"/>
      <c r="AG545" s="38" t="s">
        <v>402</v>
      </c>
      <c r="AH545" s="1389"/>
      <c r="AI545" s="1389"/>
      <c r="AJ545" s="1389"/>
      <c r="AK545" s="1390"/>
      <c r="AZ545" s="3"/>
      <c r="BA545" s="3"/>
      <c r="BB545" s="3"/>
      <c r="BC545" s="3"/>
      <c r="BD545" s="3"/>
      <c r="BE545" s="3"/>
      <c r="BF545" s="3"/>
      <c r="BG545" s="3"/>
      <c r="BH545" s="3"/>
      <c r="BI545" s="3"/>
      <c r="BJ545" s="3"/>
      <c r="BK545" s="3"/>
      <c r="BL545" s="3"/>
      <c r="BM545" s="3"/>
      <c r="BN545" s="3" t="s">
        <v>2082</v>
      </c>
    </row>
    <row r="546" spans="1:66" ht="12.95" customHeight="1">
      <c r="B546" s="1714"/>
      <c r="C546" s="1525"/>
      <c r="D546" s="1525"/>
      <c r="E546" s="1525"/>
      <c r="F546" s="1525"/>
      <c r="G546" s="1525"/>
      <c r="H546" s="1526"/>
      <c r="I546" s="42" t="s">
        <v>560</v>
      </c>
      <c r="J546" s="42"/>
      <c r="K546" s="42"/>
      <c r="L546" s="42"/>
      <c r="M546" s="42"/>
      <c r="N546" s="42"/>
      <c r="O546" s="42"/>
      <c r="P546" s="42"/>
      <c r="Q546" s="42"/>
      <c r="R546" s="42"/>
      <c r="S546" s="42"/>
      <c r="T546" s="42"/>
      <c r="U546" s="42"/>
      <c r="V546" s="42"/>
      <c r="W546" s="42"/>
      <c r="AC546" s="1536">
        <v>4</v>
      </c>
      <c r="AD546" s="1537"/>
      <c r="AE546" s="1537"/>
      <c r="AF546" s="1537"/>
      <c r="AG546" s="38" t="s">
        <v>402</v>
      </c>
      <c r="AH546" s="1389">
        <v>2027</v>
      </c>
      <c r="AI546" s="1389"/>
      <c r="AJ546" s="1389"/>
      <c r="AK546" s="1390"/>
      <c r="AZ546" s="3"/>
      <c r="BA546" s="3"/>
      <c r="BB546" s="3"/>
      <c r="BC546" s="3"/>
      <c r="BD546" s="3"/>
      <c r="BE546" s="3"/>
      <c r="BF546" s="3"/>
      <c r="BG546" s="3"/>
      <c r="BH546" s="3"/>
      <c r="BI546" s="3"/>
      <c r="BJ546" s="3"/>
      <c r="BK546" s="3"/>
      <c r="BL546" s="3"/>
      <c r="BM546" s="3"/>
      <c r="BN546" s="3"/>
    </row>
    <row r="547" spans="1:66" ht="12.95" customHeight="1">
      <c r="B547" s="1714"/>
      <c r="C547" s="1525"/>
      <c r="D547" s="1525"/>
      <c r="E547" s="1525"/>
      <c r="F547" s="1525"/>
      <c r="G547" s="1525"/>
      <c r="H547" s="1526"/>
      <c r="I547" t="s">
        <v>561</v>
      </c>
      <c r="AC547" s="1536">
        <v>2</v>
      </c>
      <c r="AD547" s="1537"/>
      <c r="AE547" s="1537"/>
      <c r="AF547" s="1537"/>
      <c r="AG547" s="13" t="s">
        <v>402</v>
      </c>
      <c r="AH547" s="1389">
        <v>2027</v>
      </c>
      <c r="AI547" s="1389"/>
      <c r="AJ547" s="1389"/>
      <c r="AK547" s="1390"/>
      <c r="AZ547" s="3"/>
      <c r="BA547" s="3"/>
      <c r="BB547" s="3"/>
      <c r="BC547" s="3"/>
      <c r="BD547" s="3"/>
      <c r="BE547" s="3"/>
      <c r="BF547" s="3"/>
      <c r="BG547" s="3"/>
      <c r="BH547" s="3"/>
      <c r="BI547" s="3"/>
      <c r="BJ547" s="3"/>
      <c r="BK547" s="3"/>
      <c r="BL547" s="3"/>
      <c r="BM547" s="3"/>
      <c r="BN547" s="3"/>
    </row>
    <row r="548" spans="1:66" ht="12.95" customHeight="1">
      <c r="B548" s="1714"/>
      <c r="C548" s="1525"/>
      <c r="D548" s="1525"/>
      <c r="E548" s="1525"/>
      <c r="F548" s="1525"/>
      <c r="G548" s="1525"/>
      <c r="H548" s="1526"/>
      <c r="I548" t="s">
        <v>562</v>
      </c>
      <c r="AC548" s="1536">
        <v>2</v>
      </c>
      <c r="AD548" s="1537"/>
      <c r="AE548" s="1537"/>
      <c r="AF548" s="1537"/>
      <c r="AG548" s="38" t="s">
        <v>402</v>
      </c>
      <c r="AH548" s="1389">
        <v>2029</v>
      </c>
      <c r="AI548" s="1389"/>
      <c r="AJ548" s="1389"/>
      <c r="AK548" s="1390"/>
      <c r="AZ548" s="3"/>
      <c r="BA548" s="3"/>
      <c r="BB548" s="3"/>
      <c r="BC548" s="3"/>
      <c r="BD548" s="3"/>
      <c r="BE548" s="3"/>
      <c r="BF548" s="3"/>
      <c r="BG548" s="3"/>
      <c r="BH548" s="3"/>
      <c r="BI548" s="3"/>
      <c r="BJ548" s="3"/>
      <c r="BK548" s="3"/>
      <c r="BL548" s="3"/>
      <c r="BM548" s="3"/>
      <c r="BN548" s="3"/>
    </row>
    <row r="549" spans="1:66" ht="12.95" customHeight="1">
      <c r="B549" s="1714"/>
      <c r="C549" s="1525"/>
      <c r="D549" s="1525"/>
      <c r="E549" s="1525"/>
      <c r="F549" s="1525"/>
      <c r="G549" s="1525"/>
      <c r="H549" s="1526"/>
      <c r="I549" t="s">
        <v>563</v>
      </c>
      <c r="AC549" s="1536">
        <v>2</v>
      </c>
      <c r="AD549" s="1537"/>
      <c r="AE549" s="1537"/>
      <c r="AF549" s="1537"/>
      <c r="AG549" s="38" t="s">
        <v>402</v>
      </c>
      <c r="AH549" s="1389">
        <v>2029</v>
      </c>
      <c r="AI549" s="1389"/>
      <c r="AJ549" s="1389"/>
      <c r="AK549" s="1390"/>
      <c r="AZ549" s="3"/>
      <c r="BA549" s="3"/>
      <c r="BB549" s="3"/>
      <c r="BC549" s="3"/>
      <c r="BD549" s="3"/>
      <c r="BE549" s="3"/>
      <c r="BF549" s="3"/>
      <c r="BG549" s="3"/>
      <c r="BH549" s="3"/>
      <c r="BI549" s="3"/>
      <c r="BJ549" s="3"/>
      <c r="BK549" s="3"/>
      <c r="BL549" s="3"/>
      <c r="BM549" s="3"/>
      <c r="BN549" s="3"/>
    </row>
    <row r="550" spans="1:66" ht="12.95" customHeight="1">
      <c r="B550" s="1715"/>
      <c r="C550" s="1527"/>
      <c r="D550" s="1527"/>
      <c r="E550" s="1527"/>
      <c r="F550" s="1527"/>
      <c r="G550" s="1527"/>
      <c r="H550" s="1528"/>
      <c r="I550" s="48" t="s">
        <v>449</v>
      </c>
      <c r="J550" s="48"/>
      <c r="K550" s="48"/>
      <c r="L550" s="48"/>
      <c r="M550" s="48"/>
      <c r="N550" s="48"/>
      <c r="O550" s="48"/>
      <c r="P550" s="48"/>
      <c r="Q550" s="48"/>
      <c r="R550" s="48"/>
      <c r="S550" s="48"/>
      <c r="T550" s="48"/>
      <c r="U550" s="48"/>
      <c r="V550" s="48"/>
      <c r="W550" s="48"/>
      <c r="X550" s="48"/>
      <c r="Y550" s="48"/>
      <c r="Z550" s="48"/>
      <c r="AA550" s="48"/>
      <c r="AB550" s="48"/>
      <c r="AC550" s="1536">
        <v>7</v>
      </c>
      <c r="AD550" s="1537"/>
      <c r="AE550" s="1537"/>
      <c r="AF550" s="1537"/>
      <c r="AG550" s="38" t="s">
        <v>402</v>
      </c>
      <c r="AH550" s="1389">
        <v>2029</v>
      </c>
      <c r="AI550" s="1389"/>
      <c r="AJ550" s="1389"/>
      <c r="AK550" s="1390"/>
      <c r="BB550" s="3"/>
      <c r="BC550" s="3"/>
      <c r="BD550" s="3"/>
      <c r="BE550" s="3"/>
      <c r="BF550" s="3"/>
      <c r="BG550" s="3"/>
      <c r="BH550" s="3" t="s">
        <v>112</v>
      </c>
      <c r="BI550" s="3" t="str">
        <f>N657</f>
        <v>Yes</v>
      </c>
      <c r="BJ550" s="3"/>
      <c r="BK550" s="3"/>
      <c r="BL550" s="3"/>
      <c r="BM550" s="3"/>
      <c r="BN550" s="3"/>
    </row>
    <row r="551" spans="1:66" ht="12.95" customHeight="1">
      <c r="B551" s="531"/>
      <c r="C551" s="130"/>
      <c r="D551" s="130"/>
      <c r="E551" s="130"/>
      <c r="F551" s="130"/>
      <c r="G551" s="130"/>
      <c r="H551" s="130"/>
      <c r="AB551" s="130"/>
      <c r="AU551" s="894"/>
      <c r="AV551" s="894"/>
      <c r="AW551" s="894"/>
      <c r="AX551" s="894"/>
      <c r="AY551" s="894"/>
      <c r="BB551" s="3"/>
      <c r="BC551" s="3"/>
      <c r="BD551" s="3"/>
      <c r="BE551" s="3"/>
      <c r="BF551" s="3"/>
      <c r="BG551" s="3"/>
      <c r="BH551" s="3" t="s">
        <v>113</v>
      </c>
      <c r="BI551" s="3" t="str">
        <f>AG657</f>
        <v>Yes</v>
      </c>
      <c r="BJ551" s="3"/>
      <c r="BK551" s="3"/>
      <c r="BL551" s="3"/>
      <c r="BM551" s="3"/>
      <c r="BN551" s="3"/>
    </row>
    <row r="552" spans="1:66" ht="12.95" customHeight="1">
      <c r="A552" s="1279" t="s">
        <v>541</v>
      </c>
      <c r="B552" s="1279"/>
      <c r="C552" s="1279"/>
      <c r="D552" s="1279"/>
      <c r="E552" s="1279"/>
      <c r="F552" s="1279"/>
      <c r="G552" s="1279"/>
      <c r="H552" s="1279"/>
      <c r="I552" s="1279"/>
      <c r="J552" s="1279"/>
      <c r="K552" s="1279"/>
      <c r="L552" s="1279"/>
      <c r="M552" s="1279"/>
      <c r="N552" s="1279"/>
      <c r="O552" s="1279"/>
      <c r="P552" s="1279"/>
      <c r="Q552" s="1279"/>
      <c r="R552" s="1279"/>
      <c r="S552" s="1279"/>
      <c r="T552" s="1279"/>
      <c r="U552" s="1279"/>
      <c r="V552" s="1279"/>
      <c r="W552" s="1279"/>
      <c r="X552" s="1279"/>
      <c r="Y552" s="1279"/>
      <c r="Z552" s="1279"/>
      <c r="AA552" s="1279"/>
      <c r="AB552" s="1279"/>
      <c r="AC552" s="1279"/>
      <c r="AD552" s="1279"/>
      <c r="AE552" s="1279"/>
      <c r="AF552" s="1279"/>
      <c r="AG552" s="1279"/>
      <c r="AH552" s="1279"/>
      <c r="AI552" s="1279"/>
      <c r="AJ552" s="1279"/>
      <c r="AK552" s="1279"/>
      <c r="AL552" s="1279"/>
      <c r="AM552" s="1279"/>
      <c r="AN552" s="1279"/>
      <c r="AO552" s="1279"/>
      <c r="AP552" s="1279"/>
      <c r="AQ552" s="1279"/>
      <c r="AR552" s="1279"/>
      <c r="AS552" s="1279"/>
      <c r="AT552" s="1279"/>
      <c r="AU552" s="894"/>
      <c r="AV552" s="894"/>
      <c r="AW552" s="894"/>
      <c r="AX552" s="894"/>
      <c r="AY552" s="894"/>
      <c r="BB552" s="3"/>
      <c r="BC552" s="3"/>
      <c r="BD552" s="3"/>
      <c r="BE552" s="3"/>
      <c r="BF552" s="3"/>
      <c r="BG552" s="3"/>
      <c r="BH552" s="3"/>
      <c r="BI552" s="3"/>
      <c r="BJ552" s="3"/>
      <c r="BK552" s="3"/>
      <c r="BL552" s="3"/>
      <c r="BM552" s="3"/>
      <c r="BN552" s="3"/>
    </row>
    <row r="553" spans="1:66" ht="12.95" customHeight="1">
      <c r="A553" s="1279"/>
      <c r="B553" s="1279"/>
      <c r="C553" s="1279"/>
      <c r="D553" s="1279"/>
      <c r="E553" s="1279"/>
      <c r="F553" s="1279"/>
      <c r="G553" s="1279"/>
      <c r="H553" s="1279"/>
      <c r="I553" s="1279"/>
      <c r="J553" s="1279"/>
      <c r="K553" s="1279"/>
      <c r="L553" s="1279"/>
      <c r="M553" s="1279"/>
      <c r="N553" s="1279"/>
      <c r="O553" s="1279"/>
      <c r="P553" s="1279"/>
      <c r="Q553" s="1279"/>
      <c r="R553" s="1279"/>
      <c r="S553" s="1279"/>
      <c r="T553" s="1279"/>
      <c r="U553" s="1279"/>
      <c r="V553" s="1279"/>
      <c r="W553" s="1279"/>
      <c r="X553" s="1279"/>
      <c r="Y553" s="1279"/>
      <c r="Z553" s="1279"/>
      <c r="AA553" s="1279"/>
      <c r="AB553" s="1279"/>
      <c r="AC553" s="1279"/>
      <c r="AD553" s="1279"/>
      <c r="AE553" s="1279"/>
      <c r="AF553" s="1279"/>
      <c r="AG553" s="1279"/>
      <c r="AH553" s="1279"/>
      <c r="AI553" s="1279"/>
      <c r="AJ553" s="1279"/>
      <c r="AK553" s="1279"/>
      <c r="AL553" s="1279"/>
      <c r="AM553" s="1279"/>
      <c r="AN553" s="1279"/>
      <c r="AO553" s="1279"/>
      <c r="AP553" s="1279"/>
      <c r="AQ553" s="1279"/>
      <c r="AR553" s="1279"/>
      <c r="AS553" s="1279"/>
      <c r="AT553" s="127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450</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1"/>
      <c r="BB558" s="3"/>
      <c r="BC558" s="3"/>
      <c r="BD558" s="3"/>
      <c r="BE558" s="3"/>
      <c r="BF558" s="3"/>
      <c r="BG558" s="3"/>
      <c r="BH558" s="3" t="s">
        <v>119</v>
      </c>
      <c r="BI558" s="3" t="str">
        <f>N665</f>
        <v>Yes</v>
      </c>
    </row>
    <row r="559" spans="1:66" ht="12.95" customHeight="1">
      <c r="B559" s="1713" t="s">
        <v>2056</v>
      </c>
      <c r="C559" s="1523"/>
      <c r="D559" s="1523"/>
      <c r="E559" s="1523"/>
      <c r="F559" s="1523"/>
      <c r="G559" s="1523"/>
      <c r="H559" s="1523"/>
      <c r="I559" s="1523"/>
      <c r="J559" s="1523"/>
      <c r="K559" s="1523"/>
      <c r="L559" s="1524"/>
      <c r="M559" s="1713" t="s">
        <v>2057</v>
      </c>
      <c r="N559" s="1523"/>
      <c r="O559" s="1523"/>
      <c r="P559" s="1524"/>
      <c r="Q559" s="1713" t="s">
        <v>2083</v>
      </c>
      <c r="R559" s="1523"/>
      <c r="S559" s="1524"/>
      <c r="T559" s="1713" t="s">
        <v>2084</v>
      </c>
      <c r="U559" s="1523"/>
      <c r="V559" s="1524"/>
      <c r="W559" s="1713" t="s">
        <v>451</v>
      </c>
      <c r="X559" s="1523"/>
      <c r="Y559" s="1524"/>
      <c r="Z559" s="1713" t="s">
        <v>1826</v>
      </c>
      <c r="AA559" s="1523"/>
      <c r="AB559" s="1523"/>
      <c r="AC559" s="1523"/>
      <c r="AD559" s="1524"/>
      <c r="AE559" s="1713" t="s">
        <v>1663</v>
      </c>
      <c r="AF559" s="1523"/>
      <c r="AG559" s="1523"/>
      <c r="AH559" s="1524"/>
      <c r="AI559" s="1713" t="s">
        <v>1664</v>
      </c>
      <c r="AJ559" s="1523"/>
      <c r="AK559" s="1523"/>
      <c r="AL559" s="1524"/>
      <c r="AM559" s="1713" t="s">
        <v>452</v>
      </c>
      <c r="AN559" s="1523"/>
      <c r="AO559" s="1523"/>
      <c r="AP559" s="1523"/>
      <c r="AQ559" s="1523"/>
      <c r="AR559" s="1523"/>
      <c r="AS559" s="1524"/>
      <c r="BB559" s="3"/>
      <c r="BC559" s="3"/>
      <c r="BD559" s="3"/>
      <c r="BE559" s="3"/>
      <c r="BF559" s="3"/>
      <c r="BG559" s="3"/>
      <c r="BH559" s="3" t="s">
        <v>579</v>
      </c>
      <c r="BI559" s="3" t="str">
        <f>AG665</f>
        <v>Yes</v>
      </c>
    </row>
    <row r="560" spans="1:66" ht="12.95" customHeight="1">
      <c r="B560" s="1714"/>
      <c r="C560" s="1525"/>
      <c r="D560" s="1525"/>
      <c r="E560" s="1525"/>
      <c r="F560" s="1525"/>
      <c r="G560" s="1525"/>
      <c r="H560" s="1525"/>
      <c r="I560" s="1525"/>
      <c r="J560" s="1525"/>
      <c r="K560" s="1525"/>
      <c r="L560" s="1526"/>
      <c r="M560" s="1714"/>
      <c r="N560" s="1525"/>
      <c r="O560" s="1525"/>
      <c r="P560" s="1526"/>
      <c r="Q560" s="1714"/>
      <c r="R560" s="1525"/>
      <c r="S560" s="1526"/>
      <c r="T560" s="1714"/>
      <c r="U560" s="1525"/>
      <c r="V560" s="1526"/>
      <c r="W560" s="1714"/>
      <c r="X560" s="1525"/>
      <c r="Y560" s="1526"/>
      <c r="Z560" s="1714"/>
      <c r="AA560" s="1525"/>
      <c r="AB560" s="1525"/>
      <c r="AC560" s="1525"/>
      <c r="AD560" s="1526"/>
      <c r="AE560" s="1714"/>
      <c r="AF560" s="1525"/>
      <c r="AG560" s="1525"/>
      <c r="AH560" s="1526"/>
      <c r="AI560" s="1714"/>
      <c r="AJ560" s="1525"/>
      <c r="AK560" s="1525"/>
      <c r="AL560" s="1526"/>
      <c r="AM560" s="1714"/>
      <c r="AN560" s="1525"/>
      <c r="AO560" s="1525"/>
      <c r="AP560" s="1525"/>
      <c r="AQ560" s="1525"/>
      <c r="AR560" s="1525"/>
      <c r="AS560" s="1526"/>
      <c r="AU560" s="1140"/>
      <c r="BB560" s="3"/>
      <c r="BC560" s="3"/>
      <c r="BD560" s="3"/>
      <c r="BE560" s="3"/>
      <c r="BF560" s="3"/>
      <c r="BG560" s="3"/>
      <c r="BH560" s="3"/>
      <c r="BI560" s="3"/>
    </row>
    <row r="561" spans="1:61" ht="12.95" customHeight="1">
      <c r="B561" s="1715"/>
      <c r="C561" s="1527"/>
      <c r="D561" s="1527"/>
      <c r="E561" s="1527"/>
      <c r="F561" s="1527"/>
      <c r="G561" s="1527"/>
      <c r="H561" s="1527"/>
      <c r="I561" s="1527"/>
      <c r="J561" s="1527"/>
      <c r="K561" s="1527"/>
      <c r="L561" s="1528"/>
      <c r="M561" s="1715"/>
      <c r="N561" s="1527"/>
      <c r="O561" s="1527"/>
      <c r="P561" s="1528"/>
      <c r="Q561" s="1715"/>
      <c r="R561" s="1527"/>
      <c r="S561" s="1528"/>
      <c r="T561" s="1715"/>
      <c r="U561" s="1527"/>
      <c r="V561" s="1528"/>
      <c r="W561" s="1715"/>
      <c r="X561" s="1527"/>
      <c r="Y561" s="1528"/>
      <c r="Z561" s="1715"/>
      <c r="AA561" s="1527"/>
      <c r="AB561" s="1527"/>
      <c r="AC561" s="1527"/>
      <c r="AD561" s="1528"/>
      <c r="AE561" s="1715"/>
      <c r="AF561" s="1527"/>
      <c r="AG561" s="1527"/>
      <c r="AH561" s="1528"/>
      <c r="AI561" s="1715"/>
      <c r="AJ561" s="1527"/>
      <c r="AK561" s="1527"/>
      <c r="AL561" s="1528"/>
      <c r="AM561" s="1715"/>
      <c r="AN561" s="1527"/>
      <c r="AO561" s="1527"/>
      <c r="AP561" s="1527"/>
      <c r="AQ561" s="1527"/>
      <c r="AR561" s="1527"/>
      <c r="AS561" s="1528"/>
      <c r="AU561" s="1140"/>
      <c r="BB561" s="3"/>
      <c r="BC561" s="3"/>
      <c r="BD561" s="3"/>
      <c r="BE561" s="3"/>
      <c r="BF561" s="3"/>
      <c r="BG561" s="3"/>
      <c r="BH561" s="3"/>
      <c r="BI561" s="3"/>
    </row>
    <row r="562" spans="1:61" ht="12.95" customHeight="1">
      <c r="B562" s="51" t="s">
        <v>112</v>
      </c>
      <c r="C562" s="1495" t="s">
        <v>2803</v>
      </c>
      <c r="D562" s="1495"/>
      <c r="E562" s="1495"/>
      <c r="F562" s="1495"/>
      <c r="G562" s="1495"/>
      <c r="H562" s="1495"/>
      <c r="I562" s="1495"/>
      <c r="J562" s="1495"/>
      <c r="K562" s="1495"/>
      <c r="L562" s="1495"/>
      <c r="M562" s="1495" t="s">
        <v>2073</v>
      </c>
      <c r="N562" s="1495"/>
      <c r="O562" s="1495"/>
      <c r="P562" s="1495"/>
      <c r="Q562" s="1482">
        <v>32</v>
      </c>
      <c r="R562" s="1482"/>
      <c r="S562" s="1483"/>
      <c r="T562" s="1481"/>
      <c r="U562" s="1482"/>
      <c r="V562" s="1483"/>
      <c r="W562" s="1498">
        <v>6.8059999999999996E-2</v>
      </c>
      <c r="X562" s="1499"/>
      <c r="Y562" s="1500"/>
      <c r="Z562" s="1504" t="s">
        <v>2734</v>
      </c>
      <c r="AA562" s="1504"/>
      <c r="AB562" s="1504"/>
      <c r="AC562" s="1504"/>
      <c r="AD562" s="1504"/>
      <c r="AE562" s="1501">
        <v>1</v>
      </c>
      <c r="AF562" s="1502"/>
      <c r="AG562" s="1502"/>
      <c r="AH562" s="1503"/>
      <c r="AI562" s="1505"/>
      <c r="AJ562" s="1506"/>
      <c r="AK562" s="1506"/>
      <c r="AL562" s="1507"/>
      <c r="AM562" s="1452">
        <v>30904733</v>
      </c>
      <c r="AN562" s="1453"/>
      <c r="AO562" s="1453"/>
      <c r="AP562" s="1453"/>
      <c r="AQ562" s="1453"/>
      <c r="AR562" s="1453"/>
      <c r="AS562" s="1454"/>
      <c r="AT562" s="1141"/>
      <c r="AU562" s="1140"/>
      <c r="BB562" s="3"/>
      <c r="BC562" s="3"/>
      <c r="BD562" s="3"/>
      <c r="BE562" s="3"/>
      <c r="BF562" s="3"/>
      <c r="BG562" s="3"/>
      <c r="BH562" s="3"/>
      <c r="BI562" s="3"/>
    </row>
    <row r="563" spans="1:61" ht="12.95" customHeight="1">
      <c r="B563" s="52" t="s">
        <v>113</v>
      </c>
      <c r="C563" s="1497" t="s">
        <v>2787</v>
      </c>
      <c r="D563" s="1497"/>
      <c r="E563" s="1497"/>
      <c r="F563" s="1497"/>
      <c r="G563" s="1497"/>
      <c r="H563" s="1497"/>
      <c r="I563" s="1497"/>
      <c r="J563" s="1497"/>
      <c r="K563" s="1497"/>
      <c r="L563" s="1497"/>
      <c r="M563" s="1495" t="s">
        <v>2072</v>
      </c>
      <c r="N563" s="1495"/>
      <c r="O563" s="1495"/>
      <c r="P563" s="1495"/>
      <c r="Q563" s="1481">
        <v>32</v>
      </c>
      <c r="R563" s="1482"/>
      <c r="S563" s="1483"/>
      <c r="T563" s="1481"/>
      <c r="U563" s="1482"/>
      <c r="V563" s="1483"/>
      <c r="W563" s="1498">
        <v>7.0559999999999998E-2</v>
      </c>
      <c r="X563" s="1499"/>
      <c r="Y563" s="1500"/>
      <c r="Z563" s="1504" t="s">
        <v>2734</v>
      </c>
      <c r="AA563" s="1504"/>
      <c r="AB563" s="1504"/>
      <c r="AC563" s="1504"/>
      <c r="AD563" s="1504"/>
      <c r="AE563" s="1501">
        <v>2</v>
      </c>
      <c r="AF563" s="1502"/>
      <c r="AG563" s="1502"/>
      <c r="AH563" s="1503"/>
      <c r="AI563" s="1505"/>
      <c r="AJ563" s="1506"/>
      <c r="AK563" s="1506"/>
      <c r="AL563" s="1507"/>
      <c r="AM563" s="1452">
        <v>35072745</v>
      </c>
      <c r="AN563" s="1453"/>
      <c r="AO563" s="1453"/>
      <c r="AP563" s="1453"/>
      <c r="AQ563" s="1453"/>
      <c r="AR563" s="1453"/>
      <c r="AS563" s="1454"/>
      <c r="AT563" s="1141" t="str">
        <f>IF(AND(NOT(C562=""),C563="",NOT(C564="")),"!","")</f>
        <v/>
      </c>
      <c r="AU563" s="1140"/>
      <c r="BB563" s="3"/>
      <c r="BC563" s="3"/>
      <c r="BD563" s="3"/>
      <c r="BE563" s="3"/>
      <c r="BF563" s="3"/>
      <c r="BG563" s="3"/>
      <c r="BH563" s="3"/>
      <c r="BI563" s="3"/>
    </row>
    <row r="564" spans="1:61" ht="12.95" customHeight="1">
      <c r="B564" s="52" t="s">
        <v>119</v>
      </c>
      <c r="C564" s="1497" t="s">
        <v>2731</v>
      </c>
      <c r="D564" s="1497"/>
      <c r="E564" s="1497"/>
      <c r="F564" s="1497"/>
      <c r="G564" s="1497"/>
      <c r="H564" s="1497"/>
      <c r="I564" s="1497"/>
      <c r="J564" s="1497"/>
      <c r="K564" s="1497"/>
      <c r="L564" s="1497"/>
      <c r="M564" s="1495" t="s">
        <v>2069</v>
      </c>
      <c r="N564" s="1495"/>
      <c r="O564" s="1495"/>
      <c r="P564" s="1495"/>
      <c r="Q564" s="1481">
        <v>32</v>
      </c>
      <c r="R564" s="1482"/>
      <c r="S564" s="1483"/>
      <c r="T564" s="1481"/>
      <c r="U564" s="1482"/>
      <c r="V564" s="1483"/>
      <c r="W564" s="1498">
        <v>0.03</v>
      </c>
      <c r="X564" s="1499"/>
      <c r="Y564" s="1500"/>
      <c r="Z564" s="1504" t="s">
        <v>2732</v>
      </c>
      <c r="AA564" s="1504"/>
      <c r="AB564" s="1504"/>
      <c r="AC564" s="1504"/>
      <c r="AD564" s="1504"/>
      <c r="AE564" s="1501">
        <v>3</v>
      </c>
      <c r="AF564" s="1502"/>
      <c r="AG564" s="1502"/>
      <c r="AH564" s="1503"/>
      <c r="AI564" s="1505"/>
      <c r="AJ564" s="1506"/>
      <c r="AK564" s="1506"/>
      <c r="AL564" s="1507"/>
      <c r="AM564" s="1452">
        <v>21786974</v>
      </c>
      <c r="AN564" s="1453"/>
      <c r="AO564" s="1453"/>
      <c r="AP564" s="1453"/>
      <c r="AQ564" s="1453"/>
      <c r="AR564" s="1453"/>
      <c r="AS564" s="1454"/>
      <c r="AT564" s="1141" t="str">
        <f>IF(AND(NOT(C563=""),C564="",NOT(C565="")),"!","")</f>
        <v/>
      </c>
      <c r="AU564" s="1140"/>
      <c r="BB564" s="3"/>
      <c r="BC564" s="3"/>
      <c r="BD564" s="3"/>
      <c r="BE564" s="3"/>
      <c r="BF564" s="3"/>
      <c r="BG564" s="3"/>
      <c r="BH564" s="3"/>
      <c r="BI564" s="3"/>
    </row>
    <row r="565" spans="1:61" ht="24.75" customHeight="1">
      <c r="B565" s="52" t="s">
        <v>579</v>
      </c>
      <c r="C565" s="1497" t="s">
        <v>2788</v>
      </c>
      <c r="D565" s="1497"/>
      <c r="E565" s="1497"/>
      <c r="F565" s="1497"/>
      <c r="G565" s="1497"/>
      <c r="H565" s="1497"/>
      <c r="I565" s="1497"/>
      <c r="J565" s="1497"/>
      <c r="K565" s="1497"/>
      <c r="L565" s="1497"/>
      <c r="M565" s="1495" t="s">
        <v>2058</v>
      </c>
      <c r="N565" s="1495"/>
      <c r="O565" s="1495"/>
      <c r="P565" s="1495"/>
      <c r="Q565" s="1481">
        <v>32</v>
      </c>
      <c r="R565" s="1482"/>
      <c r="S565" s="1483"/>
      <c r="T565" s="1481"/>
      <c r="U565" s="1482"/>
      <c r="V565" s="1483"/>
      <c r="W565" s="1498">
        <v>0</v>
      </c>
      <c r="X565" s="1499"/>
      <c r="Y565" s="1500"/>
      <c r="Z565" s="1504" t="s">
        <v>589</v>
      </c>
      <c r="AA565" s="1504"/>
      <c r="AB565" s="1504"/>
      <c r="AC565" s="1504"/>
      <c r="AD565" s="1504"/>
      <c r="AE565" s="1501"/>
      <c r="AF565" s="1502"/>
      <c r="AG565" s="1502"/>
      <c r="AH565" s="1503"/>
      <c r="AI565" s="1505"/>
      <c r="AJ565" s="1506"/>
      <c r="AK565" s="1506"/>
      <c r="AL565" s="1507"/>
      <c r="AM565" s="1452">
        <v>792472</v>
      </c>
      <c r="AN565" s="1453"/>
      <c r="AO565" s="1453"/>
      <c r="AP565" s="1453"/>
      <c r="AQ565" s="1453"/>
      <c r="AR565" s="1453"/>
      <c r="AS565" s="1454"/>
      <c r="AT565" s="1141" t="str">
        <f>IF(AND(NOT(C564=""),C565="",NOT(C566="")),"!","")</f>
        <v/>
      </c>
      <c r="AU565" s="1140"/>
      <c r="BB565" s="3"/>
      <c r="BC565" s="3"/>
      <c r="BD565" s="3"/>
      <c r="BE565" s="3"/>
      <c r="BF565" s="3"/>
      <c r="BG565" s="3"/>
      <c r="BH565" s="3"/>
      <c r="BI565" s="3"/>
    </row>
    <row r="566" spans="1:61" ht="26.25" customHeight="1">
      <c r="B566" s="52" t="s">
        <v>761</v>
      </c>
      <c r="C566" s="1497" t="s">
        <v>2789</v>
      </c>
      <c r="D566" s="1497"/>
      <c r="E566" s="1497"/>
      <c r="F566" s="1497"/>
      <c r="G566" s="1497"/>
      <c r="H566" s="1497"/>
      <c r="I566" s="1497"/>
      <c r="J566" s="1497"/>
      <c r="K566" s="1497"/>
      <c r="L566" s="1497"/>
      <c r="M566" s="1495" t="s">
        <v>2071</v>
      </c>
      <c r="N566" s="1495"/>
      <c r="O566" s="1495"/>
      <c r="P566" s="1495"/>
      <c r="Q566" s="1481">
        <v>32</v>
      </c>
      <c r="R566" s="1482"/>
      <c r="S566" s="1483"/>
      <c r="T566" s="1481"/>
      <c r="U566" s="1482"/>
      <c r="V566" s="1483"/>
      <c r="W566" s="1498">
        <v>0</v>
      </c>
      <c r="X566" s="1499"/>
      <c r="Y566" s="1500"/>
      <c r="Z566" s="1504" t="s">
        <v>2732</v>
      </c>
      <c r="AA566" s="1504"/>
      <c r="AB566" s="1504"/>
      <c r="AC566" s="1504"/>
      <c r="AD566" s="1504"/>
      <c r="AE566" s="1501">
        <v>5</v>
      </c>
      <c r="AF566" s="1502"/>
      <c r="AG566" s="1502"/>
      <c r="AH566" s="1503"/>
      <c r="AI566" s="1505"/>
      <c r="AJ566" s="1506"/>
      <c r="AK566" s="1506"/>
      <c r="AL566" s="1507"/>
      <c r="AM566" s="1452">
        <v>2198301</v>
      </c>
      <c r="AN566" s="1453"/>
      <c r="AO566" s="1453"/>
      <c r="AP566" s="1453"/>
      <c r="AQ566" s="1453"/>
      <c r="AR566" s="1453"/>
      <c r="AS566" s="1454"/>
      <c r="AT566" s="1141" t="str">
        <f t="shared" ref="AT566:AT573" si="2">IF(AND(NOT(C565=""),C566="",NOT(C567="")),"!","")</f>
        <v/>
      </c>
      <c r="AU566" s="1140"/>
      <c r="BB566" s="3"/>
      <c r="BC566" s="3"/>
      <c r="BD566" s="3"/>
      <c r="BE566" s="3"/>
      <c r="BF566" s="3"/>
      <c r="BG566" s="3"/>
      <c r="BH566" s="3" t="s">
        <v>761</v>
      </c>
      <c r="BI566" s="3" t="str">
        <f>N673</f>
        <v>Yes</v>
      </c>
    </row>
    <row r="567" spans="1:61" ht="30.75" customHeight="1">
      <c r="B567" s="52" t="s">
        <v>582</v>
      </c>
      <c r="C567" s="1497" t="s">
        <v>2799</v>
      </c>
      <c r="D567" s="1497"/>
      <c r="E567" s="1497"/>
      <c r="F567" s="1497"/>
      <c r="G567" s="1497"/>
      <c r="H567" s="1497"/>
      <c r="I567" s="1497"/>
      <c r="J567" s="1497"/>
      <c r="K567" s="1497"/>
      <c r="L567" s="1497"/>
      <c r="M567" s="1495" t="s">
        <v>2071</v>
      </c>
      <c r="N567" s="1495"/>
      <c r="O567" s="1495"/>
      <c r="P567" s="1495"/>
      <c r="Q567" s="1481">
        <v>32</v>
      </c>
      <c r="R567" s="1482"/>
      <c r="S567" s="1483"/>
      <c r="T567" s="1481"/>
      <c r="U567" s="1482"/>
      <c r="V567" s="1483"/>
      <c r="W567" s="1498">
        <v>0.05</v>
      </c>
      <c r="X567" s="1499"/>
      <c r="Y567" s="1500"/>
      <c r="Z567" s="1504" t="s">
        <v>2732</v>
      </c>
      <c r="AA567" s="1504"/>
      <c r="AB567" s="1504"/>
      <c r="AC567" s="1504"/>
      <c r="AD567" s="1504"/>
      <c r="AE567" s="1501">
        <v>4</v>
      </c>
      <c r="AF567" s="1502"/>
      <c r="AG567" s="1502"/>
      <c r="AH567" s="1503"/>
      <c r="AI567" s="1505"/>
      <c r="AJ567" s="1506"/>
      <c r="AK567" s="1506"/>
      <c r="AL567" s="1507"/>
      <c r="AM567" s="1452">
        <v>3000000</v>
      </c>
      <c r="AN567" s="1453"/>
      <c r="AO567" s="1453"/>
      <c r="AP567" s="1453"/>
      <c r="AQ567" s="1453"/>
      <c r="AR567" s="1453"/>
      <c r="AS567" s="1454"/>
      <c r="AT567" s="1141" t="str">
        <f t="shared" si="2"/>
        <v/>
      </c>
      <c r="AU567" s="1140"/>
      <c r="BB567" s="3"/>
      <c r="BC567" s="3"/>
      <c r="BD567" s="3"/>
      <c r="BE567" s="3"/>
      <c r="BF567" s="3"/>
      <c r="BG567" s="3"/>
      <c r="BH567" s="3" t="s">
        <v>582</v>
      </c>
      <c r="BI567" s="3" t="str">
        <f>AG673</f>
        <v>Yes</v>
      </c>
    </row>
    <row r="568" spans="1:61" ht="12.95" customHeight="1">
      <c r="B568" s="52" t="s">
        <v>453</v>
      </c>
      <c r="C568" s="1497" t="s">
        <v>2790</v>
      </c>
      <c r="D568" s="1497"/>
      <c r="E568" s="1497"/>
      <c r="F568" s="1497"/>
      <c r="G568" s="1497"/>
      <c r="H568" s="1497"/>
      <c r="I568" s="1497"/>
      <c r="J568" s="1497"/>
      <c r="K568" s="1497"/>
      <c r="L568" s="1497"/>
      <c r="M568" s="1495" t="s">
        <v>2060</v>
      </c>
      <c r="N568" s="1495"/>
      <c r="O568" s="1495"/>
      <c r="P568" s="1495"/>
      <c r="Q568" s="1481"/>
      <c r="R568" s="1482"/>
      <c r="S568" s="1483"/>
      <c r="T568" s="1481"/>
      <c r="U568" s="1482"/>
      <c r="V568" s="1483"/>
      <c r="W568" s="1498"/>
      <c r="X568" s="1499"/>
      <c r="Y568" s="1500"/>
      <c r="Z568" s="1504" t="s">
        <v>589</v>
      </c>
      <c r="AA568" s="1504"/>
      <c r="AB568" s="1504"/>
      <c r="AC568" s="1504"/>
      <c r="AD568" s="1504"/>
      <c r="AE568" s="1501"/>
      <c r="AF568" s="1502"/>
      <c r="AG568" s="1502"/>
      <c r="AH568" s="1503"/>
      <c r="AI568" s="1505"/>
      <c r="AJ568" s="1506"/>
      <c r="AK568" s="1506"/>
      <c r="AL568" s="1507"/>
      <c r="AM568" s="1452">
        <v>4838306</v>
      </c>
      <c r="AN568" s="1453"/>
      <c r="AO568" s="1453"/>
      <c r="AP568" s="1453"/>
      <c r="AQ568" s="1453"/>
      <c r="AR568" s="1453"/>
      <c r="AS568" s="1454"/>
      <c r="AT568" s="1141" t="str">
        <f t="shared" si="2"/>
        <v/>
      </c>
      <c r="AU568" s="1140"/>
      <c r="BB568" s="3"/>
      <c r="BC568" s="3"/>
      <c r="BD568" s="3"/>
      <c r="BE568" s="3"/>
      <c r="BF568" s="3"/>
      <c r="BG568" s="3"/>
      <c r="BH568" s="3"/>
      <c r="BI568" s="3"/>
    </row>
    <row r="569" spans="1:61" ht="12.95" customHeight="1">
      <c r="B569" s="52" t="s">
        <v>454</v>
      </c>
      <c r="C569" s="1497" t="s">
        <v>2260</v>
      </c>
      <c r="D569" s="1497"/>
      <c r="E569" s="1497"/>
      <c r="F569" s="1497"/>
      <c r="G569" s="1497"/>
      <c r="H569" s="1497"/>
      <c r="I569" s="1497"/>
      <c r="J569" s="1497"/>
      <c r="K569" s="1497"/>
      <c r="L569" s="1497"/>
      <c r="M569" s="1495" t="s">
        <v>2060</v>
      </c>
      <c r="N569" s="1495"/>
      <c r="O569" s="1495"/>
      <c r="P569" s="1495"/>
      <c r="Q569" s="1481"/>
      <c r="R569" s="1482"/>
      <c r="S569" s="1483"/>
      <c r="T569" s="1481"/>
      <c r="U569" s="1482"/>
      <c r="V569" s="1483"/>
      <c r="W569" s="1498"/>
      <c r="X569" s="1499"/>
      <c r="Y569" s="1500"/>
      <c r="Z569" s="1504" t="s">
        <v>589</v>
      </c>
      <c r="AA569" s="1504"/>
      <c r="AB569" s="1504"/>
      <c r="AC569" s="1504"/>
      <c r="AD569" s="1504"/>
      <c r="AE569" s="1501"/>
      <c r="AF569" s="1502"/>
      <c r="AG569" s="1502"/>
      <c r="AH569" s="1503"/>
      <c r="AI569" s="1505"/>
      <c r="AJ569" s="1506"/>
      <c r="AK569" s="1506"/>
      <c r="AL569" s="1507"/>
      <c r="AM569" s="1452">
        <v>4684295</v>
      </c>
      <c r="AN569" s="1453"/>
      <c r="AO569" s="1453"/>
      <c r="AP569" s="1453"/>
      <c r="AQ569" s="1453"/>
      <c r="AR569" s="1453"/>
      <c r="AS569" s="1454"/>
      <c r="AT569" s="1141" t="str">
        <f t="shared" si="2"/>
        <v/>
      </c>
      <c r="AU569" s="1140"/>
      <c r="BB569" s="3"/>
      <c r="BC569" s="3"/>
      <c r="BD569" s="3"/>
      <c r="BE569" s="3"/>
      <c r="BF569" s="3"/>
      <c r="BG569" s="3"/>
      <c r="BH569" s="3"/>
      <c r="BI569" s="3"/>
    </row>
    <row r="570" spans="1:61" ht="12.95" customHeight="1">
      <c r="B570" s="52" t="s">
        <v>459</v>
      </c>
      <c r="C570" s="1497" t="s">
        <v>2740</v>
      </c>
      <c r="D570" s="1497"/>
      <c r="E570" s="1497"/>
      <c r="F570" s="1497"/>
      <c r="G570" s="1497"/>
      <c r="H570" s="1497"/>
      <c r="I570" s="1497"/>
      <c r="J570" s="1497"/>
      <c r="K570" s="1497"/>
      <c r="L570" s="1497"/>
      <c r="M570" s="1495" t="s">
        <v>2063</v>
      </c>
      <c r="N570" s="1495"/>
      <c r="O570" s="1495"/>
      <c r="P570" s="1495"/>
      <c r="Q570" s="1481"/>
      <c r="R570" s="1482"/>
      <c r="S570" s="1483"/>
      <c r="T570" s="1481"/>
      <c r="U570" s="1482"/>
      <c r="V570" s="1483"/>
      <c r="W570" s="1498"/>
      <c r="X570" s="1499"/>
      <c r="Y570" s="1500"/>
      <c r="Z570" s="1504" t="s">
        <v>589</v>
      </c>
      <c r="AA570" s="1504"/>
      <c r="AB570" s="1504"/>
      <c r="AC570" s="1504"/>
      <c r="AD570" s="1504"/>
      <c r="AE570" s="1501"/>
      <c r="AF570" s="1502"/>
      <c r="AG570" s="1502"/>
      <c r="AH570" s="1503"/>
      <c r="AI570" s="1505"/>
      <c r="AJ570" s="1506"/>
      <c r="AK570" s="1506"/>
      <c r="AL570" s="1507"/>
      <c r="AM570" s="1452">
        <v>100</v>
      </c>
      <c r="AN570" s="1453"/>
      <c r="AO570" s="1453"/>
      <c r="AP570" s="1453"/>
      <c r="AQ570" s="1453"/>
      <c r="AR570" s="1453"/>
      <c r="AS570" s="1454"/>
      <c r="AT570" s="1141" t="str">
        <f t="shared" si="2"/>
        <v/>
      </c>
      <c r="AU570" s="1140"/>
      <c r="BB570" s="3"/>
      <c r="BC570" s="3"/>
      <c r="BD570" s="3"/>
      <c r="BE570" s="3"/>
      <c r="BF570" s="3"/>
      <c r="BG570" s="3"/>
      <c r="BH570" s="3"/>
      <c r="BI570" s="3"/>
    </row>
    <row r="571" spans="1:61" ht="12.95" customHeight="1">
      <c r="B571" s="52" t="s">
        <v>644</v>
      </c>
      <c r="C571" s="1497" t="s">
        <v>2791</v>
      </c>
      <c r="D571" s="1497"/>
      <c r="E571" s="1497"/>
      <c r="F571" s="1497"/>
      <c r="G571" s="1497"/>
      <c r="H571" s="1497"/>
      <c r="I571" s="1497"/>
      <c r="J571" s="1497"/>
      <c r="K571" s="1497"/>
      <c r="L571" s="1497"/>
      <c r="M571" s="1495" t="s">
        <v>2064</v>
      </c>
      <c r="N571" s="1495"/>
      <c r="O571" s="1495"/>
      <c r="P571" s="1495"/>
      <c r="Q571" s="1481"/>
      <c r="R571" s="1482"/>
      <c r="S571" s="1483"/>
      <c r="T571" s="1481"/>
      <c r="U571" s="1482"/>
      <c r="V571" s="1483"/>
      <c r="W571" s="1498"/>
      <c r="X571" s="1499"/>
      <c r="Y571" s="1500"/>
      <c r="Z571" s="1504" t="s">
        <v>589</v>
      </c>
      <c r="AA571" s="1504"/>
      <c r="AB571" s="1504"/>
      <c r="AC571" s="1504"/>
      <c r="AD571" s="1504"/>
      <c r="AE571" s="1501"/>
      <c r="AF571" s="1502"/>
      <c r="AG571" s="1502"/>
      <c r="AH571" s="1503"/>
      <c r="AI571" s="1505"/>
      <c r="AJ571" s="1506"/>
      <c r="AK571" s="1506"/>
      <c r="AL571" s="1507"/>
      <c r="AM571" s="1452">
        <v>4269727</v>
      </c>
      <c r="AN571" s="1453"/>
      <c r="AO571" s="1453"/>
      <c r="AP571" s="1453"/>
      <c r="AQ571" s="1453"/>
      <c r="AR571" s="1453"/>
      <c r="AS571" s="1454"/>
      <c r="AT571" s="1141" t="str">
        <f t="shared" si="2"/>
        <v/>
      </c>
      <c r="BB571" s="3"/>
      <c r="BC571" s="3"/>
      <c r="BD571" s="3"/>
      <c r="BE571" s="3"/>
      <c r="BF571" s="3"/>
      <c r="BG571" s="3"/>
      <c r="BH571" s="3"/>
      <c r="BI571" s="3"/>
    </row>
    <row r="572" spans="1:61" ht="12.95" customHeight="1">
      <c r="B572" s="52" t="s">
        <v>361</v>
      </c>
      <c r="C572" s="1497"/>
      <c r="D572" s="1497"/>
      <c r="E572" s="1497"/>
      <c r="F572" s="1497"/>
      <c r="G572" s="1497"/>
      <c r="H572" s="1497"/>
      <c r="I572" s="1497"/>
      <c r="J572" s="1497"/>
      <c r="K572" s="1497"/>
      <c r="L572" s="1497"/>
      <c r="M572" s="1495"/>
      <c r="N572" s="1495"/>
      <c r="O572" s="1495"/>
      <c r="P572" s="1495"/>
      <c r="Q572" s="1481"/>
      <c r="R572" s="1482"/>
      <c r="S572" s="1483"/>
      <c r="T572" s="1481"/>
      <c r="U572" s="1482"/>
      <c r="V572" s="1483"/>
      <c r="W572" s="1498"/>
      <c r="X572" s="1499"/>
      <c r="Y572" s="1500"/>
      <c r="Z572" s="1504"/>
      <c r="AA572" s="1504"/>
      <c r="AB572" s="1504"/>
      <c r="AC572" s="1504"/>
      <c r="AD572" s="1504"/>
      <c r="AE572" s="1501"/>
      <c r="AF572" s="1502"/>
      <c r="AG572" s="1502"/>
      <c r="AH572" s="1503"/>
      <c r="AI572" s="1505"/>
      <c r="AJ572" s="1506"/>
      <c r="AK572" s="1506"/>
      <c r="AL572" s="1507"/>
      <c r="AM572" s="1452"/>
      <c r="AN572" s="1453"/>
      <c r="AO572" s="1453"/>
      <c r="AP572" s="1453"/>
      <c r="AQ572" s="1453"/>
      <c r="AR572" s="1453"/>
      <c r="AS572" s="1454"/>
      <c r="AT572" s="1141" t="str">
        <f t="shared" si="2"/>
        <v/>
      </c>
      <c r="BB572" s="3"/>
      <c r="BC572" s="3"/>
      <c r="BD572" s="3"/>
      <c r="BE572" s="3"/>
      <c r="BF572" s="3"/>
      <c r="BG572" s="3"/>
      <c r="BH572" s="3"/>
      <c r="BI572" s="3"/>
    </row>
    <row r="573" spans="1:61" ht="12.95" customHeight="1">
      <c r="B573" s="52" t="s">
        <v>362</v>
      </c>
      <c r="C573" s="1497"/>
      <c r="D573" s="1497"/>
      <c r="E573" s="1497"/>
      <c r="F573" s="1497"/>
      <c r="G573" s="1497"/>
      <c r="H573" s="1497"/>
      <c r="I573" s="1497"/>
      <c r="J573" s="1497"/>
      <c r="K573" s="1497"/>
      <c r="L573" s="1497"/>
      <c r="M573" s="1495"/>
      <c r="N573" s="1495"/>
      <c r="O573" s="1495"/>
      <c r="P573" s="1495"/>
      <c r="Q573" s="1481"/>
      <c r="R573" s="1482"/>
      <c r="S573" s="1483"/>
      <c r="T573" s="1481"/>
      <c r="U573" s="1482"/>
      <c r="V573" s="1483"/>
      <c r="W573" s="1498"/>
      <c r="X573" s="1499"/>
      <c r="Y573" s="1500"/>
      <c r="Z573" s="1504"/>
      <c r="AA573" s="1504"/>
      <c r="AB573" s="1504"/>
      <c r="AC573" s="1504"/>
      <c r="AD573" s="1504"/>
      <c r="AE573" s="1501"/>
      <c r="AF573" s="1502"/>
      <c r="AG573" s="1502"/>
      <c r="AH573" s="1503"/>
      <c r="AI573" s="1505"/>
      <c r="AJ573" s="1506"/>
      <c r="AK573" s="1506"/>
      <c r="AL573" s="1507"/>
      <c r="AM573" s="1452"/>
      <c r="AN573" s="1453"/>
      <c r="AO573" s="1453"/>
      <c r="AP573" s="1453"/>
      <c r="AQ573" s="1453"/>
      <c r="AR573" s="1453"/>
      <c r="AS573" s="1454"/>
      <c r="AT573" s="1141" t="str">
        <f t="shared" si="2"/>
        <v/>
      </c>
      <c r="BB573" s="3"/>
      <c r="BC573" s="3"/>
      <c r="BD573" s="3"/>
      <c r="BE573" s="3"/>
      <c r="BF573" s="3"/>
      <c r="BG573" s="3"/>
      <c r="BH573" s="3"/>
      <c r="BI573" s="3"/>
    </row>
    <row r="574" spans="1:61" ht="12.95" customHeight="1">
      <c r="B574" s="1539" t="s">
        <v>127</v>
      </c>
      <c r="C574" s="1540"/>
      <c r="D574" s="1540"/>
      <c r="E574" s="1540"/>
      <c r="F574" s="1540"/>
      <c r="G574" s="1540"/>
      <c r="H574" s="1540"/>
      <c r="I574" s="1540"/>
      <c r="J574" s="1540"/>
      <c r="K574" s="1540"/>
      <c r="L574" s="1540"/>
      <c r="M574" s="1540"/>
      <c r="N574" s="1540"/>
      <c r="O574" s="1540"/>
      <c r="P574" s="1540"/>
      <c r="Q574" s="1540"/>
      <c r="R574" s="1540"/>
      <c r="S574" s="1540"/>
      <c r="T574" s="1540"/>
      <c r="U574" s="1702"/>
      <c r="V574" s="1540"/>
      <c r="W574" s="1540"/>
      <c r="X574" s="1540"/>
      <c r="Y574" s="1540"/>
      <c r="Z574" s="1540"/>
      <c r="AA574" s="1540"/>
      <c r="AB574" s="1540"/>
      <c r="AC574" s="1540"/>
      <c r="AD574" s="1540"/>
      <c r="AE574" s="1540"/>
      <c r="AF574" s="1540"/>
      <c r="AG574" s="1540"/>
      <c r="AH574" s="1540"/>
      <c r="AI574" s="1540"/>
      <c r="AJ574" s="1540"/>
      <c r="AK574" s="1540"/>
      <c r="AL574" s="1541"/>
      <c r="AM574" s="1542">
        <f>SUM(AM562:AS573)</f>
        <v>107547653</v>
      </c>
      <c r="AN574" s="1543"/>
      <c r="AO574" s="1543"/>
      <c r="AP574" s="1543"/>
      <c r="AQ574" s="1543"/>
      <c r="AR574" s="1543"/>
      <c r="AS574" s="1544"/>
      <c r="BB574" s="3"/>
      <c r="BC574" s="3"/>
      <c r="BD574" s="3"/>
      <c r="BE574" s="3"/>
      <c r="BF574" s="3"/>
      <c r="BG574" s="3"/>
      <c r="BH574" s="3" t="s">
        <v>453</v>
      </c>
      <c r="BI574" s="3">
        <f>N681</f>
        <v>0</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f>AG681</f>
        <v>0</v>
      </c>
    </row>
    <row r="576" spans="1:61" ht="12.95" customHeight="1">
      <c r="A576" s="55" t="s">
        <v>112</v>
      </c>
      <c r="B576" t="s">
        <v>461</v>
      </c>
      <c r="G576" s="1522" t="str">
        <f>C562</f>
        <v>BWE Tax-Exempt Construction Loan</v>
      </c>
      <c r="H576" s="1522"/>
      <c r="I576" s="1522"/>
      <c r="J576" s="1522"/>
      <c r="K576" s="1522"/>
      <c r="L576" s="1522"/>
      <c r="M576" s="1522"/>
      <c r="N576" s="1522"/>
      <c r="O576" s="1522"/>
      <c r="P576" s="1522"/>
      <c r="Q576" s="1522"/>
      <c r="R576" s="1522"/>
      <c r="S576" s="8"/>
      <c r="T576" s="55" t="s">
        <v>113</v>
      </c>
      <c r="U576" t="s">
        <v>461</v>
      </c>
      <c r="Z576" s="1522" t="str">
        <f>C563</f>
        <v>BWE Taxable Construction Loan</v>
      </c>
      <c r="AA576" s="1522"/>
      <c r="AB576" s="1522"/>
      <c r="AC576" s="1522"/>
      <c r="AD576" s="1522"/>
      <c r="AE576" s="1522"/>
      <c r="AF576" s="1522"/>
      <c r="AG576" s="1522"/>
      <c r="AH576" s="1522"/>
      <c r="AI576" s="1522"/>
      <c r="AJ576" s="1522"/>
      <c r="AK576" s="1522"/>
      <c r="BB576" s="3"/>
      <c r="BC576" s="3"/>
      <c r="BD576" s="3"/>
      <c r="BE576" s="3"/>
      <c r="BF576" s="3"/>
      <c r="BG576" s="3"/>
      <c r="BH576" s="3"/>
      <c r="BI576" s="3"/>
    </row>
    <row r="577" spans="1:61" ht="12.95" customHeight="1">
      <c r="A577" s="22"/>
      <c r="B577" t="s">
        <v>85</v>
      </c>
      <c r="G577" s="1472" t="s">
        <v>2737</v>
      </c>
      <c r="H577" s="1472"/>
      <c r="I577" s="1472"/>
      <c r="J577" s="1472"/>
      <c r="K577" s="1472"/>
      <c r="L577" s="1472"/>
      <c r="M577" s="1472"/>
      <c r="N577" s="1472"/>
      <c r="O577" s="1472"/>
      <c r="P577" s="1472"/>
      <c r="Q577" s="1472"/>
      <c r="R577" s="1472"/>
      <c r="S577" s="8"/>
      <c r="T577" s="22"/>
      <c r="U577" t="s">
        <v>85</v>
      </c>
      <c r="Z577" s="1496" t="s">
        <v>2737</v>
      </c>
      <c r="AA577" s="1496"/>
      <c r="AB577" s="1496"/>
      <c r="AC577" s="1496"/>
      <c r="AD577" s="1496"/>
      <c r="AE577" s="1496"/>
      <c r="AF577" s="1496"/>
      <c r="AG577" s="1496"/>
      <c r="AH577" s="1496"/>
      <c r="AI577" s="1496"/>
      <c r="AJ577" s="1496"/>
      <c r="AK577" s="1496"/>
      <c r="BB577" s="3"/>
      <c r="BC577" s="3"/>
      <c r="BD577" s="3"/>
      <c r="BE577" s="3"/>
      <c r="BF577" s="3"/>
      <c r="BG577" s="3"/>
      <c r="BH577" s="3"/>
      <c r="BI577" s="3"/>
    </row>
    <row r="578" spans="1:61" ht="12.95" customHeight="1">
      <c r="A578" s="22"/>
      <c r="B578" t="s">
        <v>578</v>
      </c>
      <c r="G578" s="1472" t="s">
        <v>2738</v>
      </c>
      <c r="H578" s="1472"/>
      <c r="I578" s="1472"/>
      <c r="J578" s="1472"/>
      <c r="K578" s="1472"/>
      <c r="L578" s="1472"/>
      <c r="M578" s="1472"/>
      <c r="N578" s="1472"/>
      <c r="O578" s="1472"/>
      <c r="P578" s="1472"/>
      <c r="Q578" s="1472"/>
      <c r="R578" s="1472"/>
      <c r="T578" s="22"/>
      <c r="U578" t="s">
        <v>578</v>
      </c>
      <c r="Z578" s="1496" t="s">
        <v>2738</v>
      </c>
      <c r="AA578" s="1496"/>
      <c r="AB578" s="1496"/>
      <c r="AC578" s="1496"/>
      <c r="AD578" s="1496"/>
      <c r="AE578" s="1496"/>
      <c r="AF578" s="1496"/>
      <c r="AG578" s="1496"/>
      <c r="AH578" s="1496"/>
      <c r="AI578" s="1496"/>
      <c r="AJ578" s="1496"/>
      <c r="AK578" s="1496"/>
      <c r="BB578" s="3"/>
      <c r="BC578" s="3"/>
      <c r="BD578" s="3"/>
      <c r="BE578" s="3"/>
      <c r="BF578" s="3"/>
      <c r="BG578" s="3"/>
      <c r="BH578" s="3"/>
      <c r="BI578" s="3"/>
    </row>
    <row r="579" spans="1:61" ht="12.95" customHeight="1">
      <c r="A579" s="22"/>
      <c r="B579" t="s">
        <v>17</v>
      </c>
      <c r="G579" s="1472" t="s">
        <v>2739</v>
      </c>
      <c r="H579" s="1472"/>
      <c r="I579" s="1472"/>
      <c r="J579" s="1472"/>
      <c r="K579" s="1472"/>
      <c r="L579" s="1472"/>
      <c r="M579" s="1472"/>
      <c r="N579" s="1472"/>
      <c r="O579" s="1472"/>
      <c r="P579" s="1472"/>
      <c r="Q579" s="1472"/>
      <c r="R579" s="1472"/>
      <c r="S579" s="8"/>
      <c r="T579" s="22"/>
      <c r="U579" t="s">
        <v>17</v>
      </c>
      <c r="Z579" s="1496" t="s">
        <v>2739</v>
      </c>
      <c r="AA579" s="1496"/>
      <c r="AB579" s="1496"/>
      <c r="AC579" s="1496"/>
      <c r="AD579" s="1496"/>
      <c r="AE579" s="1496"/>
      <c r="AF579" s="1496"/>
      <c r="AG579" s="1496"/>
      <c r="AH579" s="1496"/>
      <c r="AI579" s="1496"/>
      <c r="AJ579" s="1496"/>
      <c r="AK579" s="1496"/>
      <c r="BB579" s="3"/>
      <c r="BC579" s="3"/>
      <c r="BD579" s="3"/>
      <c r="BE579" s="3"/>
      <c r="BF579" s="3"/>
      <c r="BG579" s="3"/>
      <c r="BH579" s="3"/>
      <c r="BI579" s="3"/>
    </row>
    <row r="580" spans="1:61" ht="12.95" customHeight="1">
      <c r="A580" s="22"/>
      <c r="B580" t="s">
        <v>315</v>
      </c>
      <c r="G580" s="1473" t="s">
        <v>2795</v>
      </c>
      <c r="H580" s="1474"/>
      <c r="I580" s="1474"/>
      <c r="J580" s="1474"/>
      <c r="K580" s="1474"/>
      <c r="L580" s="1474"/>
      <c r="O580" s="33" t="s">
        <v>205</v>
      </c>
      <c r="P580" s="1395" t="s">
        <v>589</v>
      </c>
      <c r="Q580" s="1529"/>
      <c r="R580" s="1529"/>
      <c r="S580" s="10"/>
      <c r="T580" s="22"/>
      <c r="U580" t="s">
        <v>315</v>
      </c>
      <c r="Z580" s="1473" t="s">
        <v>2795</v>
      </c>
      <c r="AA580" s="1474"/>
      <c r="AB580" s="1474"/>
      <c r="AC580" s="1474"/>
      <c r="AD580" s="1474"/>
      <c r="AE580" s="1474"/>
      <c r="AH580" s="33" t="s">
        <v>205</v>
      </c>
      <c r="AI580" s="1395" t="s">
        <v>589</v>
      </c>
      <c r="AJ580" s="1529"/>
      <c r="AK580" s="1529"/>
      <c r="BB580" s="3"/>
      <c r="BC580" s="3"/>
      <c r="BD580" s="3"/>
      <c r="BE580" s="3"/>
      <c r="BF580" s="3"/>
      <c r="BG580" s="3"/>
      <c r="BH580" s="3"/>
      <c r="BI580" s="3"/>
    </row>
    <row r="581" spans="1:61" ht="12.95" customHeight="1">
      <c r="A581" s="22"/>
      <c r="B581" t="s">
        <v>18</v>
      </c>
      <c r="H581" s="1490" t="s">
        <v>2793</v>
      </c>
      <c r="I581" s="1472"/>
      <c r="J581" s="1472"/>
      <c r="K581" s="1472"/>
      <c r="L581" s="1472"/>
      <c r="M581" s="1472"/>
      <c r="N581" s="1472"/>
      <c r="O581" s="1472"/>
      <c r="P581" s="1472"/>
      <c r="Q581" s="1472"/>
      <c r="R581" s="1472"/>
      <c r="S581" s="8"/>
      <c r="T581" s="22"/>
      <c r="U581" t="s">
        <v>18</v>
      </c>
      <c r="AA581" s="1490" t="s">
        <v>2794</v>
      </c>
      <c r="AB581" s="1472"/>
      <c r="AC581" s="1472"/>
      <c r="AD581" s="1472"/>
      <c r="AE581" s="1472"/>
      <c r="AF581" s="1472"/>
      <c r="AG581" s="1472"/>
      <c r="AH581" s="1472"/>
      <c r="AI581" s="1472"/>
      <c r="AJ581" s="1472"/>
      <c r="AK581" s="1472"/>
      <c r="BB581" s="3"/>
      <c r="BC581" s="3"/>
      <c r="BD581" s="3"/>
      <c r="BE581" s="3"/>
      <c r="BF581" s="3"/>
      <c r="BG581" s="3"/>
      <c r="BH581" s="3"/>
      <c r="BI581" s="3"/>
    </row>
    <row r="582" spans="1:61" ht="12.95" customHeight="1">
      <c r="A582" s="22"/>
      <c r="B582" s="319" t="s">
        <v>1183</v>
      </c>
      <c r="H582" s="8"/>
      <c r="I582" s="8"/>
      <c r="J582" s="8"/>
      <c r="K582" s="8"/>
      <c r="L582" s="8"/>
      <c r="M582" s="1716" t="s">
        <v>2792</v>
      </c>
      <c r="N582" s="1717"/>
      <c r="O582" s="1717"/>
      <c r="P582" s="1717"/>
      <c r="Q582" s="1717"/>
      <c r="R582" s="1717"/>
      <c r="S582" s="8"/>
      <c r="T582" s="22"/>
      <c r="U582" s="319" t="s">
        <v>1183</v>
      </c>
      <c r="AA582" s="8"/>
      <c r="AB582" s="8"/>
      <c r="AC582" s="8"/>
      <c r="AD582" s="8"/>
      <c r="AE582" s="8"/>
      <c r="AF582" s="1716" t="s">
        <v>2792</v>
      </c>
      <c r="AG582" s="1717"/>
      <c r="AH582" s="1717"/>
      <c r="AI582" s="1717"/>
      <c r="AJ582" s="1717"/>
      <c r="AK582" s="1717"/>
      <c r="BB582" s="3"/>
      <c r="BC582" s="3"/>
      <c r="BD582" s="3"/>
      <c r="BE582" s="3"/>
      <c r="BF582" s="3"/>
      <c r="BG582" s="3"/>
      <c r="BH582" s="3"/>
      <c r="BI582" s="3"/>
    </row>
    <row r="583" spans="1:61" ht="12.95" customHeight="1">
      <c r="A583" s="22"/>
      <c r="B583" t="s">
        <v>20</v>
      </c>
      <c r="N583" s="1352" t="s">
        <v>543</v>
      </c>
      <c r="O583" s="1352"/>
      <c r="T583" s="22"/>
      <c r="U583" t="s">
        <v>20</v>
      </c>
      <c r="AG583" s="1352" t="s">
        <v>543</v>
      </c>
      <c r="AH583" s="1352"/>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461</v>
      </c>
      <c r="G585" s="1522" t="str">
        <f>C564</f>
        <v>LAHD Homes for LA ULA MF</v>
      </c>
      <c r="H585" s="1522"/>
      <c r="I585" s="1522"/>
      <c r="J585" s="1522"/>
      <c r="K585" s="1522"/>
      <c r="L585" s="1522"/>
      <c r="M585" s="1522"/>
      <c r="N585" s="1522"/>
      <c r="O585" s="1522"/>
      <c r="P585" s="1522"/>
      <c r="Q585" s="1522"/>
      <c r="R585" s="1522"/>
      <c r="T585" s="55" t="s">
        <v>579</v>
      </c>
      <c r="U585" t="s">
        <v>461</v>
      </c>
      <c r="Z585" s="1522" t="str">
        <f>C565</f>
        <v>Accrued/Deferred Interest - LAHD Homes for LA ULA MF</v>
      </c>
      <c r="AA585" s="1522"/>
      <c r="AB585" s="1522"/>
      <c r="AC585" s="1522"/>
      <c r="AD585" s="1522"/>
      <c r="AE585" s="1522"/>
      <c r="AF585" s="1522"/>
      <c r="AG585" s="1522"/>
      <c r="AH585" s="1522"/>
      <c r="AI585" s="1522"/>
      <c r="AJ585" s="1522"/>
      <c r="AK585" s="1522"/>
      <c r="BB585" s="3"/>
      <c r="BC585" s="3"/>
    </row>
    <row r="586" spans="1:61" ht="12.95" customHeight="1">
      <c r="A586" s="22"/>
      <c r="B586" t="s">
        <v>85</v>
      </c>
      <c r="G586" s="1472" t="s">
        <v>2727</v>
      </c>
      <c r="H586" s="1472"/>
      <c r="I586" s="1472"/>
      <c r="J586" s="1472"/>
      <c r="K586" s="1472"/>
      <c r="L586" s="1472"/>
      <c r="M586" s="1472"/>
      <c r="N586" s="1472"/>
      <c r="O586" s="1472"/>
      <c r="P586" s="1472"/>
      <c r="Q586" s="1472"/>
      <c r="R586" s="1472"/>
      <c r="T586" s="22"/>
      <c r="U586" t="s">
        <v>85</v>
      </c>
      <c r="Z586" s="1472" t="s">
        <v>2727</v>
      </c>
      <c r="AA586" s="1472"/>
      <c r="AB586" s="1472"/>
      <c r="AC586" s="1472"/>
      <c r="AD586" s="1472"/>
      <c r="AE586" s="1472"/>
      <c r="AF586" s="1472"/>
      <c r="AG586" s="1472"/>
      <c r="AH586" s="1472"/>
      <c r="AI586" s="1472"/>
      <c r="AJ586" s="1472"/>
      <c r="AK586" s="1472"/>
      <c r="BB586" s="3"/>
      <c r="BC586" s="3"/>
    </row>
    <row r="587" spans="1:61" ht="12.95" customHeight="1">
      <c r="A587" s="22"/>
      <c r="B587" t="s">
        <v>578</v>
      </c>
      <c r="G587" s="1496" t="s">
        <v>2728</v>
      </c>
      <c r="H587" s="1496"/>
      <c r="I587" s="1496"/>
      <c r="J587" s="1496"/>
      <c r="K587" s="1496"/>
      <c r="L587" s="1496"/>
      <c r="M587" s="1496"/>
      <c r="N587" s="1496"/>
      <c r="O587" s="1496"/>
      <c r="P587" s="1496"/>
      <c r="Q587" s="1496"/>
      <c r="R587" s="1496"/>
      <c r="T587" s="22"/>
      <c r="U587" t="s">
        <v>578</v>
      </c>
      <c r="Z587" s="1496" t="s">
        <v>2728</v>
      </c>
      <c r="AA587" s="1496"/>
      <c r="AB587" s="1496"/>
      <c r="AC587" s="1496"/>
      <c r="AD587" s="1496"/>
      <c r="AE587" s="1496"/>
      <c r="AF587" s="1496"/>
      <c r="AG587" s="1496"/>
      <c r="AH587" s="1496"/>
      <c r="AI587" s="1496"/>
      <c r="AJ587" s="1496"/>
      <c r="AK587" s="1496"/>
      <c r="BB587" s="3"/>
      <c r="BC587" s="3"/>
    </row>
    <row r="588" spans="1:61" ht="12.95" customHeight="1">
      <c r="A588" s="22"/>
      <c r="B588" t="s">
        <v>17</v>
      </c>
      <c r="G588" s="1496" t="s">
        <v>2761</v>
      </c>
      <c r="H588" s="1496"/>
      <c r="I588" s="1496"/>
      <c r="J588" s="1496"/>
      <c r="K588" s="1496"/>
      <c r="L588" s="1496"/>
      <c r="M588" s="1496"/>
      <c r="N588" s="1496"/>
      <c r="O588" s="1496"/>
      <c r="P588" s="1496"/>
      <c r="Q588" s="1496"/>
      <c r="R588" s="1496"/>
      <c r="T588" s="22"/>
      <c r="U588" t="s">
        <v>17</v>
      </c>
      <c r="Z588" s="1496" t="s">
        <v>2761</v>
      </c>
      <c r="AA588" s="1496"/>
      <c r="AB588" s="1496"/>
      <c r="AC588" s="1496"/>
      <c r="AD588" s="1496"/>
      <c r="AE588" s="1496"/>
      <c r="AF588" s="1496"/>
      <c r="AG588" s="1496"/>
      <c r="AH588" s="1496"/>
      <c r="AI588" s="1496"/>
      <c r="AJ588" s="1496"/>
      <c r="AK588" s="1496"/>
      <c r="BB588" s="3"/>
      <c r="BC588" s="3"/>
    </row>
    <row r="589" spans="1:61" ht="12.95" customHeight="1">
      <c r="A589" s="22"/>
      <c r="B589" t="s">
        <v>315</v>
      </c>
      <c r="G589" s="1473" t="s">
        <v>2736</v>
      </c>
      <c r="H589" s="1474"/>
      <c r="I589" s="1474"/>
      <c r="J589" s="1474"/>
      <c r="K589" s="1474"/>
      <c r="L589" s="1474"/>
      <c r="O589" s="33" t="s">
        <v>205</v>
      </c>
      <c r="P589" s="1395" t="s">
        <v>589</v>
      </c>
      <c r="Q589" s="1529"/>
      <c r="R589" s="1529"/>
      <c r="T589" s="22"/>
      <c r="U589" t="s">
        <v>315</v>
      </c>
      <c r="Z589" s="1473" t="s">
        <v>2736</v>
      </c>
      <c r="AA589" s="1474"/>
      <c r="AB589" s="1474"/>
      <c r="AC589" s="1474"/>
      <c r="AD589" s="1474"/>
      <c r="AE589" s="1474"/>
      <c r="AH589" s="33" t="s">
        <v>205</v>
      </c>
      <c r="AI589" s="1395" t="s">
        <v>589</v>
      </c>
      <c r="AJ589" s="1529"/>
      <c r="AK589" s="1529"/>
      <c r="BB589" s="3"/>
      <c r="BC589" s="3"/>
    </row>
    <row r="590" spans="1:61" ht="12.95" customHeight="1">
      <c r="A590" s="22"/>
      <c r="B590" t="s">
        <v>18</v>
      </c>
      <c r="H590" s="1490" t="s">
        <v>2069</v>
      </c>
      <c r="I590" s="1472"/>
      <c r="J590" s="1472"/>
      <c r="K590" s="1472"/>
      <c r="L590" s="1472"/>
      <c r="M590" s="1472"/>
      <c r="N590" s="1472"/>
      <c r="O590" s="1472"/>
      <c r="P590" s="1472"/>
      <c r="Q590" s="1472"/>
      <c r="R590" s="1472"/>
      <c r="T590" s="22"/>
      <c r="U590" t="s">
        <v>18</v>
      </c>
      <c r="AA590" s="1490" t="s">
        <v>2767</v>
      </c>
      <c r="AB590" s="1472"/>
      <c r="AC590" s="1472"/>
      <c r="AD590" s="1472"/>
      <c r="AE590" s="1472"/>
      <c r="AF590" s="1472"/>
      <c r="AG590" s="1472"/>
      <c r="AH590" s="1472"/>
      <c r="AI590" s="1472"/>
      <c r="AJ590" s="1472"/>
      <c r="AK590" s="1472"/>
      <c r="BB590" s="3"/>
      <c r="BC590" s="3"/>
    </row>
    <row r="591" spans="1:61" ht="12.95" customHeight="1">
      <c r="A591" s="22"/>
      <c r="B591" t="s">
        <v>20</v>
      </c>
      <c r="N591" s="1352" t="s">
        <v>543</v>
      </c>
      <c r="O591" s="1352"/>
      <c r="T591" s="22"/>
      <c r="U591" t="s">
        <v>20</v>
      </c>
      <c r="AG591" s="1352" t="s">
        <v>543</v>
      </c>
      <c r="AH591" s="1352"/>
      <c r="BB591" s="3"/>
      <c r="BC591" s="3"/>
    </row>
    <row r="592" spans="1:61" ht="12.95" customHeight="1">
      <c r="A592" s="22"/>
      <c r="T592" s="22"/>
      <c r="BB592" s="3"/>
      <c r="BC592" s="3"/>
    </row>
    <row r="593" spans="1:55" ht="12.95" customHeight="1">
      <c r="A593" s="55" t="s">
        <v>761</v>
      </c>
      <c r="B593" t="s">
        <v>461</v>
      </c>
      <c r="G593" s="1522" t="str">
        <f>C566</f>
        <v>GP Loan of HCD AHSC HRI Grant</v>
      </c>
      <c r="H593" s="1522"/>
      <c r="I593" s="1522"/>
      <c r="J593" s="1522"/>
      <c r="K593" s="1522"/>
      <c r="L593" s="1522"/>
      <c r="M593" s="1522"/>
      <c r="N593" s="1522"/>
      <c r="O593" s="1522"/>
      <c r="P593" s="1522"/>
      <c r="Q593" s="1522"/>
      <c r="R593" s="1522"/>
      <c r="T593" s="55" t="s">
        <v>582</v>
      </c>
      <c r="U593" t="s">
        <v>461</v>
      </c>
      <c r="Z593" s="1522" t="str">
        <f>C567</f>
        <v>GP Loan of MacArthur PRI - Construction Only</v>
      </c>
      <c r="AA593" s="1522"/>
      <c r="AB593" s="1522"/>
      <c r="AC593" s="1522"/>
      <c r="AD593" s="1522"/>
      <c r="AE593" s="1522"/>
      <c r="AF593" s="1522"/>
      <c r="AG593" s="1522"/>
      <c r="AH593" s="1522"/>
      <c r="AI593" s="1522"/>
      <c r="AJ593" s="1522"/>
      <c r="AK593" s="1522"/>
      <c r="BB593" s="3"/>
      <c r="BC593" s="3"/>
    </row>
    <row r="594" spans="1:55" ht="12.95" customHeight="1">
      <c r="A594" s="22"/>
      <c r="B594" t="s">
        <v>85</v>
      </c>
      <c r="G594" s="1490" t="s">
        <v>2742</v>
      </c>
      <c r="H594" s="1472"/>
      <c r="I594" s="1472"/>
      <c r="J594" s="1472"/>
      <c r="K594" s="1472"/>
      <c r="L594" s="1472"/>
      <c r="M594" s="1472"/>
      <c r="N594" s="1472"/>
      <c r="O594" s="1472"/>
      <c r="P594" s="1472"/>
      <c r="Q594" s="1472"/>
      <c r="R594" s="1472"/>
      <c r="T594" s="22"/>
      <c r="U594" t="s">
        <v>85</v>
      </c>
      <c r="Z594" s="1472" t="s">
        <v>2642</v>
      </c>
      <c r="AA594" s="1472"/>
      <c r="AB594" s="1472"/>
      <c r="AC594" s="1472"/>
      <c r="AD594" s="1472"/>
      <c r="AE594" s="1472"/>
      <c r="AF594" s="1472"/>
      <c r="AG594" s="1472"/>
      <c r="AH594" s="1472"/>
      <c r="AI594" s="1472"/>
      <c r="AJ594" s="1472"/>
      <c r="AK594" s="1472"/>
      <c r="BB594" s="3"/>
      <c r="BC594" s="3"/>
    </row>
    <row r="595" spans="1:55" ht="12.95" customHeight="1">
      <c r="A595" s="22"/>
      <c r="B595" t="s">
        <v>578</v>
      </c>
      <c r="G595" s="1490" t="s">
        <v>2743</v>
      </c>
      <c r="H595" s="1472"/>
      <c r="I595" s="1472"/>
      <c r="J595" s="1472"/>
      <c r="K595" s="1472"/>
      <c r="L595" s="1472"/>
      <c r="M595" s="1472"/>
      <c r="N595" s="1472"/>
      <c r="O595" s="1472"/>
      <c r="P595" s="1472"/>
      <c r="Q595" s="1472"/>
      <c r="R595" s="1472"/>
      <c r="T595" s="22"/>
      <c r="U595" t="s">
        <v>578</v>
      </c>
      <c r="Z595" s="1496" t="s">
        <v>2646</v>
      </c>
      <c r="AA595" s="1496"/>
      <c r="AB595" s="1496"/>
      <c r="AC595" s="1496"/>
      <c r="AD595" s="1496"/>
      <c r="AE595" s="1496"/>
      <c r="AF595" s="1496"/>
      <c r="AG595" s="1496"/>
      <c r="AH595" s="1496"/>
      <c r="AI595" s="1496"/>
      <c r="AJ595" s="1496"/>
      <c r="AK595" s="1496"/>
      <c r="BB595" s="3"/>
      <c r="BC595" s="3"/>
    </row>
    <row r="596" spans="1:55" ht="12.95" customHeight="1">
      <c r="A596" s="22"/>
      <c r="B596" t="s">
        <v>17</v>
      </c>
      <c r="G596" s="1490" t="s">
        <v>2796</v>
      </c>
      <c r="H596" s="1472"/>
      <c r="I596" s="1472"/>
      <c r="J596" s="1472"/>
      <c r="K596" s="1472"/>
      <c r="L596" s="1472"/>
      <c r="M596" s="1472"/>
      <c r="N596" s="1472"/>
      <c r="O596" s="1472"/>
      <c r="P596" s="1472"/>
      <c r="Q596" s="1472"/>
      <c r="R596" s="1472"/>
      <c r="T596" s="22"/>
      <c r="U596" t="s">
        <v>17</v>
      </c>
      <c r="Z596" s="1496" t="s">
        <v>2698</v>
      </c>
      <c r="AA596" s="1496"/>
      <c r="AB596" s="1496"/>
      <c r="AC596" s="1496"/>
      <c r="AD596" s="1496"/>
      <c r="AE596" s="1496"/>
      <c r="AF596" s="1496"/>
      <c r="AG596" s="1496"/>
      <c r="AH596" s="1496"/>
      <c r="AI596" s="1496"/>
      <c r="AJ596" s="1496"/>
      <c r="AK596" s="1496"/>
    </row>
    <row r="597" spans="1:55" ht="12.95" customHeight="1">
      <c r="A597" s="22"/>
      <c r="B597" t="s">
        <v>315</v>
      </c>
      <c r="G597" s="1473" t="s">
        <v>2797</v>
      </c>
      <c r="H597" s="1474"/>
      <c r="I597" s="1474"/>
      <c r="J597" s="1474"/>
      <c r="K597" s="1474"/>
      <c r="L597" s="1474"/>
      <c r="O597" s="33" t="s">
        <v>205</v>
      </c>
      <c r="P597" s="1395" t="s">
        <v>589</v>
      </c>
      <c r="Q597" s="1529"/>
      <c r="R597" s="1529"/>
      <c r="T597" s="22"/>
      <c r="U597" t="s">
        <v>315</v>
      </c>
      <c r="Z597" s="1474" t="s">
        <v>2662</v>
      </c>
      <c r="AA597" s="1474"/>
      <c r="AB597" s="1474"/>
      <c r="AC597" s="1474"/>
      <c r="AD597" s="1474"/>
      <c r="AE597" s="1474"/>
      <c r="AH597" s="33" t="s">
        <v>205</v>
      </c>
      <c r="AI597" s="1395" t="s">
        <v>589</v>
      </c>
      <c r="AJ597" s="1529"/>
      <c r="AK597" s="1529"/>
      <c r="AZ597" s="3"/>
      <c r="BA597" s="3"/>
      <c r="BB597" s="3"/>
      <c r="BC597" s="3"/>
    </row>
    <row r="598" spans="1:55" ht="12.95" customHeight="1">
      <c r="A598" s="22"/>
      <c r="B598" t="s">
        <v>18</v>
      </c>
      <c r="H598" s="1490" t="s">
        <v>2071</v>
      </c>
      <c r="I598" s="1472"/>
      <c r="J598" s="1472"/>
      <c r="K598" s="1472"/>
      <c r="L598" s="1472"/>
      <c r="M598" s="1472"/>
      <c r="N598" s="1472"/>
      <c r="O598" s="1472"/>
      <c r="P598" s="1472"/>
      <c r="Q598" s="1472"/>
      <c r="R598" s="1472"/>
      <c r="T598" s="22"/>
      <c r="U598" t="s">
        <v>18</v>
      </c>
      <c r="AA598" s="1490" t="s">
        <v>2071</v>
      </c>
      <c r="AB598" s="1472"/>
      <c r="AC598" s="1472"/>
      <c r="AD598" s="1472"/>
      <c r="AE598" s="1472"/>
      <c r="AF598" s="1472"/>
      <c r="AG598" s="1472"/>
      <c r="AH598" s="1472"/>
      <c r="AI598" s="1472"/>
      <c r="AJ598" s="1472"/>
      <c r="AK598" s="1472"/>
      <c r="AZ598" s="3"/>
      <c r="BA598" s="3"/>
      <c r="BB598" s="3"/>
      <c r="BC598" s="3"/>
    </row>
    <row r="599" spans="1:55" ht="12.95" customHeight="1">
      <c r="A599" s="22"/>
      <c r="B599" t="s">
        <v>20</v>
      </c>
      <c r="N599" s="1352" t="s">
        <v>543</v>
      </c>
      <c r="O599" s="1352"/>
      <c r="T599" s="22"/>
      <c r="U599" t="s">
        <v>20</v>
      </c>
      <c r="AG599" s="1352" t="s">
        <v>543</v>
      </c>
      <c r="AH599" s="1352"/>
      <c r="AZ599" s="3"/>
      <c r="BA599" s="3"/>
      <c r="BB599" s="3"/>
      <c r="BC599" s="3"/>
    </row>
    <row r="600" spans="1:55" ht="12.95" customHeight="1">
      <c r="A600" s="22"/>
      <c r="T600" s="22"/>
      <c r="AZ600" s="3"/>
      <c r="BA600" s="3"/>
      <c r="BB600" s="3"/>
      <c r="BC600" s="3"/>
    </row>
    <row r="601" spans="1:55" ht="12.95" customHeight="1">
      <c r="A601" s="55" t="s">
        <v>453</v>
      </c>
      <c r="B601" t="s">
        <v>461</v>
      </c>
      <c r="G601" s="1522" t="str">
        <f>C568</f>
        <v>Costs Deferred Until Conversion</v>
      </c>
      <c r="H601" s="1522"/>
      <c r="I601" s="1522"/>
      <c r="J601" s="1522"/>
      <c r="K601" s="1522"/>
      <c r="L601" s="1522"/>
      <c r="M601" s="1522"/>
      <c r="N601" s="1522"/>
      <c r="O601" s="1522"/>
      <c r="P601" s="1522"/>
      <c r="Q601" s="1522"/>
      <c r="R601" s="1522"/>
      <c r="T601" s="55" t="s">
        <v>454</v>
      </c>
      <c r="U601" t="s">
        <v>461</v>
      </c>
      <c r="Z601" s="1522" t="str">
        <f>C569</f>
        <v>Deferred Developer Fee</v>
      </c>
      <c r="AA601" s="1522"/>
      <c r="AB601" s="1522"/>
      <c r="AC601" s="1522"/>
      <c r="AD601" s="1522"/>
      <c r="AE601" s="1522"/>
      <c r="AF601" s="1522"/>
      <c r="AG601" s="1522"/>
      <c r="AH601" s="1522"/>
      <c r="AI601" s="1522"/>
      <c r="AJ601" s="1522"/>
      <c r="AK601" s="1522"/>
      <c r="AZ601" s="3"/>
      <c r="BA601" s="3"/>
      <c r="BB601" s="3"/>
      <c r="BC601" s="3"/>
    </row>
    <row r="602" spans="1:55" s="4" customFormat="1" ht="12.95" customHeight="1">
      <c r="A602" s="22"/>
      <c r="B602" t="s">
        <v>85</v>
      </c>
      <c r="C602"/>
      <c r="D602"/>
      <c r="E602"/>
      <c r="F602"/>
      <c r="G602" s="1472" t="s">
        <v>2642</v>
      </c>
      <c r="H602" s="1472"/>
      <c r="I602" s="1472"/>
      <c r="J602" s="1472"/>
      <c r="K602" s="1472"/>
      <c r="L602" s="1472"/>
      <c r="M602" s="1472"/>
      <c r="N602" s="1472"/>
      <c r="O602" s="1472"/>
      <c r="P602" s="1472"/>
      <c r="Q602" s="1472"/>
      <c r="R602" s="1472"/>
      <c r="S602"/>
      <c r="T602" s="22"/>
      <c r="U602" t="s">
        <v>85</v>
      </c>
      <c r="V602"/>
      <c r="W602"/>
      <c r="X602"/>
      <c r="Y602"/>
      <c r="Z602" s="1472" t="s">
        <v>2642</v>
      </c>
      <c r="AA602" s="1472"/>
      <c r="AB602" s="1472"/>
      <c r="AC602" s="1472"/>
      <c r="AD602" s="1472"/>
      <c r="AE602" s="1472"/>
      <c r="AF602" s="1472"/>
      <c r="AG602" s="1472"/>
      <c r="AH602" s="1472"/>
      <c r="AI602" s="1472"/>
      <c r="AJ602" s="1472"/>
      <c r="AK602" s="1472"/>
      <c r="AL602"/>
      <c r="AM602"/>
      <c r="AN602"/>
      <c r="AO602"/>
      <c r="AP602"/>
      <c r="AQ602"/>
      <c r="AR602"/>
      <c r="AS602"/>
      <c r="AT602"/>
      <c r="AU602"/>
      <c r="AV602"/>
      <c r="AW602"/>
      <c r="AX602"/>
      <c r="AY602"/>
      <c r="AZ602" s="3"/>
      <c r="BA602" s="3"/>
      <c r="BB602" s="3"/>
      <c r="BC602" s="3"/>
    </row>
    <row r="603" spans="1:55" s="4" customFormat="1" ht="12.95" customHeight="1">
      <c r="A603" s="22"/>
      <c r="B603" t="s">
        <v>578</v>
      </c>
      <c r="C603"/>
      <c r="D603"/>
      <c r="E603"/>
      <c r="F603"/>
      <c r="G603" s="1472" t="s">
        <v>2646</v>
      </c>
      <c r="H603" s="1472"/>
      <c r="I603" s="1472"/>
      <c r="J603" s="1472"/>
      <c r="K603" s="1472"/>
      <c r="L603" s="1472"/>
      <c r="M603" s="1472"/>
      <c r="N603" s="1472"/>
      <c r="O603" s="1472"/>
      <c r="P603" s="1472"/>
      <c r="Q603" s="1472"/>
      <c r="R603" s="1472"/>
      <c r="S603"/>
      <c r="T603" s="22"/>
      <c r="U603" t="s">
        <v>578</v>
      </c>
      <c r="V603"/>
      <c r="W603"/>
      <c r="X603"/>
      <c r="Y603"/>
      <c r="Z603" s="1496" t="s">
        <v>2646</v>
      </c>
      <c r="AA603" s="1496"/>
      <c r="AB603" s="1496"/>
      <c r="AC603" s="1496"/>
      <c r="AD603" s="1496"/>
      <c r="AE603" s="1496"/>
      <c r="AF603" s="1496"/>
      <c r="AG603" s="1496"/>
      <c r="AH603" s="1496"/>
      <c r="AI603" s="1496"/>
      <c r="AJ603" s="1496"/>
      <c r="AK603" s="1496"/>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72" t="s">
        <v>2698</v>
      </c>
      <c r="H604" s="1472"/>
      <c r="I604" s="1472"/>
      <c r="J604" s="1472"/>
      <c r="K604" s="1472"/>
      <c r="L604" s="1472"/>
      <c r="M604" s="1472"/>
      <c r="N604" s="1472"/>
      <c r="O604" s="1472"/>
      <c r="P604" s="1472"/>
      <c r="Q604" s="1472"/>
      <c r="R604" s="1472"/>
      <c r="S604"/>
      <c r="T604" s="22"/>
      <c r="U604" t="s">
        <v>17</v>
      </c>
      <c r="V604"/>
      <c r="W604"/>
      <c r="X604"/>
      <c r="Y604"/>
      <c r="Z604" s="1496" t="s">
        <v>2698</v>
      </c>
      <c r="AA604" s="1496"/>
      <c r="AB604" s="1496"/>
      <c r="AC604" s="1496"/>
      <c r="AD604" s="1496"/>
      <c r="AE604" s="1496"/>
      <c r="AF604" s="1496"/>
      <c r="AG604" s="1496"/>
      <c r="AH604" s="1496"/>
      <c r="AI604" s="1496"/>
      <c r="AJ604" s="1496"/>
      <c r="AK604" s="1496"/>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74" t="s">
        <v>2662</v>
      </c>
      <c r="H605" s="1474"/>
      <c r="I605" s="1474"/>
      <c r="J605" s="1474"/>
      <c r="K605" s="1474"/>
      <c r="L605" s="1474"/>
      <c r="M605"/>
      <c r="N605"/>
      <c r="O605" s="33" t="s">
        <v>205</v>
      </c>
      <c r="P605" s="1395" t="s">
        <v>589</v>
      </c>
      <c r="Q605" s="1529"/>
      <c r="R605" s="1529"/>
      <c r="S605"/>
      <c r="T605" s="22"/>
      <c r="U605" t="s">
        <v>315</v>
      </c>
      <c r="V605"/>
      <c r="W605"/>
      <c r="X605"/>
      <c r="Y605"/>
      <c r="Z605" s="1474" t="s">
        <v>2662</v>
      </c>
      <c r="AA605" s="1474"/>
      <c r="AB605" s="1474"/>
      <c r="AC605" s="1474"/>
      <c r="AD605" s="1474"/>
      <c r="AE605" s="1474"/>
      <c r="AF605"/>
      <c r="AG605"/>
      <c r="AH605" s="33" t="s">
        <v>205</v>
      </c>
      <c r="AI605" s="1529" t="s">
        <v>589</v>
      </c>
      <c r="AJ605" s="1529"/>
      <c r="AK605" s="152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90" t="s">
        <v>2798</v>
      </c>
      <c r="I606" s="1472"/>
      <c r="J606" s="1472"/>
      <c r="K606" s="1472"/>
      <c r="L606" s="1472"/>
      <c r="M606" s="1472"/>
      <c r="N606" s="1472"/>
      <c r="O606" s="1472"/>
      <c r="P606" s="1472"/>
      <c r="Q606" s="1472"/>
      <c r="R606" s="1472"/>
      <c r="S606"/>
      <c r="T606" s="22"/>
      <c r="U606" t="s">
        <v>18</v>
      </c>
      <c r="V606"/>
      <c r="W606"/>
      <c r="X606"/>
      <c r="Y606"/>
      <c r="Z606"/>
      <c r="AA606" s="1490" t="s">
        <v>2260</v>
      </c>
      <c r="AB606" s="1472"/>
      <c r="AC606" s="1472"/>
      <c r="AD606" s="1472"/>
      <c r="AE606" s="1472"/>
      <c r="AF606" s="1472"/>
      <c r="AG606" s="1472"/>
      <c r="AH606" s="1472"/>
      <c r="AI606" s="1472"/>
      <c r="AJ606" s="1472"/>
      <c r="AK606" s="1472"/>
      <c r="AL606"/>
      <c r="AM606"/>
      <c r="AN606"/>
      <c r="AO606"/>
      <c r="AP606"/>
      <c r="AQ606"/>
      <c r="AR606"/>
      <c r="AS606"/>
      <c r="AT606"/>
      <c r="AU606"/>
      <c r="AV606"/>
      <c r="AW606"/>
      <c r="AX606"/>
      <c r="AY606"/>
      <c r="BB606" s="3"/>
      <c r="BC606" s="3"/>
    </row>
    <row r="607" spans="1:55" ht="12.95" customHeight="1">
      <c r="A607" s="22"/>
      <c r="B607" t="s">
        <v>20</v>
      </c>
      <c r="N607" s="1352" t="s">
        <v>543</v>
      </c>
      <c r="O607" s="1352"/>
      <c r="T607" s="22"/>
      <c r="U607" t="s">
        <v>20</v>
      </c>
      <c r="AG607" s="1352" t="s">
        <v>543</v>
      </c>
      <c r="AH607" s="1352"/>
      <c r="BB607" s="3"/>
      <c r="BC607" s="3"/>
    </row>
    <row r="608" spans="1:55" ht="12.95" customHeight="1">
      <c r="A608" s="22"/>
      <c r="T608" s="22"/>
      <c r="BB608" s="3"/>
      <c r="BC608" s="3"/>
    </row>
    <row r="609" spans="1:55" ht="12.95" customHeight="1">
      <c r="A609" s="55" t="s">
        <v>459</v>
      </c>
      <c r="B609" t="s">
        <v>461</v>
      </c>
      <c r="G609" s="1522" t="str">
        <f>C570</f>
        <v>GP Equity</v>
      </c>
      <c r="H609" s="1522"/>
      <c r="I609" s="1522"/>
      <c r="J609" s="1522"/>
      <c r="K609" s="1522"/>
      <c r="L609" s="1522"/>
      <c r="M609" s="1522"/>
      <c r="N609" s="1522"/>
      <c r="O609" s="1522"/>
      <c r="P609" s="1522"/>
      <c r="Q609" s="1522"/>
      <c r="R609" s="1522"/>
      <c r="T609" s="55" t="s">
        <v>644</v>
      </c>
      <c r="U609" t="s">
        <v>461</v>
      </c>
      <c r="Z609" s="1522" t="str">
        <f>C571</f>
        <v>Tax Credit Equity</v>
      </c>
      <c r="AA609" s="1522"/>
      <c r="AB609" s="1522"/>
      <c r="AC609" s="1522"/>
      <c r="AD609" s="1522"/>
      <c r="AE609" s="1522"/>
      <c r="AF609" s="1522"/>
      <c r="AG609" s="1522"/>
      <c r="AH609" s="1522"/>
      <c r="AI609" s="1522"/>
      <c r="AJ609" s="1522"/>
      <c r="AK609" s="1522"/>
      <c r="BB609" s="3"/>
      <c r="BC609" s="3"/>
    </row>
    <row r="610" spans="1:55" ht="12.95" customHeight="1">
      <c r="A610" s="22"/>
      <c r="B610" t="s">
        <v>85</v>
      </c>
      <c r="G610" s="1472" t="s">
        <v>2735</v>
      </c>
      <c r="H610" s="1472"/>
      <c r="I610" s="1472"/>
      <c r="J610" s="1472"/>
      <c r="K610" s="1472"/>
      <c r="L610" s="1472"/>
      <c r="M610" s="1472"/>
      <c r="N610" s="1472"/>
      <c r="O610" s="1472"/>
      <c r="P610" s="1472"/>
      <c r="Q610" s="1472"/>
      <c r="R610" s="1472"/>
      <c r="T610" s="22"/>
      <c r="U610" t="s">
        <v>85</v>
      </c>
      <c r="Z610" s="1496" t="s">
        <v>2737</v>
      </c>
      <c r="AA610" s="1496"/>
      <c r="AB610" s="1496"/>
      <c r="AC610" s="1496"/>
      <c r="AD610" s="1496"/>
      <c r="AE610" s="1496"/>
      <c r="AF610" s="1496"/>
      <c r="AG610" s="1496"/>
      <c r="AH610" s="1496"/>
      <c r="AI610" s="1496"/>
      <c r="AJ610" s="1496"/>
      <c r="AK610" s="1496"/>
      <c r="AZ610" s="3"/>
      <c r="BA610" s="3"/>
      <c r="BB610" s="3"/>
      <c r="BC610" s="3"/>
    </row>
    <row r="611" spans="1:55" ht="12.95" customHeight="1">
      <c r="A611" s="22"/>
      <c r="B611" t="s">
        <v>578</v>
      </c>
      <c r="G611" s="1472" t="s">
        <v>2646</v>
      </c>
      <c r="H611" s="1472"/>
      <c r="I611" s="1472"/>
      <c r="J611" s="1472"/>
      <c r="K611" s="1472"/>
      <c r="L611" s="1472"/>
      <c r="M611" s="1472"/>
      <c r="N611" s="1472"/>
      <c r="O611" s="1472"/>
      <c r="P611" s="1472"/>
      <c r="Q611" s="1472"/>
      <c r="R611" s="1472"/>
      <c r="T611" s="22"/>
      <c r="U611" t="s">
        <v>578</v>
      </c>
      <c r="Z611" s="1496" t="s">
        <v>2800</v>
      </c>
      <c r="AA611" s="1496"/>
      <c r="AB611" s="1496"/>
      <c r="AC611" s="1496"/>
      <c r="AD611" s="1496"/>
      <c r="AE611" s="1496"/>
      <c r="AF611" s="1496"/>
      <c r="AG611" s="1496"/>
      <c r="AH611" s="1496"/>
      <c r="AI611" s="1496"/>
      <c r="AJ611" s="1496"/>
      <c r="AK611" s="1496"/>
      <c r="AZ611" s="3"/>
      <c r="BA611" s="3"/>
      <c r="BB611" s="3"/>
      <c r="BC611" s="3"/>
    </row>
    <row r="612" spans="1:55" ht="12.95" customHeight="1">
      <c r="A612" s="22"/>
      <c r="B612" t="s">
        <v>17</v>
      </c>
      <c r="G612" s="1472" t="s">
        <v>2698</v>
      </c>
      <c r="H612" s="1472"/>
      <c r="I612" s="1472"/>
      <c r="J612" s="1472"/>
      <c r="K612" s="1472"/>
      <c r="L612" s="1472"/>
      <c r="M612" s="1472"/>
      <c r="N612" s="1472"/>
      <c r="O612" s="1472"/>
      <c r="P612" s="1472"/>
      <c r="Q612" s="1472"/>
      <c r="R612" s="1472"/>
      <c r="T612" s="22"/>
      <c r="U612" t="s">
        <v>17</v>
      </c>
      <c r="Z612" s="1395" t="s">
        <v>2741</v>
      </c>
      <c r="AA612" s="1496"/>
      <c r="AB612" s="1496"/>
      <c r="AC612" s="1496"/>
      <c r="AD612" s="1496"/>
      <c r="AE612" s="1496"/>
      <c r="AF612" s="1496"/>
      <c r="AG612" s="1496"/>
      <c r="AH612" s="1496"/>
      <c r="AI612" s="1496"/>
      <c r="AJ612" s="1496"/>
      <c r="AK612" s="1496"/>
      <c r="AZ612" s="3"/>
      <c r="BA612" s="3"/>
      <c r="BB612" s="3"/>
      <c r="BC612" s="3"/>
    </row>
    <row r="613" spans="1:55" s="4" customFormat="1" ht="12.95" customHeight="1">
      <c r="A613" s="22"/>
      <c r="B613" t="s">
        <v>315</v>
      </c>
      <c r="C613"/>
      <c r="D613"/>
      <c r="E613"/>
      <c r="F613"/>
      <c r="G613" s="1474" t="s">
        <v>2662</v>
      </c>
      <c r="H613" s="1474"/>
      <c r="I613" s="1474"/>
      <c r="J613" s="1474"/>
      <c r="K613" s="1474"/>
      <c r="L613" s="1474"/>
      <c r="M613"/>
      <c r="N613"/>
      <c r="O613" s="33" t="s">
        <v>205</v>
      </c>
      <c r="P613" s="1395" t="s">
        <v>589</v>
      </c>
      <c r="Q613" s="1529"/>
      <c r="R613" s="1529"/>
      <c r="S613"/>
      <c r="T613" s="22"/>
      <c r="U613" t="s">
        <v>315</v>
      </c>
      <c r="V613"/>
      <c r="W613"/>
      <c r="X613"/>
      <c r="Y613"/>
      <c r="Z613" s="1473" t="s">
        <v>2768</v>
      </c>
      <c r="AA613" s="1474"/>
      <c r="AB613" s="1474"/>
      <c r="AC613" s="1474"/>
      <c r="AD613" s="1474"/>
      <c r="AE613" s="1474"/>
      <c r="AF613"/>
      <c r="AG613"/>
      <c r="AH613" s="33" t="s">
        <v>205</v>
      </c>
      <c r="AI613" s="1395" t="s">
        <v>589</v>
      </c>
      <c r="AJ613" s="1529"/>
      <c r="AK613" s="152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90" t="s">
        <v>2063</v>
      </c>
      <c r="I614" s="1472"/>
      <c r="J614" s="1472"/>
      <c r="K614" s="1472"/>
      <c r="L614" s="1472"/>
      <c r="M614" s="1472"/>
      <c r="N614" s="1472"/>
      <c r="O614" s="1472"/>
      <c r="P614" s="1472"/>
      <c r="Q614" s="1472"/>
      <c r="R614" s="1472"/>
      <c r="S614"/>
      <c r="T614" s="22"/>
      <c r="U614" t="s">
        <v>18</v>
      </c>
      <c r="V614"/>
      <c r="W614"/>
      <c r="X614"/>
      <c r="Y614"/>
      <c r="Z614"/>
      <c r="AA614" s="1490" t="s">
        <v>2064</v>
      </c>
      <c r="AB614" s="1472"/>
      <c r="AC614" s="1472"/>
      <c r="AD614" s="1472"/>
      <c r="AE614" s="1472"/>
      <c r="AF614" s="1472"/>
      <c r="AG614" s="1472"/>
      <c r="AH614" s="1472"/>
      <c r="AI614" s="1472"/>
      <c r="AJ614" s="1472"/>
      <c r="AK614" s="147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52" t="s">
        <v>543</v>
      </c>
      <c r="O615" s="1352"/>
      <c r="P615"/>
      <c r="Q615"/>
      <c r="R615"/>
      <c r="S615"/>
      <c r="T615" s="22"/>
      <c r="U615" t="s">
        <v>20</v>
      </c>
      <c r="V615"/>
      <c r="W615"/>
      <c r="X615"/>
      <c r="Y615"/>
      <c r="Z615"/>
      <c r="AA615"/>
      <c r="AB615"/>
      <c r="AC615"/>
      <c r="AD615"/>
      <c r="AE615"/>
      <c r="AF615"/>
      <c r="AG615" s="1352" t="s">
        <v>543</v>
      </c>
      <c r="AH615" s="1352"/>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461</v>
      </c>
      <c r="G617" s="1522">
        <f>C572</f>
        <v>0</v>
      </c>
      <c r="H617" s="1522"/>
      <c r="I617" s="1522"/>
      <c r="J617" s="1522"/>
      <c r="K617" s="1522"/>
      <c r="L617" s="1522"/>
      <c r="M617" s="1522"/>
      <c r="N617" s="1522"/>
      <c r="O617" s="1522"/>
      <c r="P617" s="1522"/>
      <c r="Q617" s="1522"/>
      <c r="R617" s="1522"/>
      <c r="T617" s="55" t="s">
        <v>362</v>
      </c>
      <c r="U617" t="s">
        <v>461</v>
      </c>
      <c r="Z617" s="1522">
        <f>C573</f>
        <v>0</v>
      </c>
      <c r="AA617" s="1522"/>
      <c r="AB617" s="1522"/>
      <c r="AC617" s="1522"/>
      <c r="AD617" s="1522"/>
      <c r="AE617" s="1522"/>
      <c r="AF617" s="1522"/>
      <c r="AG617" s="1522"/>
      <c r="AH617" s="1522"/>
      <c r="AI617" s="1522"/>
      <c r="AJ617" s="1522"/>
      <c r="AK617" s="1522"/>
      <c r="AZ617" s="3"/>
      <c r="BA617" s="3"/>
      <c r="BB617" s="3"/>
      <c r="BC617" s="3"/>
    </row>
    <row r="618" spans="1:55" ht="12.95" customHeight="1">
      <c r="B618" t="s">
        <v>85</v>
      </c>
      <c r="G618" s="1472"/>
      <c r="H618" s="1472"/>
      <c r="I618" s="1472"/>
      <c r="J618" s="1472"/>
      <c r="K618" s="1472"/>
      <c r="L618" s="1472"/>
      <c r="M618" s="1472"/>
      <c r="N618" s="1472"/>
      <c r="O618" s="1472"/>
      <c r="P618" s="1472"/>
      <c r="Q618" s="1472"/>
      <c r="R618" s="1472"/>
      <c r="U618" t="s">
        <v>85</v>
      </c>
      <c r="Z618" s="1472"/>
      <c r="AA618" s="1472"/>
      <c r="AB618" s="1472"/>
      <c r="AC618" s="1472"/>
      <c r="AD618" s="1472"/>
      <c r="AE618" s="1472"/>
      <c r="AF618" s="1472"/>
      <c r="AG618" s="1472"/>
      <c r="AH618" s="1472"/>
      <c r="AI618" s="1472"/>
      <c r="AJ618" s="1472"/>
      <c r="AK618" s="1472"/>
      <c r="AZ618" s="3"/>
      <c r="BA618" s="3"/>
      <c r="BB618" s="3"/>
      <c r="BC618" s="3"/>
    </row>
    <row r="619" spans="1:55" ht="12.95" customHeight="1">
      <c r="B619" t="s">
        <v>578</v>
      </c>
      <c r="G619" s="1472"/>
      <c r="H619" s="1472"/>
      <c r="I619" s="1472"/>
      <c r="J619" s="1472"/>
      <c r="K619" s="1472"/>
      <c r="L619" s="1472"/>
      <c r="M619" s="1472"/>
      <c r="N619" s="1472"/>
      <c r="O619" s="1472"/>
      <c r="P619" s="1472"/>
      <c r="Q619" s="1472"/>
      <c r="R619" s="1472"/>
      <c r="U619" t="s">
        <v>578</v>
      </c>
      <c r="Z619" s="1496"/>
      <c r="AA619" s="1496"/>
      <c r="AB619" s="1496"/>
      <c r="AC619" s="1496"/>
      <c r="AD619" s="1496"/>
      <c r="AE619" s="1496"/>
      <c r="AF619" s="1496"/>
      <c r="AG619" s="1496"/>
      <c r="AH619" s="1496"/>
      <c r="AI619" s="1496"/>
      <c r="AJ619" s="1496"/>
      <c r="AK619" s="1496"/>
      <c r="AZ619" s="3"/>
      <c r="BA619" s="3"/>
      <c r="BB619" s="3"/>
      <c r="BC619" s="3"/>
    </row>
    <row r="620" spans="1:55" ht="12.95" customHeight="1">
      <c r="B620" t="s">
        <v>17</v>
      </c>
      <c r="G620" s="1472"/>
      <c r="H620" s="1472"/>
      <c r="I620" s="1472"/>
      <c r="J620" s="1472"/>
      <c r="K620" s="1472"/>
      <c r="L620" s="1472"/>
      <c r="M620" s="1472"/>
      <c r="N620" s="1472"/>
      <c r="O620" s="1472"/>
      <c r="P620" s="1472"/>
      <c r="Q620" s="1472"/>
      <c r="R620" s="1472"/>
      <c r="U620" t="s">
        <v>17</v>
      </c>
      <c r="Z620" s="1496"/>
      <c r="AA620" s="1496"/>
      <c r="AB620" s="1496"/>
      <c r="AC620" s="1496"/>
      <c r="AD620" s="1496"/>
      <c r="AE620" s="1496"/>
      <c r="AF620" s="1496"/>
      <c r="AG620" s="1496"/>
      <c r="AH620" s="1496"/>
      <c r="AI620" s="1496"/>
      <c r="AJ620" s="1496"/>
      <c r="AK620" s="1496"/>
      <c r="AZ620" s="3"/>
      <c r="BA620" s="3"/>
      <c r="BB620" s="3"/>
      <c r="BC620" s="3"/>
    </row>
    <row r="621" spans="1:55" ht="12.95" customHeight="1">
      <c r="B621" t="s">
        <v>315</v>
      </c>
      <c r="G621" s="1474"/>
      <c r="H621" s="1474"/>
      <c r="I621" s="1474"/>
      <c r="J621" s="1474"/>
      <c r="K621" s="1474"/>
      <c r="L621" s="1474"/>
      <c r="O621" s="33" t="s">
        <v>205</v>
      </c>
      <c r="P621" s="1529"/>
      <c r="Q621" s="1529"/>
      <c r="R621" s="1529"/>
      <c r="U621" t="s">
        <v>315</v>
      </c>
      <c r="Z621" s="1474"/>
      <c r="AA621" s="1474"/>
      <c r="AB621" s="1474"/>
      <c r="AC621" s="1474"/>
      <c r="AD621" s="1474"/>
      <c r="AE621" s="1474"/>
      <c r="AH621" s="33" t="s">
        <v>205</v>
      </c>
      <c r="AI621" s="1529"/>
      <c r="AJ621" s="1529"/>
      <c r="AK621" s="1529"/>
      <c r="AZ621" s="3"/>
      <c r="BA621" s="3"/>
      <c r="BB621" s="3"/>
      <c r="BC621" s="3"/>
    </row>
    <row r="622" spans="1:55" ht="12.95" customHeight="1">
      <c r="B622" t="s">
        <v>18</v>
      </c>
      <c r="H622" s="1490"/>
      <c r="I622" s="1472"/>
      <c r="J622" s="1472"/>
      <c r="K622" s="1472"/>
      <c r="L622" s="1472"/>
      <c r="M622" s="1472"/>
      <c r="N622" s="1472"/>
      <c r="O622" s="1472"/>
      <c r="P622" s="1472"/>
      <c r="Q622" s="1472"/>
      <c r="R622" s="1472"/>
      <c r="U622" t="s">
        <v>18</v>
      </c>
      <c r="AA622" s="1472"/>
      <c r="AB622" s="1472"/>
      <c r="AC622" s="1472"/>
      <c r="AD622" s="1472"/>
      <c r="AE622" s="1472"/>
      <c r="AF622" s="1472"/>
      <c r="AG622" s="1472"/>
      <c r="AH622" s="1472"/>
      <c r="AI622" s="1472"/>
      <c r="AJ622" s="1472"/>
      <c r="AK622" s="1472"/>
      <c r="AU622" s="894"/>
      <c r="AV622" s="894"/>
      <c r="AW622" s="894"/>
      <c r="AX622" s="894"/>
      <c r="AY622" s="894"/>
      <c r="AZ622" s="3"/>
      <c r="BA622" s="3"/>
      <c r="BB622" s="3"/>
      <c r="BC622" s="3"/>
    </row>
    <row r="623" spans="1:55" ht="12.95" customHeight="1">
      <c r="B623" t="s">
        <v>20</v>
      </c>
      <c r="N623" s="1352"/>
      <c r="O623" s="1352"/>
      <c r="U623" t="s">
        <v>20</v>
      </c>
      <c r="AG623" s="1352"/>
      <c r="AH623" s="1352"/>
      <c r="AU623" s="894"/>
      <c r="AV623" s="894"/>
      <c r="AW623" s="894"/>
      <c r="AX623" s="894"/>
      <c r="AY623" s="894"/>
      <c r="AZ623" s="3"/>
      <c r="BA623" s="3"/>
      <c r="BB623" s="3"/>
      <c r="BC623" s="3"/>
    </row>
    <row r="624" spans="1:55" ht="12.95" customHeight="1">
      <c r="AZ624" s="3"/>
      <c r="BA624" s="3"/>
      <c r="BB624" s="3"/>
      <c r="BC624" s="3"/>
    </row>
    <row r="625" spans="1:56" ht="12.95" customHeight="1">
      <c r="A625" s="1279" t="s">
        <v>542</v>
      </c>
      <c r="B625" s="1279"/>
      <c r="C625" s="1279"/>
      <c r="D625" s="1279"/>
      <c r="E625" s="1279"/>
      <c r="F625" s="1279"/>
      <c r="G625" s="1279"/>
      <c r="H625" s="1279"/>
      <c r="I625" s="1279"/>
      <c r="J625" s="1279"/>
      <c r="K625" s="1279"/>
      <c r="L625" s="1279"/>
      <c r="M625" s="1279"/>
      <c r="N625" s="1279"/>
      <c r="O625" s="1279"/>
      <c r="P625" s="1279"/>
      <c r="Q625" s="1279"/>
      <c r="R625" s="1279"/>
      <c r="S625" s="1279"/>
      <c r="T625" s="1279"/>
      <c r="U625" s="1279"/>
      <c r="V625" s="1279"/>
      <c r="W625" s="1279"/>
      <c r="X625" s="1279"/>
      <c r="Y625" s="1279"/>
      <c r="Z625" s="1279"/>
      <c r="AA625" s="1279"/>
      <c r="AB625" s="1279"/>
      <c r="AC625" s="1279"/>
      <c r="AD625" s="1279"/>
      <c r="AE625" s="1279"/>
      <c r="AF625" s="1279"/>
      <c r="AG625" s="1279"/>
      <c r="AH625" s="1279"/>
      <c r="AI625" s="1279"/>
      <c r="AJ625" s="1279"/>
      <c r="AK625" s="1279"/>
      <c r="AL625" s="1279"/>
      <c r="AM625" s="1279"/>
      <c r="AN625" s="1279"/>
      <c r="AO625" s="1279"/>
      <c r="AP625" s="1279"/>
      <c r="AQ625" s="1279"/>
      <c r="AR625" s="1279"/>
      <c r="AS625" s="1279"/>
      <c r="AT625" s="1279"/>
      <c r="AZ625" s="3"/>
      <c r="BA625" s="3"/>
      <c r="BB625" s="3"/>
      <c r="BC625" s="3"/>
    </row>
    <row r="626" spans="1:56" ht="12.95" customHeight="1">
      <c r="A626" s="1279"/>
      <c r="B626" s="1279"/>
      <c r="C626" s="1279"/>
      <c r="D626" s="1279"/>
      <c r="E626" s="1279"/>
      <c r="F626" s="1279"/>
      <c r="G626" s="1279"/>
      <c r="H626" s="1279"/>
      <c r="I626" s="1279"/>
      <c r="J626" s="1279"/>
      <c r="K626" s="1279"/>
      <c r="L626" s="1279"/>
      <c r="M626" s="1279"/>
      <c r="N626" s="1279"/>
      <c r="O626" s="1279"/>
      <c r="P626" s="1279"/>
      <c r="Q626" s="1279"/>
      <c r="R626" s="1279"/>
      <c r="S626" s="1279"/>
      <c r="T626" s="1279"/>
      <c r="U626" s="1279"/>
      <c r="V626" s="1279"/>
      <c r="W626" s="1279"/>
      <c r="X626" s="1279"/>
      <c r="Y626" s="1279"/>
      <c r="Z626" s="1279"/>
      <c r="AA626" s="1279"/>
      <c r="AB626" s="1279"/>
      <c r="AC626" s="1279"/>
      <c r="AD626" s="1279"/>
      <c r="AE626" s="1279"/>
      <c r="AF626" s="1279"/>
      <c r="AG626" s="1279"/>
      <c r="AH626" s="1279"/>
      <c r="AI626" s="1279"/>
      <c r="AJ626" s="1279"/>
      <c r="AK626" s="1279"/>
      <c r="AL626" s="1279"/>
      <c r="AM626" s="1279"/>
      <c r="AN626" s="1279"/>
      <c r="AO626" s="1279"/>
      <c r="AP626" s="1279"/>
      <c r="AQ626" s="1279"/>
      <c r="AR626" s="1279"/>
      <c r="AS626" s="1279"/>
      <c r="AT626" s="1279"/>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1"/>
      <c r="C631" s="2"/>
      <c r="AU631" s="3"/>
      <c r="AZ631" s="3"/>
      <c r="BA631" s="3"/>
      <c r="BB631" s="3"/>
      <c r="BC631" s="3"/>
    </row>
    <row r="632" spans="1:56" ht="12.95" customHeight="1">
      <c r="B632" s="1728" t="s">
        <v>2056</v>
      </c>
      <c r="C632" s="1728"/>
      <c r="D632" s="1728"/>
      <c r="E632" s="1728"/>
      <c r="F632" s="1728"/>
      <c r="G632" s="1728"/>
      <c r="H632" s="1728"/>
      <c r="I632" s="1728"/>
      <c r="J632" s="1728"/>
      <c r="K632" s="1728"/>
      <c r="L632" s="1728"/>
      <c r="M632" s="1484" t="s">
        <v>2057</v>
      </c>
      <c r="N632" s="1484"/>
      <c r="O632" s="1484"/>
      <c r="P632" s="1484"/>
      <c r="Q632" s="1484" t="s">
        <v>1827</v>
      </c>
      <c r="R632" s="1484"/>
      <c r="S632" s="1484"/>
      <c r="T632" s="1484" t="s">
        <v>1825</v>
      </c>
      <c r="U632" s="1484"/>
      <c r="V632" s="1484"/>
      <c r="W632" s="1718" t="s">
        <v>451</v>
      </c>
      <c r="X632" s="1718"/>
      <c r="Y632" s="1718"/>
      <c r="Z632" s="1523" t="s">
        <v>2086</v>
      </c>
      <c r="AA632" s="1523"/>
      <c r="AB632" s="1524"/>
      <c r="AC632" s="1719" t="s">
        <v>1663</v>
      </c>
      <c r="AD632" s="1720"/>
      <c r="AE632" s="1721"/>
      <c r="AF632" s="1713" t="s">
        <v>1902</v>
      </c>
      <c r="AG632" s="1523"/>
      <c r="AH632" s="1523"/>
      <c r="AI632" s="1523"/>
      <c r="AJ632" s="1524"/>
      <c r="AK632" s="1704" t="s">
        <v>1903</v>
      </c>
      <c r="AL632" s="1705"/>
      <c r="AM632" s="1705"/>
      <c r="AN632" s="1706"/>
      <c r="AO632" s="1484" t="s">
        <v>452</v>
      </c>
      <c r="AP632" s="1484"/>
      <c r="AQ632" s="1484"/>
      <c r="AR632" s="1484"/>
      <c r="AS632" s="1484"/>
      <c r="AU632" s="3"/>
      <c r="AZ632" s="3"/>
      <c r="BA632" s="3"/>
      <c r="BB632" s="3"/>
      <c r="BC632" s="3"/>
    </row>
    <row r="633" spans="1:56" ht="12.95" customHeight="1">
      <c r="B633" s="1728"/>
      <c r="C633" s="1728"/>
      <c r="D633" s="1728"/>
      <c r="E633" s="1728"/>
      <c r="F633" s="1728"/>
      <c r="G633" s="1728"/>
      <c r="H633" s="1728"/>
      <c r="I633" s="1728"/>
      <c r="J633" s="1728"/>
      <c r="K633" s="1728"/>
      <c r="L633" s="1728"/>
      <c r="M633" s="1484"/>
      <c r="N633" s="1484"/>
      <c r="O633" s="1484"/>
      <c r="P633" s="1484"/>
      <c r="Q633" s="1484"/>
      <c r="R633" s="1484"/>
      <c r="S633" s="1484"/>
      <c r="T633" s="1484"/>
      <c r="U633" s="1484"/>
      <c r="V633" s="1484"/>
      <c r="W633" s="1718"/>
      <c r="X633" s="1718"/>
      <c r="Y633" s="1718"/>
      <c r="Z633" s="1525"/>
      <c r="AA633" s="1525"/>
      <c r="AB633" s="1526"/>
      <c r="AC633" s="1722"/>
      <c r="AD633" s="1723"/>
      <c r="AE633" s="1724"/>
      <c r="AF633" s="1714"/>
      <c r="AG633" s="1525"/>
      <c r="AH633" s="1525"/>
      <c r="AI633" s="1525"/>
      <c r="AJ633" s="1526"/>
      <c r="AK633" s="1707"/>
      <c r="AL633" s="1708"/>
      <c r="AM633" s="1708"/>
      <c r="AN633" s="1709"/>
      <c r="AO633" s="1484"/>
      <c r="AP633" s="1484"/>
      <c r="AQ633" s="1484"/>
      <c r="AR633" s="1484"/>
      <c r="AS633" s="1484"/>
      <c r="AU633" s="3"/>
      <c r="AZ633" s="3"/>
      <c r="BA633" s="3"/>
      <c r="BB633" s="3"/>
      <c r="BC633" s="3"/>
      <c r="BD633" s="3"/>
    </row>
    <row r="634" spans="1:56" ht="12.95" customHeight="1">
      <c r="B634" s="1728"/>
      <c r="C634" s="1728"/>
      <c r="D634" s="1728"/>
      <c r="E634" s="1728"/>
      <c r="F634" s="1728"/>
      <c r="G634" s="1728"/>
      <c r="H634" s="1728"/>
      <c r="I634" s="1728"/>
      <c r="J634" s="1728"/>
      <c r="K634" s="1728"/>
      <c r="L634" s="1728"/>
      <c r="M634" s="1484"/>
      <c r="N634" s="1484"/>
      <c r="O634" s="1484"/>
      <c r="P634" s="1484"/>
      <c r="Q634" s="1484"/>
      <c r="R634" s="1484"/>
      <c r="S634" s="1484"/>
      <c r="T634" s="1484"/>
      <c r="U634" s="1484"/>
      <c r="V634" s="1484"/>
      <c r="W634" s="1718"/>
      <c r="X634" s="1718"/>
      <c r="Y634" s="1718"/>
      <c r="Z634" s="1527"/>
      <c r="AA634" s="1527"/>
      <c r="AB634" s="1528"/>
      <c r="AC634" s="1725"/>
      <c r="AD634" s="1726"/>
      <c r="AE634" s="1727"/>
      <c r="AF634" s="1715"/>
      <c r="AG634" s="1527"/>
      <c r="AH634" s="1527"/>
      <c r="AI634" s="1527"/>
      <c r="AJ634" s="1528"/>
      <c r="AK634" s="1710"/>
      <c r="AL634" s="1711"/>
      <c r="AM634" s="1711"/>
      <c r="AN634" s="1712"/>
      <c r="AO634" s="1484"/>
      <c r="AP634" s="1484"/>
      <c r="AQ634" s="1484"/>
      <c r="AR634" s="1484"/>
      <c r="AS634" s="1484"/>
      <c r="AT634" s="3"/>
      <c r="AU634" s="3"/>
      <c r="AZ634" s="3"/>
      <c r="BA634" s="3"/>
      <c r="BB634" s="3"/>
      <c r="BC634" s="3"/>
      <c r="BD634" s="3"/>
    </row>
    <row r="635" spans="1:56" ht="12.95" customHeight="1">
      <c r="B635" s="51" t="s">
        <v>112</v>
      </c>
      <c r="C635" s="1443" t="s">
        <v>2801</v>
      </c>
      <c r="D635" s="1443"/>
      <c r="E635" s="1443"/>
      <c r="F635" s="1443"/>
      <c r="G635" s="1443"/>
      <c r="H635" s="1443"/>
      <c r="I635" s="1443"/>
      <c r="J635" s="1443"/>
      <c r="K635" s="1443"/>
      <c r="L635" s="1443"/>
      <c r="M635" s="1455" t="s">
        <v>2073</v>
      </c>
      <c r="N635" s="1455"/>
      <c r="O635" s="1455"/>
      <c r="P635" s="1455"/>
      <c r="Q635" s="1457">
        <f>17*12</f>
        <v>204</v>
      </c>
      <c r="R635" s="1457"/>
      <c r="S635" s="1458"/>
      <c r="T635" s="1456">
        <f>12*40</f>
        <v>480</v>
      </c>
      <c r="U635" s="1457"/>
      <c r="V635" s="1458"/>
      <c r="W635" s="1478">
        <v>6.6680000000000003E-2</v>
      </c>
      <c r="X635" s="1479"/>
      <c r="Y635" s="1480"/>
      <c r="Z635" s="1530" t="s">
        <v>2085</v>
      </c>
      <c r="AA635" s="1531"/>
      <c r="AB635" s="1532"/>
      <c r="AC635" s="1485">
        <v>1</v>
      </c>
      <c r="AD635" s="1486"/>
      <c r="AE635" s="1487"/>
      <c r="AF635" s="1475">
        <v>786719</v>
      </c>
      <c r="AG635" s="1476"/>
      <c r="AH635" s="1476"/>
      <c r="AI635" s="1476"/>
      <c r="AJ635" s="1477"/>
      <c r="AK635" s="1459">
        <v>0</v>
      </c>
      <c r="AL635" s="1460"/>
      <c r="AM635" s="1460"/>
      <c r="AN635" s="1461"/>
      <c r="AO635" s="1465">
        <v>10973000</v>
      </c>
      <c r="AP635" s="1465"/>
      <c r="AQ635" s="1465"/>
      <c r="AR635" s="1465"/>
      <c r="AS635" s="1465"/>
      <c r="AT635" s="3"/>
      <c r="AU635" s="3"/>
      <c r="AZ635" s="3"/>
      <c r="BA635" s="3"/>
      <c r="BB635" s="3"/>
      <c r="BC635" s="3"/>
      <c r="BD635" s="3"/>
    </row>
    <row r="636" spans="1:56" ht="12.95" customHeight="1">
      <c r="B636" s="52" t="s">
        <v>113</v>
      </c>
      <c r="C636" s="1443" t="s">
        <v>2731</v>
      </c>
      <c r="D636" s="1443"/>
      <c r="E636" s="1443"/>
      <c r="F636" s="1443"/>
      <c r="G636" s="1443"/>
      <c r="H636" s="1443"/>
      <c r="I636" s="1443"/>
      <c r="J636" s="1443"/>
      <c r="K636" s="1443"/>
      <c r="L636" s="1443"/>
      <c r="M636" s="1455" t="s">
        <v>2069</v>
      </c>
      <c r="N636" s="1455"/>
      <c r="O636" s="1455"/>
      <c r="P636" s="1455"/>
      <c r="Q636" s="1456">
        <f>55*12</f>
        <v>660</v>
      </c>
      <c r="R636" s="1457"/>
      <c r="S636" s="1458"/>
      <c r="T636" s="1456"/>
      <c r="U636" s="1457"/>
      <c r="V636" s="1458"/>
      <c r="W636" s="1478">
        <v>0.03</v>
      </c>
      <c r="X636" s="1479"/>
      <c r="Y636" s="1480"/>
      <c r="Z636" s="1530" t="s">
        <v>455</v>
      </c>
      <c r="AA636" s="1531"/>
      <c r="AB636" s="1532"/>
      <c r="AC636" s="1485">
        <v>3</v>
      </c>
      <c r="AD636" s="1486"/>
      <c r="AE636" s="1487"/>
      <c r="AF636" s="1475"/>
      <c r="AG636" s="1476"/>
      <c r="AH636" s="1476"/>
      <c r="AI636" s="1476"/>
      <c r="AJ636" s="1477"/>
      <c r="AK636" s="1459"/>
      <c r="AL636" s="1460"/>
      <c r="AM636" s="1460"/>
      <c r="AN636" s="1461"/>
      <c r="AO636" s="1469">
        <v>21786974</v>
      </c>
      <c r="AP636" s="1470"/>
      <c r="AQ636" s="1470"/>
      <c r="AR636" s="1470"/>
      <c r="AS636" s="1471"/>
      <c r="AT636" s="1141" t="str">
        <f>IF(AND(NOT(C635=""),C636="",NOT(C637="")),"!","")</f>
        <v/>
      </c>
      <c r="AU636" s="3"/>
      <c r="AZ636" s="3"/>
      <c r="BA636" s="3"/>
      <c r="BB636" s="3"/>
      <c r="BC636" s="3"/>
      <c r="BD636" s="3"/>
    </row>
    <row r="637" spans="1:56" ht="12.95" customHeight="1">
      <c r="B637" s="52" t="s">
        <v>119</v>
      </c>
      <c r="C637" s="1443" t="s">
        <v>2786</v>
      </c>
      <c r="D637" s="1443"/>
      <c r="E637" s="1443"/>
      <c r="F637" s="1443"/>
      <c r="G637" s="1443"/>
      <c r="H637" s="1443"/>
      <c r="I637" s="1443"/>
      <c r="J637" s="1443"/>
      <c r="K637" s="1443"/>
      <c r="L637" s="1443"/>
      <c r="M637" s="1455" t="s">
        <v>2069</v>
      </c>
      <c r="N637" s="1455"/>
      <c r="O637" s="1455"/>
      <c r="P637" s="1455"/>
      <c r="Q637" s="1456">
        <f>55*12</f>
        <v>660</v>
      </c>
      <c r="R637" s="1457"/>
      <c r="S637" s="1458"/>
      <c r="T637" s="1456"/>
      <c r="U637" s="1457"/>
      <c r="V637" s="1458"/>
      <c r="W637" s="1478">
        <v>0.03</v>
      </c>
      <c r="X637" s="1479"/>
      <c r="Y637" s="1480"/>
      <c r="Z637" s="1530" t="s">
        <v>455</v>
      </c>
      <c r="AA637" s="1531"/>
      <c r="AB637" s="1532"/>
      <c r="AC637" s="1485">
        <v>2</v>
      </c>
      <c r="AD637" s="1486"/>
      <c r="AE637" s="1487"/>
      <c r="AF637" s="1475">
        <v>101375</v>
      </c>
      <c r="AG637" s="1476"/>
      <c r="AH637" s="1476"/>
      <c r="AI637" s="1476"/>
      <c r="AJ637" s="1477"/>
      <c r="AK637" s="1459">
        <v>0</v>
      </c>
      <c r="AL637" s="1460"/>
      <c r="AM637" s="1460"/>
      <c r="AN637" s="1461"/>
      <c r="AO637" s="1469">
        <v>24137006</v>
      </c>
      <c r="AP637" s="1470"/>
      <c r="AQ637" s="1470"/>
      <c r="AR637" s="1470"/>
      <c r="AS637" s="1471"/>
      <c r="AT637" s="1141" t="str">
        <f t="shared" ref="AT637:AT646" si="3">IF(AND(NOT(C636=""),C637="",NOT(C638="")),"!","")</f>
        <v/>
      </c>
      <c r="AU637" s="3"/>
      <c r="AZ637" s="3"/>
      <c r="BA637" s="3"/>
      <c r="BB637" s="3"/>
      <c r="BC637" s="3"/>
      <c r="BD637" s="3"/>
    </row>
    <row r="638" spans="1:56" ht="12.95" customHeight="1">
      <c r="B638" s="52" t="s">
        <v>579</v>
      </c>
      <c r="C638" s="1443" t="s">
        <v>2802</v>
      </c>
      <c r="D638" s="1444"/>
      <c r="E638" s="1444"/>
      <c r="F638" s="1444"/>
      <c r="G638" s="1444"/>
      <c r="H638" s="1444"/>
      <c r="I638" s="1444"/>
      <c r="J638" s="1444"/>
      <c r="K638" s="1444"/>
      <c r="L638" s="1444"/>
      <c r="M638" s="1455" t="s">
        <v>2071</v>
      </c>
      <c r="N638" s="1455"/>
      <c r="O638" s="1455"/>
      <c r="P638" s="1455"/>
      <c r="Q638" s="1456">
        <v>660</v>
      </c>
      <c r="R638" s="1457"/>
      <c r="S638" s="1458"/>
      <c r="T638" s="1456"/>
      <c r="U638" s="1457"/>
      <c r="V638" s="1458"/>
      <c r="W638" s="1478">
        <v>0</v>
      </c>
      <c r="X638" s="1479"/>
      <c r="Y638" s="1480"/>
      <c r="Z638" s="1530" t="s">
        <v>455</v>
      </c>
      <c r="AA638" s="1531"/>
      <c r="AB638" s="1532"/>
      <c r="AC638" s="1485">
        <v>4</v>
      </c>
      <c r="AD638" s="1486"/>
      <c r="AE638" s="1487"/>
      <c r="AF638" s="1475"/>
      <c r="AG638" s="1476"/>
      <c r="AH638" s="1476"/>
      <c r="AI638" s="1476"/>
      <c r="AJ638" s="1477"/>
      <c r="AK638" s="1459"/>
      <c r="AL638" s="1460"/>
      <c r="AM638" s="1460"/>
      <c r="AN638" s="1461"/>
      <c r="AO638" s="1469">
        <v>2198301</v>
      </c>
      <c r="AP638" s="1470"/>
      <c r="AQ638" s="1470"/>
      <c r="AR638" s="1470"/>
      <c r="AS638" s="1471"/>
      <c r="AT638" s="1141" t="str">
        <f t="shared" si="3"/>
        <v/>
      </c>
      <c r="AU638" s="3"/>
      <c r="AZ638" s="3"/>
      <c r="BA638" s="3"/>
      <c r="BB638" s="3"/>
      <c r="BC638" s="3"/>
      <c r="BD638" s="3"/>
    </row>
    <row r="639" spans="1:56" ht="12.95" customHeight="1">
      <c r="B639" s="52" t="s">
        <v>761</v>
      </c>
      <c r="C639" s="1443" t="s">
        <v>2260</v>
      </c>
      <c r="D639" s="1444"/>
      <c r="E639" s="1444"/>
      <c r="F639" s="1444"/>
      <c r="G639" s="1444"/>
      <c r="H639" s="1444"/>
      <c r="I639" s="1444"/>
      <c r="J639" s="1444"/>
      <c r="K639" s="1444"/>
      <c r="L639" s="1444"/>
      <c r="M639" s="1455" t="s">
        <v>2060</v>
      </c>
      <c r="N639" s="1455"/>
      <c r="O639" s="1455"/>
      <c r="P639" s="1455"/>
      <c r="Q639" s="1456"/>
      <c r="R639" s="1457"/>
      <c r="S639" s="1458"/>
      <c r="T639" s="1456"/>
      <c r="U639" s="1457"/>
      <c r="V639" s="1458"/>
      <c r="W639" s="1478"/>
      <c r="X639" s="1479"/>
      <c r="Y639" s="1480"/>
      <c r="Z639" s="1530" t="s">
        <v>299</v>
      </c>
      <c r="AA639" s="1531"/>
      <c r="AB639" s="1532"/>
      <c r="AC639" s="1485"/>
      <c r="AD639" s="1486"/>
      <c r="AE639" s="1487"/>
      <c r="AF639" s="1475"/>
      <c r="AG639" s="1476"/>
      <c r="AH639" s="1476"/>
      <c r="AI639" s="1476"/>
      <c r="AJ639" s="1477"/>
      <c r="AK639" s="1459"/>
      <c r="AL639" s="1460"/>
      <c r="AM639" s="1460"/>
      <c r="AN639" s="1461"/>
      <c r="AO639" s="1469">
        <v>4684295</v>
      </c>
      <c r="AP639" s="1470"/>
      <c r="AQ639" s="1470"/>
      <c r="AR639" s="1470"/>
      <c r="AS639" s="1471"/>
      <c r="AT639" s="1141" t="str">
        <f t="shared" si="3"/>
        <v/>
      </c>
      <c r="AU639" s="3"/>
      <c r="AZ639" s="3"/>
      <c r="BA639" s="3"/>
      <c r="BB639" s="3"/>
      <c r="BC639" s="3"/>
      <c r="BD639" s="3"/>
    </row>
    <row r="640" spans="1:56" ht="12.95" customHeight="1">
      <c r="B640" s="52" t="s">
        <v>582</v>
      </c>
      <c r="C640" s="1443" t="s">
        <v>2804</v>
      </c>
      <c r="D640" s="1444"/>
      <c r="E640" s="1444"/>
      <c r="F640" s="1444"/>
      <c r="G640" s="1444"/>
      <c r="H640" s="1444"/>
      <c r="I640" s="1444"/>
      <c r="J640" s="1444"/>
      <c r="K640" s="1444"/>
      <c r="L640" s="1444"/>
      <c r="M640" s="1455" t="s">
        <v>2063</v>
      </c>
      <c r="N640" s="1455"/>
      <c r="O640" s="1455"/>
      <c r="P640" s="1455"/>
      <c r="Q640" s="1456"/>
      <c r="R640" s="1457"/>
      <c r="S640" s="1458"/>
      <c r="T640" s="1456"/>
      <c r="U640" s="1457"/>
      <c r="V640" s="1458"/>
      <c r="W640" s="1478"/>
      <c r="X640" s="1479"/>
      <c r="Y640" s="1480"/>
      <c r="Z640" s="1530" t="s">
        <v>299</v>
      </c>
      <c r="AA640" s="1531"/>
      <c r="AB640" s="1532"/>
      <c r="AC640" s="1485"/>
      <c r="AD640" s="1486"/>
      <c r="AE640" s="1487"/>
      <c r="AF640" s="1475"/>
      <c r="AG640" s="1476"/>
      <c r="AH640" s="1476"/>
      <c r="AI640" s="1476"/>
      <c r="AJ640" s="1477"/>
      <c r="AK640" s="1459"/>
      <c r="AL640" s="1460"/>
      <c r="AM640" s="1460"/>
      <c r="AN640" s="1461"/>
      <c r="AO640" s="1469">
        <v>100</v>
      </c>
      <c r="AP640" s="1470"/>
      <c r="AQ640" s="1470"/>
      <c r="AR640" s="1470"/>
      <c r="AS640" s="1471"/>
      <c r="AT640" s="1141" t="str">
        <f t="shared" si="3"/>
        <v/>
      </c>
      <c r="AU640" s="3"/>
      <c r="AZ640" s="3"/>
      <c r="BA640" s="3"/>
      <c r="BB640" s="3"/>
      <c r="BC640" s="3"/>
      <c r="BD640" s="3"/>
    </row>
    <row r="641" spans="1:157" ht="12.95" customHeight="1">
      <c r="B641" s="52" t="s">
        <v>453</v>
      </c>
      <c r="C641" s="1443"/>
      <c r="D641" s="1444"/>
      <c r="E641" s="1444"/>
      <c r="F641" s="1444"/>
      <c r="G641" s="1444"/>
      <c r="H641" s="1444"/>
      <c r="I641" s="1444"/>
      <c r="J641" s="1444"/>
      <c r="K641" s="1444"/>
      <c r="L641" s="1444"/>
      <c r="M641" s="1455" t="s">
        <v>2063</v>
      </c>
      <c r="N641" s="1455"/>
      <c r="O641" s="1455"/>
      <c r="P641" s="1455"/>
      <c r="Q641" s="1456"/>
      <c r="R641" s="1457"/>
      <c r="S641" s="1458"/>
      <c r="T641" s="1456"/>
      <c r="U641" s="1457"/>
      <c r="V641" s="1458"/>
      <c r="W641" s="1478"/>
      <c r="X641" s="1479"/>
      <c r="Y641" s="1480"/>
      <c r="Z641" s="1530" t="s">
        <v>299</v>
      </c>
      <c r="AA641" s="1531"/>
      <c r="AB641" s="1532"/>
      <c r="AC641" s="1485"/>
      <c r="AD641" s="1486"/>
      <c r="AE641" s="1487"/>
      <c r="AF641" s="1475"/>
      <c r="AG641" s="1476"/>
      <c r="AH641" s="1476"/>
      <c r="AI641" s="1476"/>
      <c r="AJ641" s="1477"/>
      <c r="AK641" s="1459"/>
      <c r="AL641" s="1460"/>
      <c r="AM641" s="1460"/>
      <c r="AN641" s="1461"/>
      <c r="AO641" s="1469"/>
      <c r="AP641" s="1470"/>
      <c r="AQ641" s="1470"/>
      <c r="AR641" s="1470"/>
      <c r="AS641" s="1471"/>
      <c r="AT641" s="1141" t="str">
        <f t="shared" si="3"/>
        <v/>
      </c>
      <c r="AU641" s="3"/>
      <c r="AV641" s="3"/>
      <c r="AW641" s="3"/>
      <c r="AX641" s="3"/>
      <c r="AY641" s="3"/>
      <c r="AZ641" s="3"/>
      <c r="BA641" s="3"/>
      <c r="BB641" s="3"/>
      <c r="BC641" s="3"/>
      <c r="BD641" s="3"/>
    </row>
    <row r="642" spans="1:157" ht="12.95" customHeight="1">
      <c r="B642" s="52" t="s">
        <v>454</v>
      </c>
      <c r="C642" s="1443"/>
      <c r="D642" s="1444"/>
      <c r="E642" s="1444"/>
      <c r="F642" s="1444"/>
      <c r="G642" s="1444"/>
      <c r="H642" s="1444"/>
      <c r="I642" s="1444"/>
      <c r="J642" s="1444"/>
      <c r="K642" s="1444"/>
      <c r="L642" s="1444"/>
      <c r="M642" s="1455" t="s">
        <v>1182</v>
      </c>
      <c r="N642" s="1455"/>
      <c r="O642" s="1455"/>
      <c r="P642" s="1455"/>
      <c r="Q642" s="1456"/>
      <c r="R642" s="1457"/>
      <c r="S642" s="1458"/>
      <c r="T642" s="1456"/>
      <c r="U642" s="1457"/>
      <c r="V642" s="1458"/>
      <c r="W642" s="1478"/>
      <c r="X642" s="1479"/>
      <c r="Y642" s="1480"/>
      <c r="Z642" s="1530" t="s">
        <v>1182</v>
      </c>
      <c r="AA642" s="1531"/>
      <c r="AB642" s="1532"/>
      <c r="AC642" s="1485"/>
      <c r="AD642" s="1486"/>
      <c r="AE642" s="1487"/>
      <c r="AF642" s="1475"/>
      <c r="AG642" s="1476"/>
      <c r="AH642" s="1476"/>
      <c r="AI642" s="1476"/>
      <c r="AJ642" s="1477"/>
      <c r="AK642" s="1459"/>
      <c r="AL642" s="1460"/>
      <c r="AM642" s="1460"/>
      <c r="AN642" s="1461"/>
      <c r="AO642" s="1469"/>
      <c r="AP642" s="1470"/>
      <c r="AQ642" s="1470"/>
      <c r="AR642" s="1470"/>
      <c r="AS642" s="1471"/>
      <c r="AT642" s="1141" t="str">
        <f t="shared" si="3"/>
        <v/>
      </c>
      <c r="AU642" s="3"/>
      <c r="AV642" s="3"/>
      <c r="AW642" s="3"/>
      <c r="AX642" s="3"/>
      <c r="AY642" s="3"/>
      <c r="AZ642" s="3"/>
      <c r="BA642" s="3" t="s">
        <v>1182</v>
      </c>
      <c r="BB642" s="3"/>
      <c r="BC642" s="3"/>
      <c r="BD642" s="3"/>
    </row>
    <row r="643" spans="1:157" ht="12.95" customHeight="1">
      <c r="B643" s="52" t="s">
        <v>459</v>
      </c>
      <c r="C643" s="1444"/>
      <c r="D643" s="1444"/>
      <c r="E643" s="1444"/>
      <c r="F643" s="1444"/>
      <c r="G643" s="1444"/>
      <c r="H643" s="1444"/>
      <c r="I643" s="1444"/>
      <c r="J643" s="1444"/>
      <c r="K643" s="1444"/>
      <c r="L643" s="1444"/>
      <c r="M643" s="1455" t="s">
        <v>1182</v>
      </c>
      <c r="N643" s="1455"/>
      <c r="O643" s="1455"/>
      <c r="P643" s="1455"/>
      <c r="Q643" s="1456"/>
      <c r="R643" s="1457"/>
      <c r="S643" s="1458"/>
      <c r="T643" s="1456"/>
      <c r="U643" s="1457"/>
      <c r="V643" s="1458"/>
      <c r="W643" s="1478"/>
      <c r="X643" s="1479"/>
      <c r="Y643" s="1480"/>
      <c r="Z643" s="1530" t="s">
        <v>1182</v>
      </c>
      <c r="AA643" s="1531"/>
      <c r="AB643" s="1532"/>
      <c r="AC643" s="1485"/>
      <c r="AD643" s="1486"/>
      <c r="AE643" s="1487"/>
      <c r="AF643" s="1475"/>
      <c r="AG643" s="1476"/>
      <c r="AH643" s="1476"/>
      <c r="AI643" s="1476"/>
      <c r="AJ643" s="1477"/>
      <c r="AK643" s="1459"/>
      <c r="AL643" s="1460"/>
      <c r="AM643" s="1460"/>
      <c r="AN643" s="1461"/>
      <c r="AO643" s="1469"/>
      <c r="AP643" s="1470"/>
      <c r="AQ643" s="1470"/>
      <c r="AR643" s="1470"/>
      <c r="AS643" s="1471"/>
      <c r="AT643" s="1141"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8" t="e">
        <f t="shared" ref="DX643:DX677" si="4">EZ726*(CP726/$CP$761)</f>
        <v>#VALUE!</v>
      </c>
      <c r="DY643" s="1538"/>
      <c r="DZ643" s="1538"/>
      <c r="EA643" s="1538"/>
      <c r="EB643" s="1538"/>
      <c r="EC643" s="1538">
        <f t="shared" ref="EC643:EC677" si="5">FE726*(CU726/$CU$761)</f>
        <v>46.03448275862069</v>
      </c>
      <c r="ED643" s="1538"/>
      <c r="EE643" s="1538"/>
      <c r="EF643" s="1538"/>
      <c r="EG643" s="1538"/>
      <c r="EH643" s="1538" t="e">
        <f t="shared" ref="EH643:EH677" si="6">FJ726*(CZ726/$CZ$761)</f>
        <v>#VALUE!</v>
      </c>
      <c r="EI643" s="1538"/>
      <c r="EJ643" s="1538"/>
      <c r="EK643" s="1538"/>
      <c r="EL643" s="1538"/>
      <c r="EM643" s="1538" t="e">
        <f t="shared" ref="EM643:EM677" si="7">FO726*(DE726/$DE$761)</f>
        <v>#VALUE!</v>
      </c>
      <c r="EN643" s="1538"/>
      <c r="EO643" s="1538"/>
      <c r="EP643" s="1538"/>
      <c r="EQ643" s="1538"/>
      <c r="ER643" s="1538" t="e">
        <f t="shared" ref="ER643:ER677" si="8">FT726*(DJ726/$DJ$761)</f>
        <v>#VALUE!</v>
      </c>
      <c r="ES643" s="1538"/>
      <c r="ET643" s="1538"/>
      <c r="EU643" s="1538"/>
      <c r="EV643" s="1538"/>
      <c r="EW643" s="1538" t="e">
        <f t="shared" ref="EW643:EW677" si="9">FY726*(DO726/$DO$761)</f>
        <v>#VALUE!</v>
      </c>
      <c r="EX643" s="1538"/>
      <c r="EY643" s="1538"/>
      <c r="EZ643" s="1538"/>
      <c r="FA643" s="1538"/>
    </row>
    <row r="644" spans="1:157" ht="12.95" customHeight="1">
      <c r="B644" s="52" t="s">
        <v>644</v>
      </c>
      <c r="C644" s="1444"/>
      <c r="D644" s="1444"/>
      <c r="E644" s="1444"/>
      <c r="F644" s="1444"/>
      <c r="G644" s="1444"/>
      <c r="H644" s="1444"/>
      <c r="I644" s="1444"/>
      <c r="J644" s="1444"/>
      <c r="K644" s="1444"/>
      <c r="L644" s="1444"/>
      <c r="M644" s="1455" t="s">
        <v>1182</v>
      </c>
      <c r="N644" s="1455"/>
      <c r="O644" s="1455"/>
      <c r="P644" s="1455"/>
      <c r="Q644" s="1456"/>
      <c r="R644" s="1457"/>
      <c r="S644" s="1458"/>
      <c r="T644" s="1456"/>
      <c r="U644" s="1457"/>
      <c r="V644" s="1458"/>
      <c r="W644" s="1478"/>
      <c r="X644" s="1479"/>
      <c r="Y644" s="1480"/>
      <c r="Z644" s="1530" t="s">
        <v>1182</v>
      </c>
      <c r="AA644" s="1531"/>
      <c r="AB644" s="1532"/>
      <c r="AC644" s="1485"/>
      <c r="AD644" s="1486"/>
      <c r="AE644" s="1487"/>
      <c r="AF644" s="1475"/>
      <c r="AG644" s="1476"/>
      <c r="AH644" s="1476"/>
      <c r="AI644" s="1476"/>
      <c r="AJ644" s="1477"/>
      <c r="AK644" s="1459"/>
      <c r="AL644" s="1460"/>
      <c r="AM644" s="1460"/>
      <c r="AN644" s="1461"/>
      <c r="AO644" s="1469"/>
      <c r="AP644" s="1470"/>
      <c r="AQ644" s="1470"/>
      <c r="AR644" s="1470"/>
      <c r="AS644" s="1471"/>
      <c r="AT644" s="1141"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538" t="e">
        <f t="shared" si="4"/>
        <v>#VALUE!</v>
      </c>
      <c r="DY644" s="1538"/>
      <c r="DZ644" s="1538"/>
      <c r="EA644" s="1538"/>
      <c r="EB644" s="1538"/>
      <c r="EC644" s="1538">
        <f t="shared" si="5"/>
        <v>177.74137931034483</v>
      </c>
      <c r="ED644" s="1538"/>
      <c r="EE644" s="1538"/>
      <c r="EF644" s="1538"/>
      <c r="EG644" s="1538"/>
      <c r="EH644" s="1538" t="e">
        <f t="shared" si="6"/>
        <v>#VALUE!</v>
      </c>
      <c r="EI644" s="1538"/>
      <c r="EJ644" s="1538"/>
      <c r="EK644" s="1538"/>
      <c r="EL644" s="1538"/>
      <c r="EM644" s="1538" t="e">
        <f t="shared" si="7"/>
        <v>#VALUE!</v>
      </c>
      <c r="EN644" s="1538"/>
      <c r="EO644" s="1538"/>
      <c r="EP644" s="1538"/>
      <c r="EQ644" s="1538"/>
      <c r="ER644" s="1538" t="e">
        <f t="shared" si="8"/>
        <v>#VALUE!</v>
      </c>
      <c r="ES644" s="1538"/>
      <c r="ET644" s="1538"/>
      <c r="EU644" s="1538"/>
      <c r="EV644" s="1538"/>
      <c r="EW644" s="1538" t="e">
        <f t="shared" si="9"/>
        <v>#VALUE!</v>
      </c>
      <c r="EX644" s="1538"/>
      <c r="EY644" s="1538"/>
      <c r="EZ644" s="1538"/>
      <c r="FA644" s="1538"/>
    </row>
    <row r="645" spans="1:157" ht="12.95" customHeight="1">
      <c r="B645" s="52" t="s">
        <v>361</v>
      </c>
      <c r="C645" s="1444"/>
      <c r="D645" s="1444"/>
      <c r="E645" s="1444"/>
      <c r="F645" s="1444"/>
      <c r="G645" s="1444"/>
      <c r="H645" s="1444"/>
      <c r="I645" s="1444"/>
      <c r="J645" s="1444"/>
      <c r="K645" s="1444"/>
      <c r="L645" s="1444"/>
      <c r="M645" s="1455" t="s">
        <v>1182</v>
      </c>
      <c r="N645" s="1455"/>
      <c r="O645" s="1455"/>
      <c r="P645" s="1455"/>
      <c r="Q645" s="1456"/>
      <c r="R645" s="1457"/>
      <c r="S645" s="1458"/>
      <c r="T645" s="1456"/>
      <c r="U645" s="1457"/>
      <c r="V645" s="1458"/>
      <c r="W645" s="1478"/>
      <c r="X645" s="1479"/>
      <c r="Y645" s="1480"/>
      <c r="Z645" s="1530" t="s">
        <v>1182</v>
      </c>
      <c r="AA645" s="1531"/>
      <c r="AB645" s="1532"/>
      <c r="AC645" s="1485"/>
      <c r="AD645" s="1486"/>
      <c r="AE645" s="1487"/>
      <c r="AF645" s="1475"/>
      <c r="AG645" s="1476"/>
      <c r="AH645" s="1476"/>
      <c r="AI645" s="1476"/>
      <c r="AJ645" s="1477"/>
      <c r="AK645" s="1459"/>
      <c r="AL645" s="1460"/>
      <c r="AM645" s="1460"/>
      <c r="AN645" s="1461"/>
      <c r="AO645" s="1469"/>
      <c r="AP645" s="1470"/>
      <c r="AQ645" s="1470"/>
      <c r="AR645" s="1470"/>
      <c r="AS645" s="1471"/>
      <c r="AT645" s="1141"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38" t="e">
        <f t="shared" si="4"/>
        <v>#VALUE!</v>
      </c>
      <c r="DY645" s="1538"/>
      <c r="DZ645" s="1538"/>
      <c r="EA645" s="1538"/>
      <c r="EB645" s="1538"/>
      <c r="EC645" s="1538" t="e">
        <f t="shared" si="5"/>
        <v>#VALUE!</v>
      </c>
      <c r="ED645" s="1538"/>
      <c r="EE645" s="1538"/>
      <c r="EF645" s="1538"/>
      <c r="EG645" s="1538"/>
      <c r="EH645" s="1538">
        <f t="shared" si="6"/>
        <v>122.58064516129032</v>
      </c>
      <c r="EI645" s="1538"/>
      <c r="EJ645" s="1538"/>
      <c r="EK645" s="1538"/>
      <c r="EL645" s="1538"/>
      <c r="EM645" s="1538" t="e">
        <f t="shared" si="7"/>
        <v>#VALUE!</v>
      </c>
      <c r="EN645" s="1538"/>
      <c r="EO645" s="1538"/>
      <c r="EP645" s="1538"/>
      <c r="EQ645" s="1538"/>
      <c r="ER645" s="1538" t="e">
        <f t="shared" si="8"/>
        <v>#VALUE!</v>
      </c>
      <c r="ES645" s="1538"/>
      <c r="ET645" s="1538"/>
      <c r="EU645" s="1538"/>
      <c r="EV645" s="1538"/>
      <c r="EW645" s="1538" t="e">
        <f t="shared" si="9"/>
        <v>#VALUE!</v>
      </c>
      <c r="EX645" s="1538"/>
      <c r="EY645" s="1538"/>
      <c r="EZ645" s="1538"/>
      <c r="FA645" s="1538"/>
    </row>
    <row r="646" spans="1:157" ht="12.95" customHeight="1">
      <c r="B646" s="52" t="s">
        <v>362</v>
      </c>
      <c r="C646" s="1444"/>
      <c r="D646" s="1444"/>
      <c r="E646" s="1444"/>
      <c r="F646" s="1444"/>
      <c r="G646" s="1444"/>
      <c r="H646" s="1444"/>
      <c r="I646" s="1444"/>
      <c r="J646" s="1444"/>
      <c r="K646" s="1444"/>
      <c r="L646" s="1444"/>
      <c r="M646" s="1455" t="s">
        <v>1182</v>
      </c>
      <c r="N646" s="1455"/>
      <c r="O646" s="1455"/>
      <c r="P646" s="1455"/>
      <c r="Q646" s="1456"/>
      <c r="R646" s="1457"/>
      <c r="S646" s="1458"/>
      <c r="T646" s="1456"/>
      <c r="U646" s="1457"/>
      <c r="V646" s="1458"/>
      <c r="W646" s="1478"/>
      <c r="X646" s="1479"/>
      <c r="Y646" s="1480"/>
      <c r="Z646" s="1530" t="s">
        <v>1182</v>
      </c>
      <c r="AA646" s="1531"/>
      <c r="AB646" s="1532"/>
      <c r="AC646" s="1485"/>
      <c r="AD646" s="1486"/>
      <c r="AE646" s="1487"/>
      <c r="AF646" s="1475"/>
      <c r="AG646" s="1476"/>
      <c r="AH646" s="1476"/>
      <c r="AI646" s="1476"/>
      <c r="AJ646" s="1477"/>
      <c r="AK646" s="1459"/>
      <c r="AL646" s="1460"/>
      <c r="AM646" s="1460"/>
      <c r="AN646" s="1461"/>
      <c r="AO646" s="1469"/>
      <c r="AP646" s="1470"/>
      <c r="AQ646" s="1470"/>
      <c r="AR646" s="1470"/>
      <c r="AS646" s="1471"/>
      <c r="AT646" s="1141"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38" t="e">
        <f t="shared" si="4"/>
        <v>#VALUE!</v>
      </c>
      <c r="DY646" s="1538"/>
      <c r="DZ646" s="1538"/>
      <c r="EA646" s="1538"/>
      <c r="EB646" s="1538"/>
      <c r="EC646" s="1538" t="e">
        <f t="shared" si="5"/>
        <v>#VALUE!</v>
      </c>
      <c r="ED646" s="1538"/>
      <c r="EE646" s="1538"/>
      <c r="EF646" s="1538"/>
      <c r="EG646" s="1538"/>
      <c r="EH646" s="1538" t="e">
        <f t="shared" si="6"/>
        <v>#VALUE!</v>
      </c>
      <c r="EI646" s="1538"/>
      <c r="EJ646" s="1538"/>
      <c r="EK646" s="1538"/>
      <c r="EL646" s="1538"/>
      <c r="EM646" s="1538">
        <f t="shared" si="7"/>
        <v>133.09090909090909</v>
      </c>
      <c r="EN646" s="1538"/>
      <c r="EO646" s="1538"/>
      <c r="EP646" s="1538"/>
      <c r="EQ646" s="1538"/>
      <c r="ER646" s="1538" t="e">
        <f t="shared" si="8"/>
        <v>#VALUE!</v>
      </c>
      <c r="ES646" s="1538"/>
      <c r="ET646" s="1538"/>
      <c r="EU646" s="1538"/>
      <c r="EV646" s="1538"/>
      <c r="EW646" s="1538" t="e">
        <f t="shared" si="9"/>
        <v>#VALUE!</v>
      </c>
      <c r="EX646" s="1538"/>
      <c r="EY646" s="1538"/>
      <c r="EZ646" s="1538"/>
      <c r="FA646" s="1538"/>
    </row>
    <row r="647" spans="1:157" ht="12.95" customHeight="1">
      <c r="B647" s="1539" t="s">
        <v>128</v>
      </c>
      <c r="C647" s="1540"/>
      <c r="D647" s="1540"/>
      <c r="E647" s="1540"/>
      <c r="F647" s="1540"/>
      <c r="G647" s="1540"/>
      <c r="H647" s="1540"/>
      <c r="I647" s="1540"/>
      <c r="J647" s="1540"/>
      <c r="K647" s="1540"/>
      <c r="L647" s="1540"/>
      <c r="M647" s="1540"/>
      <c r="N647" s="1540"/>
      <c r="O647" s="1540"/>
      <c r="P647" s="1540"/>
      <c r="Q647" s="1540"/>
      <c r="R647" s="1540"/>
      <c r="S647" s="1540"/>
      <c r="T647" s="1540"/>
      <c r="U647" s="1540"/>
      <c r="V647" s="1540"/>
      <c r="W647" s="1540"/>
      <c r="X647" s="1540"/>
      <c r="Y647" s="1540"/>
      <c r="Z647" s="1540"/>
      <c r="AA647" s="1540"/>
      <c r="AB647" s="1540"/>
      <c r="AC647" s="1540"/>
      <c r="AD647" s="1540"/>
      <c r="AE647" s="1540"/>
      <c r="AF647" s="1540"/>
      <c r="AG647" s="1540"/>
      <c r="AH647" s="1540"/>
      <c r="AI647" s="1540"/>
      <c r="AJ647" s="1540"/>
      <c r="AK647" s="1540"/>
      <c r="AL647" s="1540"/>
      <c r="AM647" s="1540"/>
      <c r="AN647" s="1541"/>
      <c r="AO647" s="1542">
        <f>SUM(AO635:AR646)</f>
        <v>63779676</v>
      </c>
      <c r="AP647" s="1543"/>
      <c r="AQ647" s="1543"/>
      <c r="AR647" s="1543"/>
      <c r="AS647" s="154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8" t="e">
        <f t="shared" si="4"/>
        <v>#VALUE!</v>
      </c>
      <c r="DY647" s="1538"/>
      <c r="DZ647" s="1538"/>
      <c r="EA647" s="1538"/>
      <c r="EB647" s="1538"/>
      <c r="EC647" s="1538">
        <f t="shared" si="5"/>
        <v>211.18965517241381</v>
      </c>
      <c r="ED647" s="1538"/>
      <c r="EE647" s="1538"/>
      <c r="EF647" s="1538"/>
      <c r="EG647" s="1538"/>
      <c r="EH647" s="1538" t="e">
        <f t="shared" si="6"/>
        <v>#VALUE!</v>
      </c>
      <c r="EI647" s="1538"/>
      <c r="EJ647" s="1538"/>
      <c r="EK647" s="1538"/>
      <c r="EL647" s="1538"/>
      <c r="EM647" s="1538" t="e">
        <f t="shared" si="7"/>
        <v>#VALUE!</v>
      </c>
      <c r="EN647" s="1538"/>
      <c r="EO647" s="1538"/>
      <c r="EP647" s="1538"/>
      <c r="EQ647" s="1538"/>
      <c r="ER647" s="1538" t="e">
        <f t="shared" si="8"/>
        <v>#VALUE!</v>
      </c>
      <c r="ES647" s="1538"/>
      <c r="ET647" s="1538"/>
      <c r="EU647" s="1538"/>
      <c r="EV647" s="1538"/>
      <c r="EW647" s="1538" t="e">
        <f t="shared" si="9"/>
        <v>#VALUE!</v>
      </c>
      <c r="EX647" s="1538"/>
      <c r="EY647" s="1538"/>
      <c r="EZ647" s="1538"/>
      <c r="FA647" s="1538"/>
    </row>
    <row r="648" spans="1:157" ht="12.95" customHeight="1">
      <c r="B648" s="1539" t="s">
        <v>266</v>
      </c>
      <c r="C648" s="1540"/>
      <c r="D648" s="1540"/>
      <c r="E648" s="1540"/>
      <c r="F648" s="1540"/>
      <c r="G648" s="1540"/>
      <c r="H648" s="1540"/>
      <c r="I648" s="1540"/>
      <c r="J648" s="1540"/>
      <c r="K648" s="1540"/>
      <c r="L648" s="1540"/>
      <c r="M648" s="1540"/>
      <c r="N648" s="1540"/>
      <c r="O648" s="1540"/>
      <c r="P648" s="1540"/>
      <c r="Q648" s="1540"/>
      <c r="R648" s="1540"/>
      <c r="S648" s="1540"/>
      <c r="T648" s="1540"/>
      <c r="U648" s="1540"/>
      <c r="V648" s="1540"/>
      <c r="W648" s="1540"/>
      <c r="X648" s="1540"/>
      <c r="Y648" s="1540"/>
      <c r="Z648" s="1540"/>
      <c r="AA648" s="1540"/>
      <c r="AB648" s="1540"/>
      <c r="AC648" s="1540"/>
      <c r="AD648" s="1540"/>
      <c r="AE648" s="1540"/>
      <c r="AF648" s="1540"/>
      <c r="AG648" s="1540"/>
      <c r="AH648" s="1540"/>
      <c r="AI648" s="1540"/>
      <c r="AJ648" s="1540"/>
      <c r="AK648" s="1540"/>
      <c r="AL648" s="1540"/>
      <c r="AM648" s="1540"/>
      <c r="AN648" s="1541"/>
      <c r="AO648" s="1469">
        <v>43767977</v>
      </c>
      <c r="AP648" s="1470"/>
      <c r="AQ648" s="1470"/>
      <c r="AR648" s="1470"/>
      <c r="AS648" s="147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8" t="e">
        <f t="shared" si="4"/>
        <v>#VALUE!</v>
      </c>
      <c r="DY648" s="1538"/>
      <c r="DZ648" s="1538"/>
      <c r="EA648" s="1538"/>
      <c r="EB648" s="1538"/>
      <c r="EC648" s="1538" t="e">
        <f t="shared" si="5"/>
        <v>#VALUE!</v>
      </c>
      <c r="ED648" s="1538"/>
      <c r="EE648" s="1538"/>
      <c r="EF648" s="1538"/>
      <c r="EG648" s="1538"/>
      <c r="EH648" s="1538" t="e">
        <f t="shared" si="6"/>
        <v>#VALUE!</v>
      </c>
      <c r="EI648" s="1538"/>
      <c r="EJ648" s="1538"/>
      <c r="EK648" s="1538"/>
      <c r="EL648" s="1538"/>
      <c r="EM648" s="1538">
        <f t="shared" si="7"/>
        <v>1200.1818181818182</v>
      </c>
      <c r="EN648" s="1538"/>
      <c r="EO648" s="1538"/>
      <c r="EP648" s="1538"/>
      <c r="EQ648" s="1538"/>
      <c r="ER648" s="1538" t="e">
        <f t="shared" si="8"/>
        <v>#VALUE!</v>
      </c>
      <c r="ES648" s="1538"/>
      <c r="ET648" s="1538"/>
      <c r="EU648" s="1538"/>
      <c r="EV648" s="1538"/>
      <c r="EW648" s="1538" t="e">
        <f t="shared" si="9"/>
        <v>#VALUE!</v>
      </c>
      <c r="EX648" s="1538"/>
      <c r="EY648" s="1538"/>
      <c r="EZ648" s="1538"/>
      <c r="FA648" s="1538"/>
    </row>
    <row r="649" spans="1:157" ht="12.95" customHeight="1">
      <c r="B649" s="1701" t="s">
        <v>267</v>
      </c>
      <c r="C649" s="1702"/>
      <c r="D649" s="1702"/>
      <c r="E649" s="1702"/>
      <c r="F649" s="1702"/>
      <c r="G649" s="1702"/>
      <c r="H649" s="1702"/>
      <c r="I649" s="1702"/>
      <c r="J649" s="1702"/>
      <c r="K649" s="1702"/>
      <c r="L649" s="1702"/>
      <c r="M649" s="1702"/>
      <c r="N649" s="1702"/>
      <c r="O649" s="1702"/>
      <c r="P649" s="1702"/>
      <c r="Q649" s="1702"/>
      <c r="R649" s="1702"/>
      <c r="S649" s="1702"/>
      <c r="T649" s="1702"/>
      <c r="U649" s="1702"/>
      <c r="V649" s="1702"/>
      <c r="W649" s="1702"/>
      <c r="X649" s="1702"/>
      <c r="Y649" s="1702"/>
      <c r="Z649" s="1702"/>
      <c r="AA649" s="1702"/>
      <c r="AB649" s="1702"/>
      <c r="AC649" s="1702"/>
      <c r="AD649" s="1702"/>
      <c r="AE649" s="1702"/>
      <c r="AF649" s="1702"/>
      <c r="AG649" s="1702"/>
      <c r="AH649" s="1702"/>
      <c r="AI649" s="1702"/>
      <c r="AJ649" s="1702"/>
      <c r="AK649" s="1702"/>
      <c r="AL649" s="1702"/>
      <c r="AM649" s="1702"/>
      <c r="AN649" s="1703"/>
      <c r="AO649" s="1542">
        <f>AO647+AO648</f>
        <v>107547653</v>
      </c>
      <c r="AP649" s="1543"/>
      <c r="AQ649" s="1543"/>
      <c r="AR649" s="1543"/>
      <c r="AS649" s="154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8" t="e">
        <f t="shared" si="4"/>
        <v>#VALUE!</v>
      </c>
      <c r="DY649" s="1538"/>
      <c r="DZ649" s="1538"/>
      <c r="EA649" s="1538"/>
      <c r="EB649" s="1538"/>
      <c r="EC649" s="1538">
        <f t="shared" si="5"/>
        <v>737.41379310344826</v>
      </c>
      <c r="ED649" s="1538"/>
      <c r="EE649" s="1538"/>
      <c r="EF649" s="1538"/>
      <c r="EG649" s="1538"/>
      <c r="EH649" s="1538" t="e">
        <f t="shared" si="6"/>
        <v>#VALUE!</v>
      </c>
      <c r="EI649" s="1538"/>
      <c r="EJ649" s="1538"/>
      <c r="EK649" s="1538"/>
      <c r="EL649" s="1538"/>
      <c r="EM649" s="1538" t="e">
        <f t="shared" si="7"/>
        <v>#VALUE!</v>
      </c>
      <c r="EN649" s="1538"/>
      <c r="EO649" s="1538"/>
      <c r="EP649" s="1538"/>
      <c r="EQ649" s="1538"/>
      <c r="ER649" s="1538" t="e">
        <f t="shared" si="8"/>
        <v>#VALUE!</v>
      </c>
      <c r="ES649" s="1538"/>
      <c r="ET649" s="1538"/>
      <c r="EU649" s="1538"/>
      <c r="EV649" s="1538"/>
      <c r="EW649" s="1538" t="e">
        <f t="shared" si="9"/>
        <v>#VALUE!</v>
      </c>
      <c r="EX649" s="1538"/>
      <c r="EY649" s="1538"/>
      <c r="EZ649" s="1538"/>
      <c r="FA649" s="1538"/>
    </row>
    <row r="650" spans="1:157" ht="12.95" customHeight="1">
      <c r="B650" s="511"/>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8" t="e">
        <f t="shared" si="4"/>
        <v>#VALUE!</v>
      </c>
      <c r="DY650" s="1538"/>
      <c r="DZ650" s="1538"/>
      <c r="EA650" s="1538"/>
      <c r="EB650" s="1538"/>
      <c r="EC650" s="1538" t="e">
        <f t="shared" si="5"/>
        <v>#VALUE!</v>
      </c>
      <c r="ED650" s="1538"/>
      <c r="EE650" s="1538"/>
      <c r="EF650" s="1538"/>
      <c r="EG650" s="1538"/>
      <c r="EH650" s="1538">
        <f t="shared" si="6"/>
        <v>1717.5483870967741</v>
      </c>
      <c r="EI650" s="1538"/>
      <c r="EJ650" s="1538"/>
      <c r="EK650" s="1538"/>
      <c r="EL650" s="1538"/>
      <c r="EM650" s="1538" t="e">
        <f t="shared" si="7"/>
        <v>#VALUE!</v>
      </c>
      <c r="EN650" s="1538"/>
      <c r="EO650" s="1538"/>
      <c r="EP650" s="1538"/>
      <c r="EQ650" s="1538"/>
      <c r="ER650" s="1538" t="e">
        <f t="shared" si="8"/>
        <v>#VALUE!</v>
      </c>
      <c r="ES650" s="1538"/>
      <c r="ET650" s="1538"/>
      <c r="EU650" s="1538"/>
      <c r="EV650" s="1538"/>
      <c r="EW650" s="1538" t="e">
        <f t="shared" si="9"/>
        <v>#VALUE!</v>
      </c>
      <c r="EX650" s="1538"/>
      <c r="EY650" s="1538"/>
      <c r="EZ650" s="1538"/>
      <c r="FA650" s="1538"/>
    </row>
    <row r="651" spans="1:157" ht="12.95" customHeight="1">
      <c r="A651" s="55" t="s">
        <v>112</v>
      </c>
      <c r="B651" t="s">
        <v>461</v>
      </c>
      <c r="G651" s="1522" t="str">
        <f>C635</f>
        <v>BWE Tax Exempt Perm Loan</v>
      </c>
      <c r="H651" s="1522"/>
      <c r="I651" s="1522"/>
      <c r="J651" s="1522"/>
      <c r="K651" s="1522"/>
      <c r="L651" s="1522"/>
      <c r="M651" s="1522"/>
      <c r="N651" s="1522"/>
      <c r="O651" s="1522"/>
      <c r="P651" s="1522"/>
      <c r="Q651" s="1522"/>
      <c r="R651" s="1522"/>
      <c r="S651" s="8"/>
      <c r="T651" s="55" t="s">
        <v>113</v>
      </c>
      <c r="U651" t="s">
        <v>461</v>
      </c>
      <c r="Z651" s="1522" t="str">
        <f>C636</f>
        <v>LAHD Homes for LA ULA MF</v>
      </c>
      <c r="AA651" s="1522"/>
      <c r="AB651" s="1522"/>
      <c r="AC651" s="1522"/>
      <c r="AD651" s="1522"/>
      <c r="AE651" s="1522"/>
      <c r="AF651" s="1522"/>
      <c r="AG651" s="1522"/>
      <c r="AH651" s="1522"/>
      <c r="AI651" s="1522"/>
      <c r="AJ651" s="1522"/>
      <c r="AK651" s="152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8" t="e">
        <f t="shared" si="4"/>
        <v>#VALUE!</v>
      </c>
      <c r="DY651" s="1538"/>
      <c r="DZ651" s="1538"/>
      <c r="EA651" s="1538"/>
      <c r="EB651" s="1538"/>
      <c r="EC651" s="1538" t="e">
        <f t="shared" si="5"/>
        <v>#VALUE!</v>
      </c>
      <c r="ED651" s="1538"/>
      <c r="EE651" s="1538"/>
      <c r="EF651" s="1538"/>
      <c r="EG651" s="1538"/>
      <c r="EH651" s="1538" t="e">
        <f t="shared" si="6"/>
        <v>#VALUE!</v>
      </c>
      <c r="EI651" s="1538"/>
      <c r="EJ651" s="1538"/>
      <c r="EK651" s="1538"/>
      <c r="EL651" s="1538"/>
      <c r="EM651" s="1538">
        <f t="shared" si="7"/>
        <v>552.4848484848485</v>
      </c>
      <c r="EN651" s="1538"/>
      <c r="EO651" s="1538"/>
      <c r="EP651" s="1538"/>
      <c r="EQ651" s="1538"/>
      <c r="ER651" s="1538" t="e">
        <f t="shared" si="8"/>
        <v>#VALUE!</v>
      </c>
      <c r="ES651" s="1538"/>
      <c r="ET651" s="1538"/>
      <c r="EU651" s="1538"/>
      <c r="EV651" s="1538"/>
      <c r="EW651" s="1538" t="e">
        <f t="shared" si="9"/>
        <v>#VALUE!</v>
      </c>
      <c r="EX651" s="1538"/>
      <c r="EY651" s="1538"/>
      <c r="EZ651" s="1538"/>
      <c r="FA651" s="1538"/>
    </row>
    <row r="652" spans="1:157" ht="12.95" customHeight="1">
      <c r="A652" s="22"/>
      <c r="B652" t="s">
        <v>85</v>
      </c>
      <c r="G652" s="1490" t="s">
        <v>2737</v>
      </c>
      <c r="H652" s="1472"/>
      <c r="I652" s="1472"/>
      <c r="J652" s="1472"/>
      <c r="K652" s="1472"/>
      <c r="L652" s="1472"/>
      <c r="M652" s="1472"/>
      <c r="N652" s="1472"/>
      <c r="O652" s="1472"/>
      <c r="P652" s="1472"/>
      <c r="Q652" s="1472"/>
      <c r="R652" s="1472"/>
      <c r="S652" s="8"/>
      <c r="T652" s="22"/>
      <c r="U652" t="s">
        <v>85</v>
      </c>
      <c r="Z652" s="1490" t="s">
        <v>2727</v>
      </c>
      <c r="AA652" s="1472"/>
      <c r="AB652" s="1472"/>
      <c r="AC652" s="1472"/>
      <c r="AD652" s="1472"/>
      <c r="AE652" s="1472"/>
      <c r="AF652" s="1472"/>
      <c r="AG652" s="1472"/>
      <c r="AH652" s="1472"/>
      <c r="AI652" s="1472"/>
      <c r="AJ652" s="1472"/>
      <c r="AK652" s="1472"/>
      <c r="AV652" s="3"/>
      <c r="AW652" s="3"/>
      <c r="AX652" s="3"/>
      <c r="AY652" s="3"/>
      <c r="AZ652" s="3"/>
      <c r="BA652" s="3"/>
      <c r="BB652" s="3"/>
      <c r="BC652" s="3"/>
      <c r="BD652" s="3"/>
      <c r="BE652" s="3"/>
      <c r="BF652" s="3"/>
      <c r="BG652" s="3"/>
      <c r="BH652" s="3"/>
      <c r="BI652" s="3"/>
      <c r="BJ652" s="3"/>
      <c r="BK652" s="3"/>
      <c r="BL652" s="3"/>
      <c r="BM652" s="3"/>
      <c r="DX652" s="1538" t="e">
        <f t="shared" si="4"/>
        <v>#VALUE!</v>
      </c>
      <c r="DY652" s="1538"/>
      <c r="DZ652" s="1538"/>
      <c r="EA652" s="1538"/>
      <c r="EB652" s="1538"/>
      <c r="EC652" s="1538" t="e">
        <f t="shared" si="5"/>
        <v>#VALUE!</v>
      </c>
      <c r="ED652" s="1538"/>
      <c r="EE652" s="1538"/>
      <c r="EF652" s="1538"/>
      <c r="EG652" s="1538"/>
      <c r="EH652" s="1538" t="e">
        <f t="shared" si="6"/>
        <v>#VALUE!</v>
      </c>
      <c r="EI652" s="1538"/>
      <c r="EJ652" s="1538"/>
      <c r="EK652" s="1538"/>
      <c r="EL652" s="1538"/>
      <c r="EM652" s="1538" t="e">
        <f t="shared" si="7"/>
        <v>#VALUE!</v>
      </c>
      <c r="EN652" s="1538"/>
      <c r="EO652" s="1538"/>
      <c r="EP652" s="1538"/>
      <c r="EQ652" s="1538"/>
      <c r="ER652" s="1538" t="e">
        <f t="shared" si="8"/>
        <v>#VALUE!</v>
      </c>
      <c r="ES652" s="1538"/>
      <c r="ET652" s="1538"/>
      <c r="EU652" s="1538"/>
      <c r="EV652" s="1538"/>
      <c r="EW652" s="1538" t="e">
        <f t="shared" si="9"/>
        <v>#VALUE!</v>
      </c>
      <c r="EX652" s="1538"/>
      <c r="EY652" s="1538"/>
      <c r="EZ652" s="1538"/>
      <c r="FA652" s="1538"/>
    </row>
    <row r="653" spans="1:157" ht="12.95" customHeight="1">
      <c r="A653" s="22"/>
      <c r="B653" t="s">
        <v>578</v>
      </c>
      <c r="G653" s="1490" t="s">
        <v>2738</v>
      </c>
      <c r="H653" s="1472"/>
      <c r="I653" s="1472"/>
      <c r="J653" s="1472"/>
      <c r="K653" s="1472"/>
      <c r="L653" s="1472"/>
      <c r="M653" s="1472"/>
      <c r="N653" s="1472"/>
      <c r="O653" s="1472"/>
      <c r="P653" s="1472"/>
      <c r="Q653" s="1472"/>
      <c r="R653" s="1472"/>
      <c r="T653" s="22"/>
      <c r="U653" t="s">
        <v>578</v>
      </c>
      <c r="Z653" s="1395" t="s">
        <v>2728</v>
      </c>
      <c r="AA653" s="1496"/>
      <c r="AB653" s="1496"/>
      <c r="AC653" s="1496"/>
      <c r="AD653" s="1496"/>
      <c r="AE653" s="1496"/>
      <c r="AF653" s="1496"/>
      <c r="AG653" s="1496"/>
      <c r="AH653" s="1496"/>
      <c r="AI653" s="1496"/>
      <c r="AJ653" s="1496"/>
      <c r="AK653" s="1496"/>
      <c r="AV653" s="3"/>
      <c r="AW653" s="3"/>
      <c r="AX653" s="3"/>
      <c r="AY653" s="3"/>
      <c r="AZ653" s="3"/>
      <c r="BA653" s="3"/>
      <c r="BB653" s="3"/>
      <c r="BC653" s="3"/>
      <c r="BD653" s="3"/>
      <c r="BE653" s="3"/>
      <c r="BF653" s="3"/>
      <c r="BG653" s="3"/>
      <c r="BH653" s="3"/>
      <c r="BI653" s="3"/>
      <c r="BJ653" s="3"/>
      <c r="BK653" s="3"/>
      <c r="BL653" s="3"/>
      <c r="BM653" s="3"/>
      <c r="DX653" s="1538" t="e">
        <f t="shared" si="4"/>
        <v>#VALUE!</v>
      </c>
      <c r="DY653" s="1538"/>
      <c r="DZ653" s="1538"/>
      <c r="EA653" s="1538"/>
      <c r="EB653" s="1538"/>
      <c r="EC653" s="1538" t="e">
        <f t="shared" si="5"/>
        <v>#VALUE!</v>
      </c>
      <c r="ED653" s="1538"/>
      <c r="EE653" s="1538"/>
      <c r="EF653" s="1538"/>
      <c r="EG653" s="1538"/>
      <c r="EH653" s="1538" t="e">
        <f t="shared" si="6"/>
        <v>#VALUE!</v>
      </c>
      <c r="EI653" s="1538"/>
      <c r="EJ653" s="1538"/>
      <c r="EK653" s="1538"/>
      <c r="EL653" s="1538"/>
      <c r="EM653" s="1538" t="e">
        <f t="shared" si="7"/>
        <v>#VALUE!</v>
      </c>
      <c r="EN653" s="1538"/>
      <c r="EO653" s="1538"/>
      <c r="EP653" s="1538"/>
      <c r="EQ653" s="1538"/>
      <c r="ER653" s="1538" t="e">
        <f t="shared" si="8"/>
        <v>#VALUE!</v>
      </c>
      <c r="ES653" s="1538"/>
      <c r="ET653" s="1538"/>
      <c r="EU653" s="1538"/>
      <c r="EV653" s="1538"/>
      <c r="EW653" s="1538" t="e">
        <f t="shared" si="9"/>
        <v>#VALUE!</v>
      </c>
      <c r="EX653" s="1538"/>
      <c r="EY653" s="1538"/>
      <c r="EZ653" s="1538"/>
      <c r="FA653" s="1538"/>
    </row>
    <row r="654" spans="1:157" ht="12.95" customHeight="1">
      <c r="A654" s="22"/>
      <c r="B654" t="s">
        <v>17</v>
      </c>
      <c r="G654" s="1490" t="s">
        <v>2739</v>
      </c>
      <c r="H654" s="1472"/>
      <c r="I654" s="1472"/>
      <c r="J654" s="1472"/>
      <c r="K654" s="1472"/>
      <c r="L654" s="1472"/>
      <c r="M654" s="1472"/>
      <c r="N654" s="1472"/>
      <c r="O654" s="1472"/>
      <c r="P654" s="1472"/>
      <c r="Q654" s="1472"/>
      <c r="R654" s="1472"/>
      <c r="S654" s="8"/>
      <c r="T654" s="22"/>
      <c r="U654" t="s">
        <v>17</v>
      </c>
      <c r="Z654" s="1395" t="s">
        <v>2761</v>
      </c>
      <c r="AA654" s="1496"/>
      <c r="AB654" s="1496"/>
      <c r="AC654" s="1496"/>
      <c r="AD654" s="1496"/>
      <c r="AE654" s="1496"/>
      <c r="AF654" s="1496"/>
      <c r="AG654" s="1496"/>
      <c r="AH654" s="1496"/>
      <c r="AI654" s="1496"/>
      <c r="AJ654" s="1496"/>
      <c r="AK654" s="1496"/>
      <c r="AZ654" s="3"/>
      <c r="BA654" s="3"/>
      <c r="BB654" s="3"/>
      <c r="BC654" s="3"/>
      <c r="BD654" s="3"/>
      <c r="BE654" s="3"/>
      <c r="BF654" s="3"/>
      <c r="BG654" s="3"/>
      <c r="BH654" s="3"/>
      <c r="BI654" s="3"/>
      <c r="BJ654" s="3"/>
      <c r="BK654" s="3"/>
      <c r="BL654" s="3"/>
      <c r="BM654" s="3"/>
      <c r="DX654" s="1538" t="e">
        <f t="shared" si="4"/>
        <v>#VALUE!</v>
      </c>
      <c r="DY654" s="1538"/>
      <c r="DZ654" s="1538"/>
      <c r="EA654" s="1538"/>
      <c r="EB654" s="1538"/>
      <c r="EC654" s="1538" t="e">
        <f t="shared" si="5"/>
        <v>#VALUE!</v>
      </c>
      <c r="ED654" s="1538"/>
      <c r="EE654" s="1538"/>
      <c r="EF654" s="1538"/>
      <c r="EG654" s="1538"/>
      <c r="EH654" s="1538" t="e">
        <f t="shared" si="6"/>
        <v>#VALUE!</v>
      </c>
      <c r="EI654" s="1538"/>
      <c r="EJ654" s="1538"/>
      <c r="EK654" s="1538"/>
      <c r="EL654" s="1538"/>
      <c r="EM654" s="1538" t="e">
        <f t="shared" si="7"/>
        <v>#VALUE!</v>
      </c>
      <c r="EN654" s="1538"/>
      <c r="EO654" s="1538"/>
      <c r="EP654" s="1538"/>
      <c r="EQ654" s="1538"/>
      <c r="ER654" s="1538" t="e">
        <f t="shared" si="8"/>
        <v>#VALUE!</v>
      </c>
      <c r="ES654" s="1538"/>
      <c r="ET654" s="1538"/>
      <c r="EU654" s="1538"/>
      <c r="EV654" s="1538"/>
      <c r="EW654" s="1538" t="e">
        <f t="shared" si="9"/>
        <v>#VALUE!</v>
      </c>
      <c r="EX654" s="1538"/>
      <c r="EY654" s="1538"/>
      <c r="EZ654" s="1538"/>
      <c r="FA654" s="1538"/>
    </row>
    <row r="655" spans="1:157" ht="12.95" customHeight="1">
      <c r="A655" s="22"/>
      <c r="B655" t="s">
        <v>315</v>
      </c>
      <c r="G655" s="1473" t="s">
        <v>2795</v>
      </c>
      <c r="H655" s="1474"/>
      <c r="I655" s="1474"/>
      <c r="J655" s="1474"/>
      <c r="K655" s="1474"/>
      <c r="L655" s="1474"/>
      <c r="O655" s="33" t="s">
        <v>205</v>
      </c>
      <c r="P655" s="1395" t="s">
        <v>589</v>
      </c>
      <c r="Q655" s="1529"/>
      <c r="R655" s="1529"/>
      <c r="S655" s="10"/>
      <c r="T655" s="22"/>
      <c r="U655" t="s">
        <v>315</v>
      </c>
      <c r="Z655" s="1473" t="s">
        <v>2736</v>
      </c>
      <c r="AA655" s="1474"/>
      <c r="AB655" s="1474"/>
      <c r="AC655" s="1474"/>
      <c r="AD655" s="1474"/>
      <c r="AE655" s="1474"/>
      <c r="AH655" s="33" t="s">
        <v>205</v>
      </c>
      <c r="AI655" s="1395" t="s">
        <v>589</v>
      </c>
      <c r="AJ655" s="1529"/>
      <c r="AK655" s="1529"/>
      <c r="AZ655" s="34"/>
      <c r="BA655" s="34"/>
      <c r="BB655" s="34"/>
      <c r="BC655" s="34"/>
      <c r="BD655" s="34"/>
      <c r="BE655" s="34"/>
      <c r="BF655" s="34"/>
      <c r="BG655" s="34"/>
      <c r="BH655" s="34"/>
      <c r="BI655" s="34"/>
      <c r="BJ655" s="34"/>
      <c r="BK655" s="34"/>
      <c r="BL655" s="34"/>
      <c r="BM655" s="34"/>
      <c r="DX655" s="1538" t="e">
        <f t="shared" si="4"/>
        <v>#VALUE!</v>
      </c>
      <c r="DY655" s="1538"/>
      <c r="DZ655" s="1538"/>
      <c r="EA655" s="1538"/>
      <c r="EB655" s="1538"/>
      <c r="EC655" s="1538" t="e">
        <f t="shared" si="5"/>
        <v>#VALUE!</v>
      </c>
      <c r="ED655" s="1538"/>
      <c r="EE655" s="1538"/>
      <c r="EF655" s="1538"/>
      <c r="EG655" s="1538"/>
      <c r="EH655" s="1538" t="e">
        <f t="shared" si="6"/>
        <v>#VALUE!</v>
      </c>
      <c r="EI655" s="1538"/>
      <c r="EJ655" s="1538"/>
      <c r="EK655" s="1538"/>
      <c r="EL655" s="1538"/>
      <c r="EM655" s="1538" t="e">
        <f t="shared" si="7"/>
        <v>#VALUE!</v>
      </c>
      <c r="EN655" s="1538"/>
      <c r="EO655" s="1538"/>
      <c r="EP655" s="1538"/>
      <c r="EQ655" s="1538"/>
      <c r="ER655" s="1538" t="e">
        <f t="shared" si="8"/>
        <v>#VALUE!</v>
      </c>
      <c r="ES655" s="1538"/>
      <c r="ET655" s="1538"/>
      <c r="EU655" s="1538"/>
      <c r="EV655" s="1538"/>
      <c r="EW655" s="1538" t="e">
        <f t="shared" si="9"/>
        <v>#VALUE!</v>
      </c>
      <c r="EX655" s="1538"/>
      <c r="EY655" s="1538"/>
      <c r="EZ655" s="1538"/>
      <c r="FA655" s="1538"/>
    </row>
    <row r="656" spans="1:157" ht="12.95" customHeight="1">
      <c r="A656" s="22"/>
      <c r="B656" t="s">
        <v>18</v>
      </c>
      <c r="H656" s="1490" t="s">
        <v>2805</v>
      </c>
      <c r="I656" s="1472"/>
      <c r="J656" s="1472"/>
      <c r="K656" s="1472"/>
      <c r="L656" s="1472"/>
      <c r="M656" s="1472"/>
      <c r="N656" s="1472"/>
      <c r="O656" s="1472"/>
      <c r="P656" s="1472"/>
      <c r="Q656" s="1472"/>
      <c r="R656" s="1472"/>
      <c r="S656" s="8"/>
      <c r="T656" s="22"/>
      <c r="U656" t="s">
        <v>18</v>
      </c>
      <c r="AA656" s="1472" t="s">
        <v>2069</v>
      </c>
      <c r="AB656" s="1472"/>
      <c r="AC656" s="1472"/>
      <c r="AD656" s="1472"/>
      <c r="AE656" s="1472"/>
      <c r="AF656" s="1472"/>
      <c r="AG656" s="1472"/>
      <c r="AH656" s="1472"/>
      <c r="AI656" s="1472"/>
      <c r="AJ656" s="1472"/>
      <c r="AK656" s="1472"/>
      <c r="AZ656" s="34"/>
      <c r="BA656" s="34"/>
      <c r="BB656" s="34"/>
      <c r="BC656" s="34"/>
      <c r="BD656" s="34"/>
      <c r="BE656" s="34"/>
      <c r="BF656" s="34"/>
      <c r="BG656" s="34"/>
      <c r="BH656" s="34"/>
      <c r="BI656" s="34"/>
      <c r="BJ656" s="34"/>
      <c r="BK656" s="34"/>
      <c r="BL656" s="34"/>
      <c r="BM656" s="34"/>
      <c r="DX656" s="1538" t="e">
        <f t="shared" si="4"/>
        <v>#VALUE!</v>
      </c>
      <c r="DY656" s="1538"/>
      <c r="DZ656" s="1538"/>
      <c r="EA656" s="1538"/>
      <c r="EB656" s="1538"/>
      <c r="EC656" s="1538" t="e">
        <f t="shared" si="5"/>
        <v>#VALUE!</v>
      </c>
      <c r="ED656" s="1538"/>
      <c r="EE656" s="1538"/>
      <c r="EF656" s="1538"/>
      <c r="EG656" s="1538"/>
      <c r="EH656" s="1538" t="e">
        <f t="shared" si="6"/>
        <v>#VALUE!</v>
      </c>
      <c r="EI656" s="1538"/>
      <c r="EJ656" s="1538"/>
      <c r="EK656" s="1538"/>
      <c r="EL656" s="1538"/>
      <c r="EM656" s="1538" t="e">
        <f t="shared" si="7"/>
        <v>#VALUE!</v>
      </c>
      <c r="EN656" s="1538"/>
      <c r="EO656" s="1538"/>
      <c r="EP656" s="1538"/>
      <c r="EQ656" s="1538"/>
      <c r="ER656" s="1538" t="e">
        <f t="shared" si="8"/>
        <v>#VALUE!</v>
      </c>
      <c r="ES656" s="1538"/>
      <c r="ET656" s="1538"/>
      <c r="EU656" s="1538"/>
      <c r="EV656" s="1538"/>
      <c r="EW656" s="1538" t="e">
        <f t="shared" si="9"/>
        <v>#VALUE!</v>
      </c>
      <c r="EX656" s="1538"/>
      <c r="EY656" s="1538"/>
      <c r="EZ656" s="1538"/>
      <c r="FA656" s="1538"/>
    </row>
    <row r="657" spans="1:157" ht="12.95" customHeight="1">
      <c r="A657" s="22"/>
      <c r="B657" t="s">
        <v>20</v>
      </c>
      <c r="N657" s="1352" t="s">
        <v>543</v>
      </c>
      <c r="O657" s="1352"/>
      <c r="T657" s="22"/>
      <c r="U657" t="s">
        <v>20</v>
      </c>
      <c r="AG657" s="1352" t="s">
        <v>543</v>
      </c>
      <c r="AH657" s="1352"/>
      <c r="AZ657" s="34"/>
      <c r="BA657" s="34"/>
      <c r="BB657" s="34"/>
      <c r="BC657" s="34"/>
      <c r="BD657" s="34"/>
      <c r="BE657" s="34"/>
      <c r="BF657" s="34"/>
      <c r="BG657" s="34"/>
      <c r="BH657" s="34"/>
      <c r="BI657" s="34"/>
      <c r="BJ657" s="34"/>
      <c r="BK657" s="34"/>
      <c r="BL657" s="34"/>
      <c r="BM657" s="34"/>
      <c r="DX657" s="1538" t="e">
        <f t="shared" si="4"/>
        <v>#VALUE!</v>
      </c>
      <c r="DY657" s="1538"/>
      <c r="DZ657" s="1538"/>
      <c r="EA657" s="1538"/>
      <c r="EB657" s="1538"/>
      <c r="EC657" s="1538" t="e">
        <f t="shared" si="5"/>
        <v>#VALUE!</v>
      </c>
      <c r="ED657" s="1538"/>
      <c r="EE657" s="1538"/>
      <c r="EF657" s="1538"/>
      <c r="EG657" s="1538"/>
      <c r="EH657" s="1538" t="e">
        <f t="shared" si="6"/>
        <v>#VALUE!</v>
      </c>
      <c r="EI657" s="1538"/>
      <c r="EJ657" s="1538"/>
      <c r="EK657" s="1538"/>
      <c r="EL657" s="1538"/>
      <c r="EM657" s="1538" t="e">
        <f t="shared" si="7"/>
        <v>#VALUE!</v>
      </c>
      <c r="EN657" s="1538"/>
      <c r="EO657" s="1538"/>
      <c r="EP657" s="1538"/>
      <c r="EQ657" s="1538"/>
      <c r="ER657" s="1538" t="e">
        <f t="shared" si="8"/>
        <v>#VALUE!</v>
      </c>
      <c r="ES657" s="1538"/>
      <c r="ET657" s="1538"/>
      <c r="EU657" s="1538"/>
      <c r="EV657" s="1538"/>
      <c r="EW657" s="1538" t="e">
        <f t="shared" si="9"/>
        <v>#VALUE!</v>
      </c>
      <c r="EX657" s="1538"/>
      <c r="EY657" s="1538"/>
      <c r="EZ657" s="1538"/>
      <c r="FA657" s="1538"/>
    </row>
    <row r="658" spans="1:157" ht="12.95" customHeight="1">
      <c r="A658" s="22"/>
      <c r="T658" s="22"/>
      <c r="AZ658" s="34"/>
      <c r="BA658" s="34"/>
      <c r="BB658" s="34"/>
      <c r="BC658" s="34"/>
      <c r="BD658" s="34"/>
      <c r="BE658" s="34"/>
      <c r="BF658" s="34"/>
      <c r="BG658" s="34"/>
      <c r="BH658" s="34"/>
      <c r="BI658" s="34"/>
      <c r="BJ658" s="34"/>
      <c r="BK658" s="34"/>
      <c r="BL658" s="34"/>
      <c r="BM658" s="34"/>
      <c r="DX658" s="1538" t="e">
        <f t="shared" si="4"/>
        <v>#VALUE!</v>
      </c>
      <c r="DY658" s="1538"/>
      <c r="DZ658" s="1538"/>
      <c r="EA658" s="1538"/>
      <c r="EB658" s="1538"/>
      <c r="EC658" s="1538" t="e">
        <f t="shared" si="5"/>
        <v>#VALUE!</v>
      </c>
      <c r="ED658" s="1538"/>
      <c r="EE658" s="1538"/>
      <c r="EF658" s="1538"/>
      <c r="EG658" s="1538"/>
      <c r="EH658" s="1538" t="e">
        <f t="shared" si="6"/>
        <v>#VALUE!</v>
      </c>
      <c r="EI658" s="1538"/>
      <c r="EJ658" s="1538"/>
      <c r="EK658" s="1538"/>
      <c r="EL658" s="1538"/>
      <c r="EM658" s="1538" t="e">
        <f t="shared" si="7"/>
        <v>#VALUE!</v>
      </c>
      <c r="EN658" s="1538"/>
      <c r="EO658" s="1538"/>
      <c r="EP658" s="1538"/>
      <c r="EQ658" s="1538"/>
      <c r="ER658" s="1538" t="e">
        <f t="shared" si="8"/>
        <v>#VALUE!</v>
      </c>
      <c r="ES658" s="1538"/>
      <c r="ET658" s="1538"/>
      <c r="EU658" s="1538"/>
      <c r="EV658" s="1538"/>
      <c r="EW658" s="1538" t="e">
        <f t="shared" si="9"/>
        <v>#VALUE!</v>
      </c>
      <c r="EX658" s="1538"/>
      <c r="EY658" s="1538"/>
      <c r="EZ658" s="1538"/>
      <c r="FA658" s="1538"/>
    </row>
    <row r="659" spans="1:157" ht="12.95" customHeight="1">
      <c r="A659" s="55" t="s">
        <v>119</v>
      </c>
      <c r="B659" t="s">
        <v>461</v>
      </c>
      <c r="G659" s="1522" t="str">
        <f>C637</f>
        <v>HCD AHSC Loan</v>
      </c>
      <c r="H659" s="1522"/>
      <c r="I659" s="1522"/>
      <c r="J659" s="1522"/>
      <c r="K659" s="1522"/>
      <c r="L659" s="1522"/>
      <c r="M659" s="1522"/>
      <c r="N659" s="1522"/>
      <c r="O659" s="1522"/>
      <c r="P659" s="1522"/>
      <c r="Q659" s="1522"/>
      <c r="R659" s="1522"/>
      <c r="T659" s="55" t="s">
        <v>579</v>
      </c>
      <c r="U659" t="s">
        <v>461</v>
      </c>
      <c r="Z659" s="1522" t="str">
        <f>C638</f>
        <v>GP Loan of HCD HRI Grant</v>
      </c>
      <c r="AA659" s="1522"/>
      <c r="AB659" s="1522"/>
      <c r="AC659" s="1522"/>
      <c r="AD659" s="1522"/>
      <c r="AE659" s="1522"/>
      <c r="AF659" s="1522"/>
      <c r="AG659" s="1522"/>
      <c r="AH659" s="1522"/>
      <c r="AI659" s="1522"/>
      <c r="AJ659" s="1522"/>
      <c r="AK659" s="1522"/>
      <c r="AZ659" s="34"/>
      <c r="BA659" s="34"/>
      <c r="BB659" s="34"/>
      <c r="BC659" s="34"/>
      <c r="BD659" s="34"/>
      <c r="BE659" s="34"/>
      <c r="BF659" s="34"/>
      <c r="BG659" s="34"/>
      <c r="BH659" s="34"/>
      <c r="BI659" s="34"/>
      <c r="BJ659" s="34"/>
      <c r="BK659" s="34"/>
      <c r="BL659" s="34"/>
      <c r="BM659" s="34"/>
      <c r="DX659" s="1538" t="e">
        <f t="shared" si="4"/>
        <v>#VALUE!</v>
      </c>
      <c r="DY659" s="1538"/>
      <c r="DZ659" s="1538"/>
      <c r="EA659" s="1538"/>
      <c r="EB659" s="1538"/>
      <c r="EC659" s="1538" t="e">
        <f t="shared" si="5"/>
        <v>#VALUE!</v>
      </c>
      <c r="ED659" s="1538"/>
      <c r="EE659" s="1538"/>
      <c r="EF659" s="1538"/>
      <c r="EG659" s="1538"/>
      <c r="EH659" s="1538" t="e">
        <f t="shared" si="6"/>
        <v>#VALUE!</v>
      </c>
      <c r="EI659" s="1538"/>
      <c r="EJ659" s="1538"/>
      <c r="EK659" s="1538"/>
      <c r="EL659" s="1538"/>
      <c r="EM659" s="1538" t="e">
        <f t="shared" si="7"/>
        <v>#VALUE!</v>
      </c>
      <c r="EN659" s="1538"/>
      <c r="EO659" s="1538"/>
      <c r="EP659" s="1538"/>
      <c r="EQ659" s="1538"/>
      <c r="ER659" s="1538" t="e">
        <f t="shared" si="8"/>
        <v>#VALUE!</v>
      </c>
      <c r="ES659" s="1538"/>
      <c r="ET659" s="1538"/>
      <c r="EU659" s="1538"/>
      <c r="EV659" s="1538"/>
      <c r="EW659" s="1538" t="e">
        <f t="shared" si="9"/>
        <v>#VALUE!</v>
      </c>
      <c r="EX659" s="1538"/>
      <c r="EY659" s="1538"/>
      <c r="EZ659" s="1538"/>
      <c r="FA659" s="1538"/>
    </row>
    <row r="660" spans="1:157" ht="12.95" customHeight="1">
      <c r="A660" s="22"/>
      <c r="B660" t="s">
        <v>85</v>
      </c>
      <c r="G660" s="1472" t="s">
        <v>2742</v>
      </c>
      <c r="H660" s="1472"/>
      <c r="I660" s="1472"/>
      <c r="J660" s="1472"/>
      <c r="K660" s="1472"/>
      <c r="L660" s="1472"/>
      <c r="M660" s="1472"/>
      <c r="N660" s="1472"/>
      <c r="O660" s="1472"/>
      <c r="P660" s="1472"/>
      <c r="Q660" s="1472"/>
      <c r="R660" s="1472"/>
      <c r="T660" s="22"/>
      <c r="U660" t="s">
        <v>85</v>
      </c>
      <c r="Z660" s="1472" t="s">
        <v>2742</v>
      </c>
      <c r="AA660" s="1472"/>
      <c r="AB660" s="1472"/>
      <c r="AC660" s="1472"/>
      <c r="AD660" s="1472"/>
      <c r="AE660" s="1472"/>
      <c r="AF660" s="1472"/>
      <c r="AG660" s="1472"/>
      <c r="AH660" s="1472"/>
      <c r="AI660" s="1472"/>
      <c r="AJ660" s="1472"/>
      <c r="AK660" s="1472"/>
      <c r="AZ660" s="34"/>
      <c r="BA660" s="34"/>
      <c r="BB660" s="34"/>
      <c r="BC660" s="34"/>
      <c r="BD660" s="34"/>
      <c r="BE660" s="34"/>
      <c r="BF660" s="34"/>
      <c r="BG660" s="34"/>
      <c r="BH660" s="34"/>
      <c r="BI660" s="34"/>
      <c r="BJ660" s="34"/>
      <c r="BK660" s="34"/>
      <c r="BL660" s="34"/>
      <c r="BM660" s="34"/>
      <c r="DX660" s="1538" t="e">
        <f t="shared" si="4"/>
        <v>#VALUE!</v>
      </c>
      <c r="DY660" s="1538"/>
      <c r="DZ660" s="1538"/>
      <c r="EA660" s="1538"/>
      <c r="EB660" s="1538"/>
      <c r="EC660" s="1538" t="e">
        <f t="shared" si="5"/>
        <v>#VALUE!</v>
      </c>
      <c r="ED660" s="1538"/>
      <c r="EE660" s="1538"/>
      <c r="EF660" s="1538"/>
      <c r="EG660" s="1538"/>
      <c r="EH660" s="1538" t="e">
        <f t="shared" si="6"/>
        <v>#VALUE!</v>
      </c>
      <c r="EI660" s="1538"/>
      <c r="EJ660" s="1538"/>
      <c r="EK660" s="1538"/>
      <c r="EL660" s="1538"/>
      <c r="EM660" s="1538" t="e">
        <f t="shared" si="7"/>
        <v>#VALUE!</v>
      </c>
      <c r="EN660" s="1538"/>
      <c r="EO660" s="1538"/>
      <c r="EP660" s="1538"/>
      <c r="EQ660" s="1538"/>
      <c r="ER660" s="1538" t="e">
        <f t="shared" si="8"/>
        <v>#VALUE!</v>
      </c>
      <c r="ES660" s="1538"/>
      <c r="ET660" s="1538"/>
      <c r="EU660" s="1538"/>
      <c r="EV660" s="1538"/>
      <c r="EW660" s="1538" t="e">
        <f t="shared" si="9"/>
        <v>#VALUE!</v>
      </c>
      <c r="EX660" s="1538"/>
      <c r="EY660" s="1538"/>
      <c r="EZ660" s="1538"/>
      <c r="FA660" s="1538"/>
    </row>
    <row r="661" spans="1:157" ht="12.95" customHeight="1">
      <c r="A661" s="22"/>
      <c r="B661" t="s">
        <v>578</v>
      </c>
      <c r="G661" s="1496" t="s">
        <v>2743</v>
      </c>
      <c r="H661" s="1496"/>
      <c r="I661" s="1496"/>
      <c r="J661" s="1496"/>
      <c r="K661" s="1496"/>
      <c r="L661" s="1496"/>
      <c r="M661" s="1496"/>
      <c r="N661" s="1496"/>
      <c r="O661" s="1496"/>
      <c r="P661" s="1496"/>
      <c r="Q661" s="1496"/>
      <c r="R661" s="1496"/>
      <c r="T661" s="22"/>
      <c r="U661" t="s">
        <v>578</v>
      </c>
      <c r="Z661" s="1496" t="s">
        <v>2743</v>
      </c>
      <c r="AA661" s="1496"/>
      <c r="AB661" s="1496"/>
      <c r="AC661" s="1496"/>
      <c r="AD661" s="1496"/>
      <c r="AE661" s="1496"/>
      <c r="AF661" s="1496"/>
      <c r="AG661" s="1496"/>
      <c r="AH661" s="1496"/>
      <c r="AI661" s="1496"/>
      <c r="AJ661" s="1496"/>
      <c r="AK661" s="1496"/>
      <c r="AZ661" s="34"/>
      <c r="BA661" s="34"/>
      <c r="BB661" s="34"/>
      <c r="BC661" s="34"/>
      <c r="BD661" s="34"/>
      <c r="BE661" s="34"/>
      <c r="BF661" s="34"/>
      <c r="BG661" s="34"/>
      <c r="BH661" s="34"/>
      <c r="BI661" s="34"/>
      <c r="BJ661" s="34"/>
      <c r="BK661" s="34"/>
      <c r="BL661" s="34"/>
      <c r="BM661" s="34"/>
      <c r="DX661" s="1538" t="e">
        <f t="shared" si="4"/>
        <v>#VALUE!</v>
      </c>
      <c r="DY661" s="1538"/>
      <c r="DZ661" s="1538"/>
      <c r="EA661" s="1538"/>
      <c r="EB661" s="1538"/>
      <c r="EC661" s="1538" t="e">
        <f t="shared" si="5"/>
        <v>#VALUE!</v>
      </c>
      <c r="ED661" s="1538"/>
      <c r="EE661" s="1538"/>
      <c r="EF661" s="1538"/>
      <c r="EG661" s="1538"/>
      <c r="EH661" s="1538" t="e">
        <f t="shared" si="6"/>
        <v>#VALUE!</v>
      </c>
      <c r="EI661" s="1538"/>
      <c r="EJ661" s="1538"/>
      <c r="EK661" s="1538"/>
      <c r="EL661" s="1538"/>
      <c r="EM661" s="1538" t="e">
        <f t="shared" si="7"/>
        <v>#VALUE!</v>
      </c>
      <c r="EN661" s="1538"/>
      <c r="EO661" s="1538"/>
      <c r="EP661" s="1538"/>
      <c r="EQ661" s="1538"/>
      <c r="ER661" s="1538" t="e">
        <f t="shared" si="8"/>
        <v>#VALUE!</v>
      </c>
      <c r="ES661" s="1538"/>
      <c r="ET661" s="1538"/>
      <c r="EU661" s="1538"/>
      <c r="EV661" s="1538"/>
      <c r="EW661" s="1538" t="e">
        <f t="shared" si="9"/>
        <v>#VALUE!</v>
      </c>
      <c r="EX661" s="1538"/>
      <c r="EY661" s="1538"/>
      <c r="EZ661" s="1538"/>
      <c r="FA661" s="1538"/>
    </row>
    <row r="662" spans="1:157" ht="12.95" customHeight="1">
      <c r="A662" s="22"/>
      <c r="B662" t="s">
        <v>17</v>
      </c>
      <c r="G662" s="1496" t="s">
        <v>2796</v>
      </c>
      <c r="H662" s="1496"/>
      <c r="I662" s="1496"/>
      <c r="J662" s="1496"/>
      <c r="K662" s="1496"/>
      <c r="L662" s="1496"/>
      <c r="M662" s="1496"/>
      <c r="N662" s="1496"/>
      <c r="O662" s="1496"/>
      <c r="P662" s="1496"/>
      <c r="Q662" s="1496"/>
      <c r="R662" s="1496"/>
      <c r="T662" s="22"/>
      <c r="U662" t="s">
        <v>17</v>
      </c>
      <c r="Z662" s="1496" t="s">
        <v>2796</v>
      </c>
      <c r="AA662" s="1496"/>
      <c r="AB662" s="1496"/>
      <c r="AC662" s="1496"/>
      <c r="AD662" s="1496"/>
      <c r="AE662" s="1496"/>
      <c r="AF662" s="1496"/>
      <c r="AG662" s="1496"/>
      <c r="AH662" s="1496"/>
      <c r="AI662" s="1496"/>
      <c r="AJ662" s="1496"/>
      <c r="AK662" s="1496"/>
      <c r="AZ662" s="34"/>
      <c r="BA662" s="34"/>
      <c r="BB662" s="34"/>
      <c r="BC662" s="34"/>
      <c r="BD662" s="34"/>
      <c r="BE662" s="34"/>
      <c r="BF662" s="34"/>
      <c r="BG662" s="34"/>
      <c r="BH662" s="34"/>
      <c r="BI662" s="34"/>
      <c r="BJ662" s="34"/>
      <c r="BK662" s="34"/>
      <c r="BL662" s="34"/>
      <c r="BM662" s="34"/>
      <c r="DX662" s="1538" t="e">
        <f t="shared" si="4"/>
        <v>#VALUE!</v>
      </c>
      <c r="DY662" s="1538"/>
      <c r="DZ662" s="1538"/>
      <c r="EA662" s="1538"/>
      <c r="EB662" s="1538"/>
      <c r="EC662" s="1538" t="e">
        <f t="shared" si="5"/>
        <v>#VALUE!</v>
      </c>
      <c r="ED662" s="1538"/>
      <c r="EE662" s="1538"/>
      <c r="EF662" s="1538"/>
      <c r="EG662" s="1538"/>
      <c r="EH662" s="1538" t="e">
        <f t="shared" si="6"/>
        <v>#VALUE!</v>
      </c>
      <c r="EI662" s="1538"/>
      <c r="EJ662" s="1538"/>
      <c r="EK662" s="1538"/>
      <c r="EL662" s="1538"/>
      <c r="EM662" s="1538" t="e">
        <f t="shared" si="7"/>
        <v>#VALUE!</v>
      </c>
      <c r="EN662" s="1538"/>
      <c r="EO662" s="1538"/>
      <c r="EP662" s="1538"/>
      <c r="EQ662" s="1538"/>
      <c r="ER662" s="1538" t="e">
        <f t="shared" si="8"/>
        <v>#VALUE!</v>
      </c>
      <c r="ES662" s="1538"/>
      <c r="ET662" s="1538"/>
      <c r="EU662" s="1538"/>
      <c r="EV662" s="1538"/>
      <c r="EW662" s="1538" t="e">
        <f t="shared" si="9"/>
        <v>#VALUE!</v>
      </c>
      <c r="EX662" s="1538"/>
      <c r="EY662" s="1538"/>
      <c r="EZ662" s="1538"/>
      <c r="FA662" s="1538"/>
    </row>
    <row r="663" spans="1:157" ht="12.95" customHeight="1">
      <c r="A663" s="22"/>
      <c r="B663" t="s">
        <v>315</v>
      </c>
      <c r="G663" s="1474" t="s">
        <v>2797</v>
      </c>
      <c r="H663" s="1474"/>
      <c r="I663" s="1474"/>
      <c r="J663" s="1474"/>
      <c r="K663" s="1474"/>
      <c r="L663" s="1474"/>
      <c r="O663" s="33" t="s">
        <v>205</v>
      </c>
      <c r="P663" s="1395" t="s">
        <v>589</v>
      </c>
      <c r="Q663" s="1529"/>
      <c r="R663" s="1529"/>
      <c r="T663" s="22"/>
      <c r="U663" t="s">
        <v>315</v>
      </c>
      <c r="Z663" s="1474" t="s">
        <v>2797</v>
      </c>
      <c r="AA663" s="1474"/>
      <c r="AB663" s="1474"/>
      <c r="AC663" s="1474"/>
      <c r="AD663" s="1474"/>
      <c r="AE663" s="1474"/>
      <c r="AH663" s="33" t="s">
        <v>205</v>
      </c>
      <c r="AI663" s="1395" t="s">
        <v>589</v>
      </c>
      <c r="AJ663" s="1529"/>
      <c r="AK663" s="1529"/>
      <c r="AZ663" s="34"/>
      <c r="BA663" s="34"/>
      <c r="BB663" s="34"/>
      <c r="BC663" s="34"/>
      <c r="BD663" s="34"/>
      <c r="BE663" s="34"/>
      <c r="BF663" s="34"/>
      <c r="BG663" s="34"/>
      <c r="BH663" s="34"/>
      <c r="BI663" s="34"/>
      <c r="BJ663" s="34"/>
      <c r="BK663" s="34"/>
      <c r="BL663" s="34"/>
      <c r="BM663" s="34"/>
      <c r="DX663" s="1538" t="e">
        <f t="shared" si="4"/>
        <v>#VALUE!</v>
      </c>
      <c r="DY663" s="1538"/>
      <c r="DZ663" s="1538"/>
      <c r="EA663" s="1538"/>
      <c r="EB663" s="1538"/>
      <c r="EC663" s="1538" t="e">
        <f t="shared" si="5"/>
        <v>#VALUE!</v>
      </c>
      <c r="ED663" s="1538"/>
      <c r="EE663" s="1538"/>
      <c r="EF663" s="1538"/>
      <c r="EG663" s="1538"/>
      <c r="EH663" s="1538" t="e">
        <f t="shared" si="6"/>
        <v>#VALUE!</v>
      </c>
      <c r="EI663" s="1538"/>
      <c r="EJ663" s="1538"/>
      <c r="EK663" s="1538"/>
      <c r="EL663" s="1538"/>
      <c r="EM663" s="1538" t="e">
        <f t="shared" si="7"/>
        <v>#VALUE!</v>
      </c>
      <c r="EN663" s="1538"/>
      <c r="EO663" s="1538"/>
      <c r="EP663" s="1538"/>
      <c r="EQ663" s="1538"/>
      <c r="ER663" s="1538" t="e">
        <f t="shared" si="8"/>
        <v>#VALUE!</v>
      </c>
      <c r="ES663" s="1538"/>
      <c r="ET663" s="1538"/>
      <c r="EU663" s="1538"/>
      <c r="EV663" s="1538"/>
      <c r="EW663" s="1538" t="e">
        <f t="shared" si="9"/>
        <v>#VALUE!</v>
      </c>
      <c r="EX663" s="1538"/>
      <c r="EY663" s="1538"/>
      <c r="EZ663" s="1538"/>
      <c r="FA663" s="1538"/>
    </row>
    <row r="664" spans="1:157" ht="12.95" customHeight="1">
      <c r="A664" s="22"/>
      <c r="B664" t="s">
        <v>18</v>
      </c>
      <c r="H664" s="1472" t="s">
        <v>2069</v>
      </c>
      <c r="I664" s="1472"/>
      <c r="J664" s="1472"/>
      <c r="K664" s="1472"/>
      <c r="L664" s="1472"/>
      <c r="M664" s="1472"/>
      <c r="N664" s="1472"/>
      <c r="O664" s="1472"/>
      <c r="P664" s="1472"/>
      <c r="Q664" s="1472"/>
      <c r="R664" s="1472"/>
      <c r="T664" s="22"/>
      <c r="U664" t="s">
        <v>18</v>
      </c>
      <c r="AA664" s="1472" t="s">
        <v>2071</v>
      </c>
      <c r="AB664" s="1472"/>
      <c r="AC664" s="1472"/>
      <c r="AD664" s="1472"/>
      <c r="AE664" s="1472"/>
      <c r="AF664" s="1472"/>
      <c r="AG664" s="1472"/>
      <c r="AH664" s="1472"/>
      <c r="AI664" s="1472"/>
      <c r="AJ664" s="1472"/>
      <c r="AK664" s="1472"/>
      <c r="AZ664" s="34"/>
      <c r="BA664" s="34"/>
      <c r="BB664" s="34"/>
      <c r="BC664" s="34"/>
      <c r="BD664" s="34"/>
      <c r="BE664" s="34"/>
      <c r="BF664" s="34"/>
      <c r="BG664" s="34"/>
      <c r="BH664" s="34"/>
      <c r="BI664" s="34"/>
      <c r="BJ664" s="34"/>
      <c r="BK664" s="34"/>
      <c r="BL664" s="34"/>
      <c r="BM664" s="34"/>
      <c r="DX664" s="1538" t="e">
        <f t="shared" si="4"/>
        <v>#VALUE!</v>
      </c>
      <c r="DY664" s="1538"/>
      <c r="DZ664" s="1538"/>
      <c r="EA664" s="1538"/>
      <c r="EB664" s="1538"/>
      <c r="EC664" s="1538" t="e">
        <f t="shared" si="5"/>
        <v>#VALUE!</v>
      </c>
      <c r="ED664" s="1538"/>
      <c r="EE664" s="1538"/>
      <c r="EF664" s="1538"/>
      <c r="EG664" s="1538"/>
      <c r="EH664" s="1538" t="e">
        <f t="shared" si="6"/>
        <v>#VALUE!</v>
      </c>
      <c r="EI664" s="1538"/>
      <c r="EJ664" s="1538"/>
      <c r="EK664" s="1538"/>
      <c r="EL664" s="1538"/>
      <c r="EM664" s="1538" t="e">
        <f t="shared" si="7"/>
        <v>#VALUE!</v>
      </c>
      <c r="EN664" s="1538"/>
      <c r="EO664" s="1538"/>
      <c r="EP664" s="1538"/>
      <c r="EQ664" s="1538"/>
      <c r="ER664" s="1538" t="e">
        <f t="shared" si="8"/>
        <v>#VALUE!</v>
      </c>
      <c r="ES664" s="1538"/>
      <c r="ET664" s="1538"/>
      <c r="EU664" s="1538"/>
      <c r="EV664" s="1538"/>
      <c r="EW664" s="1538" t="e">
        <f t="shared" si="9"/>
        <v>#VALUE!</v>
      </c>
      <c r="EX664" s="1538"/>
      <c r="EY664" s="1538"/>
      <c r="EZ664" s="1538"/>
      <c r="FA664" s="1538"/>
    </row>
    <row r="665" spans="1:157" ht="12.95" customHeight="1">
      <c r="A665" s="22"/>
      <c r="B665" t="s">
        <v>20</v>
      </c>
      <c r="N665" s="1352" t="s">
        <v>543</v>
      </c>
      <c r="O665" s="1352"/>
      <c r="T665" s="22"/>
      <c r="U665" t="s">
        <v>20</v>
      </c>
      <c r="AG665" s="1352" t="s">
        <v>543</v>
      </c>
      <c r="AH665" s="1352"/>
      <c r="AZ665" s="34"/>
      <c r="BA665" s="34"/>
      <c r="BB665" s="34"/>
      <c r="BC665" s="34"/>
      <c r="BD665" s="34"/>
      <c r="BE665" s="34"/>
      <c r="BF665" s="34"/>
      <c r="BG665" s="34"/>
      <c r="BH665" s="34"/>
      <c r="BI665" s="34"/>
      <c r="BJ665" s="34"/>
      <c r="BK665" s="34"/>
      <c r="BL665" s="34"/>
      <c r="BM665" s="34"/>
      <c r="DX665" s="1538" t="e">
        <f t="shared" si="4"/>
        <v>#VALUE!</v>
      </c>
      <c r="DY665" s="1538"/>
      <c r="DZ665" s="1538"/>
      <c r="EA665" s="1538"/>
      <c r="EB665" s="1538"/>
      <c r="EC665" s="1538" t="e">
        <f t="shared" si="5"/>
        <v>#VALUE!</v>
      </c>
      <c r="ED665" s="1538"/>
      <c r="EE665" s="1538"/>
      <c r="EF665" s="1538"/>
      <c r="EG665" s="1538"/>
      <c r="EH665" s="1538" t="e">
        <f t="shared" si="6"/>
        <v>#VALUE!</v>
      </c>
      <c r="EI665" s="1538"/>
      <c r="EJ665" s="1538"/>
      <c r="EK665" s="1538"/>
      <c r="EL665" s="1538"/>
      <c r="EM665" s="1538" t="e">
        <f t="shared" si="7"/>
        <v>#VALUE!</v>
      </c>
      <c r="EN665" s="1538"/>
      <c r="EO665" s="1538"/>
      <c r="EP665" s="1538"/>
      <c r="EQ665" s="1538"/>
      <c r="ER665" s="1538" t="e">
        <f t="shared" si="8"/>
        <v>#VALUE!</v>
      </c>
      <c r="ES665" s="1538"/>
      <c r="ET665" s="1538"/>
      <c r="EU665" s="1538"/>
      <c r="EV665" s="1538"/>
      <c r="EW665" s="1538" t="e">
        <f t="shared" si="9"/>
        <v>#VALUE!</v>
      </c>
      <c r="EX665" s="1538"/>
      <c r="EY665" s="1538"/>
      <c r="EZ665" s="1538"/>
      <c r="FA665" s="1538"/>
    </row>
    <row r="666" spans="1:157" ht="12.95" customHeight="1">
      <c r="A666" s="22"/>
      <c r="T666" s="22"/>
      <c r="AZ666" s="34"/>
      <c r="BA666" s="34"/>
      <c r="BB666" s="34"/>
      <c r="BC666" s="34"/>
      <c r="BD666" s="34"/>
      <c r="BE666" s="34"/>
      <c r="BF666" s="34"/>
      <c r="BG666" s="34"/>
      <c r="BH666" s="34"/>
      <c r="BI666" s="34"/>
      <c r="BJ666" s="34"/>
      <c r="BK666" s="34"/>
      <c r="BL666" s="34"/>
      <c r="BM666" s="34"/>
      <c r="DX666" s="1538" t="e">
        <f t="shared" si="4"/>
        <v>#VALUE!</v>
      </c>
      <c r="DY666" s="1538"/>
      <c r="DZ666" s="1538"/>
      <c r="EA666" s="1538"/>
      <c r="EB666" s="1538"/>
      <c r="EC666" s="1538" t="e">
        <f t="shared" si="5"/>
        <v>#VALUE!</v>
      </c>
      <c r="ED666" s="1538"/>
      <c r="EE666" s="1538"/>
      <c r="EF666" s="1538"/>
      <c r="EG666" s="1538"/>
      <c r="EH666" s="1538" t="e">
        <f t="shared" si="6"/>
        <v>#VALUE!</v>
      </c>
      <c r="EI666" s="1538"/>
      <c r="EJ666" s="1538"/>
      <c r="EK666" s="1538"/>
      <c r="EL666" s="1538"/>
      <c r="EM666" s="1538" t="e">
        <f t="shared" si="7"/>
        <v>#VALUE!</v>
      </c>
      <c r="EN666" s="1538"/>
      <c r="EO666" s="1538"/>
      <c r="EP666" s="1538"/>
      <c r="EQ666" s="1538"/>
      <c r="ER666" s="1538" t="e">
        <f t="shared" si="8"/>
        <v>#VALUE!</v>
      </c>
      <c r="ES666" s="1538"/>
      <c r="ET666" s="1538"/>
      <c r="EU666" s="1538"/>
      <c r="EV666" s="1538"/>
      <c r="EW666" s="1538" t="e">
        <f t="shared" si="9"/>
        <v>#VALUE!</v>
      </c>
      <c r="EX666" s="1538"/>
      <c r="EY666" s="1538"/>
      <c r="EZ666" s="1538"/>
      <c r="FA666" s="1538"/>
    </row>
    <row r="667" spans="1:157" ht="12.95" customHeight="1">
      <c r="A667" s="55" t="s">
        <v>761</v>
      </c>
      <c r="B667" t="s">
        <v>461</v>
      </c>
      <c r="G667" s="1522" t="str">
        <f>C639</f>
        <v>Deferred Developer Fee</v>
      </c>
      <c r="H667" s="1522"/>
      <c r="I667" s="1522"/>
      <c r="J667" s="1522"/>
      <c r="K667" s="1522"/>
      <c r="L667" s="1522"/>
      <c r="M667" s="1522"/>
      <c r="N667" s="1522"/>
      <c r="O667" s="1522"/>
      <c r="P667" s="1522"/>
      <c r="Q667" s="1522"/>
      <c r="R667" s="1522"/>
      <c r="T667" s="55" t="s">
        <v>582</v>
      </c>
      <c r="U667" t="s">
        <v>461</v>
      </c>
      <c r="Z667" s="1522" t="str">
        <f>C640</f>
        <v>General Partner Equity</v>
      </c>
      <c r="AA667" s="1522"/>
      <c r="AB667" s="1522"/>
      <c r="AC667" s="1522"/>
      <c r="AD667" s="1522"/>
      <c r="AE667" s="1522"/>
      <c r="AF667" s="1522"/>
      <c r="AG667" s="1522"/>
      <c r="AH667" s="1522"/>
      <c r="AI667" s="1522"/>
      <c r="AJ667" s="1522"/>
      <c r="AK667" s="1522"/>
      <c r="AZ667" s="34"/>
      <c r="BA667" s="34"/>
      <c r="BB667" s="34"/>
      <c r="BC667" s="34"/>
      <c r="BD667" s="34"/>
      <c r="BE667" s="34"/>
      <c r="BF667" s="34"/>
      <c r="BG667" s="34"/>
      <c r="BH667" s="34"/>
      <c r="BI667" s="34"/>
      <c r="BJ667" s="34"/>
      <c r="BK667" s="34"/>
      <c r="BL667" s="34"/>
      <c r="BM667" s="34"/>
      <c r="DX667" s="1538" t="e">
        <f t="shared" si="4"/>
        <v>#VALUE!</v>
      </c>
      <c r="DY667" s="1538"/>
      <c r="DZ667" s="1538"/>
      <c r="EA667" s="1538"/>
      <c r="EB667" s="1538"/>
      <c r="EC667" s="1538" t="e">
        <f t="shared" si="5"/>
        <v>#VALUE!</v>
      </c>
      <c r="ED667" s="1538"/>
      <c r="EE667" s="1538"/>
      <c r="EF667" s="1538"/>
      <c r="EG667" s="1538"/>
      <c r="EH667" s="1538" t="e">
        <f t="shared" si="6"/>
        <v>#VALUE!</v>
      </c>
      <c r="EI667" s="1538"/>
      <c r="EJ667" s="1538"/>
      <c r="EK667" s="1538"/>
      <c r="EL667" s="1538"/>
      <c r="EM667" s="1538" t="e">
        <f t="shared" si="7"/>
        <v>#VALUE!</v>
      </c>
      <c r="EN667" s="1538"/>
      <c r="EO667" s="1538"/>
      <c r="EP667" s="1538"/>
      <c r="EQ667" s="1538"/>
      <c r="ER667" s="1538" t="e">
        <f t="shared" si="8"/>
        <v>#VALUE!</v>
      </c>
      <c r="ES667" s="1538"/>
      <c r="ET667" s="1538"/>
      <c r="EU667" s="1538"/>
      <c r="EV667" s="1538"/>
      <c r="EW667" s="1538" t="e">
        <f t="shared" si="9"/>
        <v>#VALUE!</v>
      </c>
      <c r="EX667" s="1538"/>
      <c r="EY667" s="1538"/>
      <c r="EZ667" s="1538"/>
      <c r="FA667" s="1538"/>
    </row>
    <row r="668" spans="1:157" ht="12.95" customHeight="1">
      <c r="A668" s="22"/>
      <c r="B668" t="s">
        <v>85</v>
      </c>
      <c r="G668" s="1490" t="s">
        <v>2642</v>
      </c>
      <c r="H668" s="1472"/>
      <c r="I668" s="1472"/>
      <c r="J668" s="1472"/>
      <c r="K668" s="1472"/>
      <c r="L668" s="1472"/>
      <c r="M668" s="1472"/>
      <c r="N668" s="1472"/>
      <c r="O668" s="1472"/>
      <c r="P668" s="1472"/>
      <c r="Q668" s="1472"/>
      <c r="R668" s="1472"/>
      <c r="T668" s="22"/>
      <c r="U668" t="s">
        <v>85</v>
      </c>
      <c r="Z668" s="1700" t="s">
        <v>2642</v>
      </c>
      <c r="AA668" s="1700"/>
      <c r="AB668" s="1700"/>
      <c r="AC668" s="1700"/>
      <c r="AD668" s="1700"/>
      <c r="AE668" s="1700"/>
      <c r="AF668" s="1700"/>
      <c r="AG668" s="1700"/>
      <c r="AH668" s="1700"/>
      <c r="AI668" s="1700"/>
      <c r="AJ668" s="1700"/>
      <c r="AK668" s="1700"/>
      <c r="AZ668" s="34"/>
      <c r="BA668" s="34"/>
      <c r="BB668" s="34"/>
      <c r="BC668" s="34"/>
      <c r="BD668" s="34"/>
      <c r="BE668" s="34"/>
      <c r="BF668" s="34"/>
      <c r="BG668" s="34"/>
      <c r="BH668" s="34"/>
      <c r="BI668" s="34"/>
      <c r="BJ668" s="34"/>
      <c r="BK668" s="34"/>
      <c r="BL668" s="34"/>
      <c r="BM668" s="34"/>
      <c r="DX668" s="1538" t="e">
        <f t="shared" si="4"/>
        <v>#VALUE!</v>
      </c>
      <c r="DY668" s="1538"/>
      <c r="DZ668" s="1538"/>
      <c r="EA668" s="1538"/>
      <c r="EB668" s="1538"/>
      <c r="EC668" s="1538" t="e">
        <f t="shared" si="5"/>
        <v>#VALUE!</v>
      </c>
      <c r="ED668" s="1538"/>
      <c r="EE668" s="1538"/>
      <c r="EF668" s="1538"/>
      <c r="EG668" s="1538"/>
      <c r="EH668" s="1538" t="e">
        <f t="shared" si="6"/>
        <v>#VALUE!</v>
      </c>
      <c r="EI668" s="1538"/>
      <c r="EJ668" s="1538"/>
      <c r="EK668" s="1538"/>
      <c r="EL668" s="1538"/>
      <c r="EM668" s="1538" t="e">
        <f t="shared" si="7"/>
        <v>#VALUE!</v>
      </c>
      <c r="EN668" s="1538"/>
      <c r="EO668" s="1538"/>
      <c r="EP668" s="1538"/>
      <c r="EQ668" s="1538"/>
      <c r="ER668" s="1538" t="e">
        <f t="shared" si="8"/>
        <v>#VALUE!</v>
      </c>
      <c r="ES668" s="1538"/>
      <c r="ET668" s="1538"/>
      <c r="EU668" s="1538"/>
      <c r="EV668" s="1538"/>
      <c r="EW668" s="1538" t="e">
        <f t="shared" si="9"/>
        <v>#VALUE!</v>
      </c>
      <c r="EX668" s="1538"/>
      <c r="EY668" s="1538"/>
      <c r="EZ668" s="1538"/>
      <c r="FA668" s="1538"/>
    </row>
    <row r="669" spans="1:157" ht="12.95" customHeight="1">
      <c r="A669" s="22"/>
      <c r="B669" t="s">
        <v>578</v>
      </c>
      <c r="G669" s="1472" t="s">
        <v>2646</v>
      </c>
      <c r="H669" s="1472"/>
      <c r="I669" s="1472"/>
      <c r="J669" s="1472"/>
      <c r="K669" s="1472"/>
      <c r="L669" s="1472"/>
      <c r="M669" s="1472"/>
      <c r="N669" s="1472"/>
      <c r="O669" s="1472"/>
      <c r="P669" s="1472"/>
      <c r="Q669" s="1472"/>
      <c r="R669" s="1472"/>
      <c r="T669" s="22"/>
      <c r="U669" t="s">
        <v>578</v>
      </c>
      <c r="Z669" s="1699" t="s">
        <v>2646</v>
      </c>
      <c r="AA669" s="1699"/>
      <c r="AB669" s="1699"/>
      <c r="AC669" s="1699"/>
      <c r="AD669" s="1699"/>
      <c r="AE669" s="1699"/>
      <c r="AF669" s="1699"/>
      <c r="AG669" s="1699"/>
      <c r="AH669" s="1699"/>
      <c r="AI669" s="1699"/>
      <c r="AJ669" s="1699"/>
      <c r="AK669" s="1699"/>
      <c r="AZ669" s="34"/>
      <c r="BA669" s="34"/>
      <c r="BB669" s="34"/>
      <c r="BC669" s="34"/>
      <c r="BD669" s="34"/>
      <c r="BE669" s="34"/>
      <c r="BF669" s="34"/>
      <c r="BG669" s="34"/>
      <c r="BH669" s="34"/>
      <c r="BI669" s="34"/>
      <c r="BJ669" s="34"/>
      <c r="BK669" s="34"/>
      <c r="BL669" s="34"/>
      <c r="BM669" s="34"/>
      <c r="DX669" s="1538" t="e">
        <f t="shared" si="4"/>
        <v>#VALUE!</v>
      </c>
      <c r="DY669" s="1538"/>
      <c r="DZ669" s="1538"/>
      <c r="EA669" s="1538"/>
      <c r="EB669" s="1538"/>
      <c r="EC669" s="1538" t="e">
        <f t="shared" si="5"/>
        <v>#VALUE!</v>
      </c>
      <c r="ED669" s="1538"/>
      <c r="EE669" s="1538"/>
      <c r="EF669" s="1538"/>
      <c r="EG669" s="1538"/>
      <c r="EH669" s="1538" t="e">
        <f t="shared" si="6"/>
        <v>#VALUE!</v>
      </c>
      <c r="EI669" s="1538"/>
      <c r="EJ669" s="1538"/>
      <c r="EK669" s="1538"/>
      <c r="EL669" s="1538"/>
      <c r="EM669" s="1538" t="e">
        <f t="shared" si="7"/>
        <v>#VALUE!</v>
      </c>
      <c r="EN669" s="1538"/>
      <c r="EO669" s="1538"/>
      <c r="EP669" s="1538"/>
      <c r="EQ669" s="1538"/>
      <c r="ER669" s="1538" t="e">
        <f t="shared" si="8"/>
        <v>#VALUE!</v>
      </c>
      <c r="ES669" s="1538"/>
      <c r="ET669" s="1538"/>
      <c r="EU669" s="1538"/>
      <c r="EV669" s="1538"/>
      <c r="EW669" s="1538" t="e">
        <f t="shared" si="9"/>
        <v>#VALUE!</v>
      </c>
      <c r="EX669" s="1538"/>
      <c r="EY669" s="1538"/>
      <c r="EZ669" s="1538"/>
      <c r="FA669" s="1538"/>
    </row>
    <row r="670" spans="1:157" ht="12.95" customHeight="1">
      <c r="A670" s="22"/>
      <c r="B670" t="s">
        <v>17</v>
      </c>
      <c r="G670" s="1472" t="s">
        <v>2698</v>
      </c>
      <c r="H670" s="1472"/>
      <c r="I670" s="1472"/>
      <c r="J670" s="1472"/>
      <c r="K670" s="1472"/>
      <c r="L670" s="1472"/>
      <c r="M670" s="1472"/>
      <c r="N670" s="1472"/>
      <c r="O670" s="1472"/>
      <c r="P670" s="1472"/>
      <c r="Q670" s="1472"/>
      <c r="R670" s="1472"/>
      <c r="T670" s="22"/>
      <c r="U670" t="s">
        <v>17</v>
      </c>
      <c r="Z670" s="1395" t="s">
        <v>2698</v>
      </c>
      <c r="AA670" s="1496"/>
      <c r="AB670" s="1496"/>
      <c r="AC670" s="1496"/>
      <c r="AD670" s="1496"/>
      <c r="AE670" s="1496"/>
      <c r="AF670" s="1496"/>
      <c r="AG670" s="1496"/>
      <c r="AH670" s="1496"/>
      <c r="AI670" s="1496"/>
      <c r="AJ670" s="1496"/>
      <c r="AK670" s="149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8" t="e">
        <f t="shared" si="4"/>
        <v>#VALUE!</v>
      </c>
      <c r="DY670" s="1538"/>
      <c r="DZ670" s="1538"/>
      <c r="EA670" s="1538"/>
      <c r="EB670" s="1538"/>
      <c r="EC670" s="1538" t="e">
        <f t="shared" si="5"/>
        <v>#VALUE!</v>
      </c>
      <c r="ED670" s="1538"/>
      <c r="EE670" s="1538"/>
      <c r="EF670" s="1538"/>
      <c r="EG670" s="1538"/>
      <c r="EH670" s="1538" t="e">
        <f t="shared" si="6"/>
        <v>#VALUE!</v>
      </c>
      <c r="EI670" s="1538"/>
      <c r="EJ670" s="1538"/>
      <c r="EK670" s="1538"/>
      <c r="EL670" s="1538"/>
      <c r="EM670" s="1538" t="e">
        <f t="shared" si="7"/>
        <v>#VALUE!</v>
      </c>
      <c r="EN670" s="1538"/>
      <c r="EO670" s="1538"/>
      <c r="EP670" s="1538"/>
      <c r="EQ670" s="1538"/>
      <c r="ER670" s="1538" t="e">
        <f t="shared" si="8"/>
        <v>#VALUE!</v>
      </c>
      <c r="ES670" s="1538"/>
      <c r="ET670" s="1538"/>
      <c r="EU670" s="1538"/>
      <c r="EV670" s="1538"/>
      <c r="EW670" s="1538" t="e">
        <f t="shared" si="9"/>
        <v>#VALUE!</v>
      </c>
      <c r="EX670" s="1538"/>
      <c r="EY670" s="1538"/>
      <c r="EZ670" s="1538"/>
      <c r="FA670" s="1538"/>
    </row>
    <row r="671" spans="1:157" ht="12.95" customHeight="1">
      <c r="A671" s="22"/>
      <c r="B671" t="s">
        <v>315</v>
      </c>
      <c r="G671" s="1474" t="s">
        <v>2662</v>
      </c>
      <c r="H671" s="1474"/>
      <c r="I671" s="1474"/>
      <c r="J671" s="1474"/>
      <c r="K671" s="1474"/>
      <c r="L671" s="1474"/>
      <c r="O671" s="33" t="s">
        <v>205</v>
      </c>
      <c r="P671" s="1529"/>
      <c r="Q671" s="1529"/>
      <c r="R671" s="1529"/>
      <c r="T671" s="22"/>
      <c r="U671" t="s">
        <v>315</v>
      </c>
      <c r="Z671" s="1474" t="s">
        <v>2662</v>
      </c>
      <c r="AA671" s="1474"/>
      <c r="AB671" s="1474"/>
      <c r="AC671" s="1474"/>
      <c r="AD671" s="1474"/>
      <c r="AE671" s="1474"/>
      <c r="AH671" s="33" t="s">
        <v>205</v>
      </c>
      <c r="AI671" s="1395" t="s">
        <v>589</v>
      </c>
      <c r="AJ671" s="1529"/>
      <c r="AK671" s="152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8" t="e">
        <f t="shared" si="4"/>
        <v>#VALUE!</v>
      </c>
      <c r="DY671" s="1538"/>
      <c r="DZ671" s="1538"/>
      <c r="EA671" s="1538"/>
      <c r="EB671" s="1538"/>
      <c r="EC671" s="1538" t="e">
        <f t="shared" si="5"/>
        <v>#VALUE!</v>
      </c>
      <c r="ED671" s="1538"/>
      <c r="EE671" s="1538"/>
      <c r="EF671" s="1538"/>
      <c r="EG671" s="1538"/>
      <c r="EH671" s="1538" t="e">
        <f t="shared" si="6"/>
        <v>#VALUE!</v>
      </c>
      <c r="EI671" s="1538"/>
      <c r="EJ671" s="1538"/>
      <c r="EK671" s="1538"/>
      <c r="EL671" s="1538"/>
      <c r="EM671" s="1538" t="e">
        <f t="shared" si="7"/>
        <v>#VALUE!</v>
      </c>
      <c r="EN671" s="1538"/>
      <c r="EO671" s="1538"/>
      <c r="EP671" s="1538"/>
      <c r="EQ671" s="1538"/>
      <c r="ER671" s="1538" t="e">
        <f t="shared" si="8"/>
        <v>#VALUE!</v>
      </c>
      <c r="ES671" s="1538"/>
      <c r="ET671" s="1538"/>
      <c r="EU671" s="1538"/>
      <c r="EV671" s="1538"/>
      <c r="EW671" s="1538" t="e">
        <f t="shared" si="9"/>
        <v>#VALUE!</v>
      </c>
      <c r="EX671" s="1538"/>
      <c r="EY671" s="1538"/>
      <c r="EZ671" s="1538"/>
      <c r="FA671" s="1538"/>
    </row>
    <row r="672" spans="1:157" ht="12.95" customHeight="1">
      <c r="A672" s="22"/>
      <c r="B672" t="s">
        <v>18</v>
      </c>
      <c r="H672" s="1490" t="s">
        <v>2260</v>
      </c>
      <c r="I672" s="1472"/>
      <c r="J672" s="1472"/>
      <c r="K672" s="1472"/>
      <c r="L672" s="1472"/>
      <c r="M672" s="1472"/>
      <c r="N672" s="1472"/>
      <c r="O672" s="1472"/>
      <c r="P672" s="1472"/>
      <c r="Q672" s="1472"/>
      <c r="R672" s="1472"/>
      <c r="T672" s="22"/>
      <c r="U672" t="s">
        <v>18</v>
      </c>
      <c r="AA672" s="1490" t="s">
        <v>2063</v>
      </c>
      <c r="AB672" s="1472"/>
      <c r="AC672" s="1472"/>
      <c r="AD672" s="1472"/>
      <c r="AE672" s="1472"/>
      <c r="AF672" s="1472"/>
      <c r="AG672" s="1472"/>
      <c r="AH672" s="1472"/>
      <c r="AI672" s="1472"/>
      <c r="AJ672" s="1472"/>
      <c r="AK672" s="147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8" t="e">
        <f t="shared" si="4"/>
        <v>#VALUE!</v>
      </c>
      <c r="DY672" s="1538"/>
      <c r="DZ672" s="1538"/>
      <c r="EA672" s="1538"/>
      <c r="EB672" s="1538"/>
      <c r="EC672" s="1538" t="e">
        <f t="shared" si="5"/>
        <v>#VALUE!</v>
      </c>
      <c r="ED672" s="1538"/>
      <c r="EE672" s="1538"/>
      <c r="EF672" s="1538"/>
      <c r="EG672" s="1538"/>
      <c r="EH672" s="1538" t="e">
        <f t="shared" si="6"/>
        <v>#VALUE!</v>
      </c>
      <c r="EI672" s="1538"/>
      <c r="EJ672" s="1538"/>
      <c r="EK672" s="1538"/>
      <c r="EL672" s="1538"/>
      <c r="EM672" s="1538" t="e">
        <f t="shared" si="7"/>
        <v>#VALUE!</v>
      </c>
      <c r="EN672" s="1538"/>
      <c r="EO672" s="1538"/>
      <c r="EP672" s="1538"/>
      <c r="EQ672" s="1538"/>
      <c r="ER672" s="1538" t="e">
        <f t="shared" si="8"/>
        <v>#VALUE!</v>
      </c>
      <c r="ES672" s="1538"/>
      <c r="ET672" s="1538"/>
      <c r="EU672" s="1538"/>
      <c r="EV672" s="1538"/>
      <c r="EW672" s="1538" t="e">
        <f t="shared" si="9"/>
        <v>#VALUE!</v>
      </c>
      <c r="EX672" s="1538"/>
      <c r="EY672" s="1538"/>
      <c r="EZ672" s="1538"/>
      <c r="FA672" s="1538"/>
    </row>
    <row r="673" spans="1:157" ht="12.95" customHeight="1">
      <c r="A673" s="22"/>
      <c r="B673" t="s">
        <v>20</v>
      </c>
      <c r="N673" s="1352" t="s">
        <v>543</v>
      </c>
      <c r="O673" s="1352"/>
      <c r="T673" s="22"/>
      <c r="U673" t="s">
        <v>20</v>
      </c>
      <c r="AG673" s="1352" t="s">
        <v>543</v>
      </c>
      <c r="AH673" s="135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8" t="e">
        <f t="shared" si="4"/>
        <v>#VALUE!</v>
      </c>
      <c r="DY673" s="1538"/>
      <c r="DZ673" s="1538"/>
      <c r="EA673" s="1538"/>
      <c r="EB673" s="1538"/>
      <c r="EC673" s="1538" t="e">
        <f t="shared" si="5"/>
        <v>#VALUE!</v>
      </c>
      <c r="ED673" s="1538"/>
      <c r="EE673" s="1538"/>
      <c r="EF673" s="1538"/>
      <c r="EG673" s="1538"/>
      <c r="EH673" s="1538" t="e">
        <f t="shared" si="6"/>
        <v>#VALUE!</v>
      </c>
      <c r="EI673" s="1538"/>
      <c r="EJ673" s="1538"/>
      <c r="EK673" s="1538"/>
      <c r="EL673" s="1538"/>
      <c r="EM673" s="1538" t="e">
        <f t="shared" si="7"/>
        <v>#VALUE!</v>
      </c>
      <c r="EN673" s="1538"/>
      <c r="EO673" s="1538"/>
      <c r="EP673" s="1538"/>
      <c r="EQ673" s="1538"/>
      <c r="ER673" s="1538" t="e">
        <f t="shared" si="8"/>
        <v>#VALUE!</v>
      </c>
      <c r="ES673" s="1538"/>
      <c r="ET673" s="1538"/>
      <c r="EU673" s="1538"/>
      <c r="EV673" s="1538"/>
      <c r="EW673" s="1538" t="e">
        <f t="shared" si="9"/>
        <v>#VALUE!</v>
      </c>
      <c r="EX673" s="1538"/>
      <c r="EY673" s="1538"/>
      <c r="EZ673" s="1538"/>
      <c r="FA673" s="1538"/>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8" t="e">
        <f t="shared" si="4"/>
        <v>#VALUE!</v>
      </c>
      <c r="DY674" s="1538"/>
      <c r="DZ674" s="1538"/>
      <c r="EA674" s="1538"/>
      <c r="EB674" s="1538"/>
      <c r="EC674" s="1538" t="e">
        <f t="shared" si="5"/>
        <v>#VALUE!</v>
      </c>
      <c r="ED674" s="1538"/>
      <c r="EE674" s="1538"/>
      <c r="EF674" s="1538"/>
      <c r="EG674" s="1538"/>
      <c r="EH674" s="1538" t="e">
        <f t="shared" si="6"/>
        <v>#VALUE!</v>
      </c>
      <c r="EI674" s="1538"/>
      <c r="EJ674" s="1538"/>
      <c r="EK674" s="1538"/>
      <c r="EL674" s="1538"/>
      <c r="EM674" s="1538" t="e">
        <f t="shared" si="7"/>
        <v>#VALUE!</v>
      </c>
      <c r="EN674" s="1538"/>
      <c r="EO674" s="1538"/>
      <c r="EP674" s="1538"/>
      <c r="EQ674" s="1538"/>
      <c r="ER674" s="1538" t="e">
        <f t="shared" si="8"/>
        <v>#VALUE!</v>
      </c>
      <c r="ES674" s="1538"/>
      <c r="ET674" s="1538"/>
      <c r="EU674" s="1538"/>
      <c r="EV674" s="1538"/>
      <c r="EW674" s="1538" t="e">
        <f t="shared" si="9"/>
        <v>#VALUE!</v>
      </c>
      <c r="EX674" s="1538"/>
      <c r="EY674" s="1538"/>
      <c r="EZ674" s="1538"/>
      <c r="FA674" s="1538"/>
    </row>
    <row r="675" spans="1:157" ht="12.95" customHeight="1">
      <c r="A675" s="55" t="s">
        <v>453</v>
      </c>
      <c r="B675" t="s">
        <v>461</v>
      </c>
      <c r="G675" s="1522">
        <f>C641</f>
        <v>0</v>
      </c>
      <c r="H675" s="1522"/>
      <c r="I675" s="1522"/>
      <c r="J675" s="1522"/>
      <c r="K675" s="1522"/>
      <c r="L675" s="1522"/>
      <c r="M675" s="1522"/>
      <c r="N675" s="1522"/>
      <c r="O675" s="1522"/>
      <c r="P675" s="1522"/>
      <c r="Q675" s="1522"/>
      <c r="R675" s="1522"/>
      <c r="T675" s="55" t="s">
        <v>454</v>
      </c>
      <c r="U675" t="s">
        <v>461</v>
      </c>
      <c r="Z675" s="1522">
        <f>C642</f>
        <v>0</v>
      </c>
      <c r="AA675" s="1522"/>
      <c r="AB675" s="1522"/>
      <c r="AC675" s="1522"/>
      <c r="AD675" s="1522"/>
      <c r="AE675" s="1522"/>
      <c r="AF675" s="1522"/>
      <c r="AG675" s="1522"/>
      <c r="AH675" s="1522"/>
      <c r="AI675" s="1522"/>
      <c r="AJ675" s="1522"/>
      <c r="AK675" s="152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8" t="e">
        <f t="shared" si="4"/>
        <v>#VALUE!</v>
      </c>
      <c r="DY675" s="1538"/>
      <c r="DZ675" s="1538"/>
      <c r="EA675" s="1538"/>
      <c r="EB675" s="1538"/>
      <c r="EC675" s="1538" t="e">
        <f t="shared" si="5"/>
        <v>#VALUE!</v>
      </c>
      <c r="ED675" s="1538"/>
      <c r="EE675" s="1538"/>
      <c r="EF675" s="1538"/>
      <c r="EG675" s="1538"/>
      <c r="EH675" s="1538" t="e">
        <f t="shared" si="6"/>
        <v>#VALUE!</v>
      </c>
      <c r="EI675" s="1538"/>
      <c r="EJ675" s="1538"/>
      <c r="EK675" s="1538"/>
      <c r="EL675" s="1538"/>
      <c r="EM675" s="1538" t="e">
        <f t="shared" si="7"/>
        <v>#VALUE!</v>
      </c>
      <c r="EN675" s="1538"/>
      <c r="EO675" s="1538"/>
      <c r="EP675" s="1538"/>
      <c r="EQ675" s="1538"/>
      <c r="ER675" s="1538" t="e">
        <f t="shared" si="8"/>
        <v>#VALUE!</v>
      </c>
      <c r="ES675" s="1538"/>
      <c r="ET675" s="1538"/>
      <c r="EU675" s="1538"/>
      <c r="EV675" s="1538"/>
      <c r="EW675" s="1538" t="e">
        <f t="shared" si="9"/>
        <v>#VALUE!</v>
      </c>
      <c r="EX675" s="1538"/>
      <c r="EY675" s="1538"/>
      <c r="EZ675" s="1538"/>
      <c r="FA675" s="1538"/>
    </row>
    <row r="676" spans="1:157" ht="12.95" customHeight="1">
      <c r="A676" s="22"/>
      <c r="B676" t="s">
        <v>85</v>
      </c>
      <c r="G676" s="1472"/>
      <c r="H676" s="1472"/>
      <c r="I676" s="1472"/>
      <c r="J676" s="1472"/>
      <c r="K676" s="1472"/>
      <c r="L676" s="1472"/>
      <c r="M676" s="1472"/>
      <c r="N676" s="1472"/>
      <c r="O676" s="1472"/>
      <c r="P676" s="1472"/>
      <c r="Q676" s="1472"/>
      <c r="R676" s="1472"/>
      <c r="T676" s="22"/>
      <c r="U676" t="s">
        <v>85</v>
      </c>
      <c r="Z676" s="1472"/>
      <c r="AA676" s="1472"/>
      <c r="AB676" s="1472"/>
      <c r="AC676" s="1472"/>
      <c r="AD676" s="1472"/>
      <c r="AE676" s="1472"/>
      <c r="AF676" s="1472"/>
      <c r="AG676" s="1472"/>
      <c r="AH676" s="1472"/>
      <c r="AI676" s="1472"/>
      <c r="AJ676" s="1472"/>
      <c r="AK676" s="147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8" t="e">
        <f t="shared" si="4"/>
        <v>#VALUE!</v>
      </c>
      <c r="DY676" s="1538"/>
      <c r="DZ676" s="1538"/>
      <c r="EA676" s="1538"/>
      <c r="EB676" s="1538"/>
      <c r="EC676" s="1538" t="e">
        <f t="shared" si="5"/>
        <v>#VALUE!</v>
      </c>
      <c r="ED676" s="1538"/>
      <c r="EE676" s="1538"/>
      <c r="EF676" s="1538"/>
      <c r="EG676" s="1538"/>
      <c r="EH676" s="1538" t="e">
        <f t="shared" si="6"/>
        <v>#VALUE!</v>
      </c>
      <c r="EI676" s="1538"/>
      <c r="EJ676" s="1538"/>
      <c r="EK676" s="1538"/>
      <c r="EL676" s="1538"/>
      <c r="EM676" s="1538" t="e">
        <f t="shared" si="7"/>
        <v>#VALUE!</v>
      </c>
      <c r="EN676" s="1538"/>
      <c r="EO676" s="1538"/>
      <c r="EP676" s="1538"/>
      <c r="EQ676" s="1538"/>
      <c r="ER676" s="1538" t="e">
        <f t="shared" si="8"/>
        <v>#VALUE!</v>
      </c>
      <c r="ES676" s="1538"/>
      <c r="ET676" s="1538"/>
      <c r="EU676" s="1538"/>
      <c r="EV676" s="1538"/>
      <c r="EW676" s="1538" t="e">
        <f t="shared" si="9"/>
        <v>#VALUE!</v>
      </c>
      <c r="EX676" s="1538"/>
      <c r="EY676" s="1538"/>
      <c r="EZ676" s="1538"/>
      <c r="FA676" s="1538"/>
    </row>
    <row r="677" spans="1:157" ht="12.95" customHeight="1">
      <c r="A677" s="22"/>
      <c r="B677" t="s">
        <v>578</v>
      </c>
      <c r="G677" s="1472"/>
      <c r="H677" s="1472"/>
      <c r="I677" s="1472"/>
      <c r="J677" s="1472"/>
      <c r="K677" s="1472"/>
      <c r="L677" s="1472"/>
      <c r="M677" s="1472"/>
      <c r="N677" s="1472"/>
      <c r="O677" s="1472"/>
      <c r="P677" s="1472"/>
      <c r="Q677" s="1472"/>
      <c r="R677" s="1472"/>
      <c r="T677" s="22"/>
      <c r="U677" t="s">
        <v>578</v>
      </c>
      <c r="Z677" s="1496"/>
      <c r="AA677" s="1496"/>
      <c r="AB677" s="1496"/>
      <c r="AC677" s="1496"/>
      <c r="AD677" s="1496"/>
      <c r="AE677" s="1496"/>
      <c r="AF677" s="1496"/>
      <c r="AG677" s="1496"/>
      <c r="AH677" s="1496"/>
      <c r="AI677" s="1496"/>
      <c r="AJ677" s="1496"/>
      <c r="AK677" s="149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8" t="e">
        <f t="shared" si="4"/>
        <v>#VALUE!</v>
      </c>
      <c r="DY677" s="1538"/>
      <c r="DZ677" s="1538"/>
      <c r="EA677" s="1538"/>
      <c r="EB677" s="1538"/>
      <c r="EC677" s="1538" t="e">
        <f t="shared" si="5"/>
        <v>#VALUE!</v>
      </c>
      <c r="ED677" s="1538"/>
      <c r="EE677" s="1538"/>
      <c r="EF677" s="1538"/>
      <c r="EG677" s="1538"/>
      <c r="EH677" s="1538" t="e">
        <f t="shared" si="6"/>
        <v>#VALUE!</v>
      </c>
      <c r="EI677" s="1538"/>
      <c r="EJ677" s="1538"/>
      <c r="EK677" s="1538"/>
      <c r="EL677" s="1538"/>
      <c r="EM677" s="1538" t="e">
        <f t="shared" si="7"/>
        <v>#VALUE!</v>
      </c>
      <c r="EN677" s="1538"/>
      <c r="EO677" s="1538"/>
      <c r="EP677" s="1538"/>
      <c r="EQ677" s="1538"/>
      <c r="ER677" s="1538" t="e">
        <f t="shared" si="8"/>
        <v>#VALUE!</v>
      </c>
      <c r="ES677" s="1538"/>
      <c r="ET677" s="1538"/>
      <c r="EU677" s="1538"/>
      <c r="EV677" s="1538"/>
      <c r="EW677" s="1538" t="e">
        <f t="shared" si="9"/>
        <v>#VALUE!</v>
      </c>
      <c r="EX677" s="1538"/>
      <c r="EY677" s="1538"/>
      <c r="EZ677" s="1538"/>
      <c r="FA677" s="1538"/>
    </row>
    <row r="678" spans="1:157" ht="12.95" customHeight="1">
      <c r="A678" s="22"/>
      <c r="B678" t="s">
        <v>17</v>
      </c>
      <c r="G678" s="1472"/>
      <c r="H678" s="1472"/>
      <c r="I678" s="1472"/>
      <c r="J678" s="1472"/>
      <c r="K678" s="1472"/>
      <c r="L678" s="1472"/>
      <c r="M678" s="1472"/>
      <c r="N678" s="1472"/>
      <c r="O678" s="1472"/>
      <c r="P678" s="1472"/>
      <c r="Q678" s="1472"/>
      <c r="R678" s="1472"/>
      <c r="T678" s="22"/>
      <c r="U678" t="s">
        <v>17</v>
      </c>
      <c r="Z678" s="1496"/>
      <c r="AA678" s="1496"/>
      <c r="AB678" s="1496"/>
      <c r="AC678" s="1496"/>
      <c r="AD678" s="1496"/>
      <c r="AE678" s="1496"/>
      <c r="AF678" s="1496"/>
      <c r="AG678" s="1496"/>
      <c r="AH678" s="1496"/>
      <c r="AI678" s="1496"/>
      <c r="AJ678" s="1496"/>
      <c r="AK678" s="149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8">
        <f>SUMIF(DX643:EB677,"&gt;0")</f>
        <v>0</v>
      </c>
      <c r="DY678" s="1538"/>
      <c r="DZ678" s="1538"/>
      <c r="EA678" s="1538"/>
      <c r="EB678" s="1538"/>
      <c r="EC678" s="1538">
        <f>SUMIF(EC643:EG677,"&gt;0")</f>
        <v>1172.3793103448274</v>
      </c>
      <c r="ED678" s="1538"/>
      <c r="EE678" s="1538"/>
      <c r="EF678" s="1538"/>
      <c r="EG678" s="1538"/>
      <c r="EH678" s="1538">
        <f>SUMIF(EH643:EL677,"&gt;0")</f>
        <v>1840.1290322580644</v>
      </c>
      <c r="EI678" s="1538"/>
      <c r="EJ678" s="1538"/>
      <c r="EK678" s="1538"/>
      <c r="EL678" s="1538"/>
      <c r="EM678" s="1538">
        <f>SUMIF(EM643:EQ677,"&gt;0")</f>
        <v>1885.7575757575758</v>
      </c>
      <c r="EN678" s="1538"/>
      <c r="EO678" s="1538"/>
      <c r="EP678" s="1538"/>
      <c r="EQ678" s="1538"/>
      <c r="ER678" s="1538">
        <f>SUMIF(ER643:EV677,"&gt;0")</f>
        <v>0</v>
      </c>
      <c r="ES678" s="1538"/>
      <c r="ET678" s="1538"/>
      <c r="EU678" s="1538"/>
      <c r="EV678" s="1538"/>
      <c r="EW678" s="1538">
        <f>SUMIF(EW643:FA677,"&gt;0")</f>
        <v>0</v>
      </c>
      <c r="EX678" s="1538"/>
      <c r="EY678" s="1538"/>
      <c r="EZ678" s="1538"/>
      <c r="FA678" s="1538"/>
    </row>
    <row r="679" spans="1:157" ht="12.95" customHeight="1">
      <c r="A679" s="22"/>
      <c r="B679" t="s">
        <v>315</v>
      </c>
      <c r="G679" s="1474"/>
      <c r="H679" s="1474"/>
      <c r="I679" s="1474"/>
      <c r="J679" s="1474"/>
      <c r="K679" s="1474"/>
      <c r="L679" s="1474"/>
      <c r="O679" s="33" t="s">
        <v>205</v>
      </c>
      <c r="P679" s="1395"/>
      <c r="Q679" s="1529"/>
      <c r="R679" s="1529"/>
      <c r="T679" s="22"/>
      <c r="U679" t="s">
        <v>315</v>
      </c>
      <c r="Z679" s="1474"/>
      <c r="AA679" s="1474"/>
      <c r="AB679" s="1474"/>
      <c r="AC679" s="1474"/>
      <c r="AD679" s="1474"/>
      <c r="AE679" s="1474"/>
      <c r="AH679" s="33" t="s">
        <v>205</v>
      </c>
      <c r="AI679" s="1529"/>
      <c r="AJ679" s="1529"/>
      <c r="AK679" s="152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90"/>
      <c r="I680" s="1472"/>
      <c r="J680" s="1472"/>
      <c r="K680" s="1472"/>
      <c r="L680" s="1472"/>
      <c r="M680" s="1472"/>
      <c r="N680" s="1472"/>
      <c r="O680" s="1472"/>
      <c r="P680" s="1472"/>
      <c r="Q680" s="1472"/>
      <c r="R680" s="1472"/>
      <c r="T680" s="22"/>
      <c r="U680" t="s">
        <v>18</v>
      </c>
      <c r="AA680" s="1472"/>
      <c r="AB680" s="1472"/>
      <c r="AC680" s="1472"/>
      <c r="AD680" s="1472"/>
      <c r="AE680" s="1472"/>
      <c r="AF680" s="1472"/>
      <c r="AG680" s="1472"/>
      <c r="AH680" s="1472"/>
      <c r="AI680" s="1472"/>
      <c r="AJ680" s="1472"/>
      <c r="AK680" s="147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52"/>
      <c r="O681" s="1352"/>
      <c r="T681" s="22"/>
      <c r="U681" t="s">
        <v>20</v>
      </c>
      <c r="AG681" s="1352"/>
      <c r="AH681" s="1352"/>
      <c r="AZ681" s="3"/>
    </row>
    <row r="682" spans="1:157" ht="12.95" customHeight="1">
      <c r="A682" s="22"/>
      <c r="T682" s="22"/>
      <c r="AZ682" s="3"/>
    </row>
    <row r="683" spans="1:157" ht="12.95" customHeight="1">
      <c r="A683" s="55" t="s">
        <v>459</v>
      </c>
      <c r="B683" t="s">
        <v>461</v>
      </c>
      <c r="G683" s="1522">
        <f>C643</f>
        <v>0</v>
      </c>
      <c r="H683" s="1522"/>
      <c r="I683" s="1522"/>
      <c r="J683" s="1522"/>
      <c r="K683" s="1522"/>
      <c r="L683" s="1522"/>
      <c r="M683" s="1522"/>
      <c r="N683" s="1522"/>
      <c r="O683" s="1522"/>
      <c r="P683" s="1522"/>
      <c r="Q683" s="1522"/>
      <c r="R683" s="1522"/>
      <c r="T683" s="55" t="s">
        <v>644</v>
      </c>
      <c r="U683" t="s">
        <v>461</v>
      </c>
      <c r="Z683" s="1522">
        <f>C644</f>
        <v>0</v>
      </c>
      <c r="AA683" s="1522"/>
      <c r="AB683" s="1522"/>
      <c r="AC683" s="1522"/>
      <c r="AD683" s="1522"/>
      <c r="AE683" s="1522"/>
      <c r="AF683" s="1522"/>
      <c r="AG683" s="1522"/>
      <c r="AH683" s="1522"/>
      <c r="AI683" s="1522"/>
      <c r="AJ683" s="1522"/>
      <c r="AK683" s="1522"/>
      <c r="AZ683" s="3"/>
    </row>
    <row r="684" spans="1:157" ht="12.95" customHeight="1">
      <c r="A684" s="22"/>
      <c r="B684" t="s">
        <v>85</v>
      </c>
      <c r="G684" s="1472"/>
      <c r="H684" s="1472"/>
      <c r="I684" s="1472"/>
      <c r="J684" s="1472"/>
      <c r="K684" s="1472"/>
      <c r="L684" s="1472"/>
      <c r="M684" s="1472"/>
      <c r="N684" s="1472"/>
      <c r="O684" s="1472"/>
      <c r="P684" s="1472"/>
      <c r="Q684" s="1472"/>
      <c r="R684" s="1472"/>
      <c r="T684" s="22"/>
      <c r="U684" t="s">
        <v>85</v>
      </c>
      <c r="Z684" s="1472"/>
      <c r="AA684" s="1472"/>
      <c r="AB684" s="1472"/>
      <c r="AC684" s="1472"/>
      <c r="AD684" s="1472"/>
      <c r="AE684" s="1472"/>
      <c r="AF684" s="1472"/>
      <c r="AG684" s="1472"/>
      <c r="AH684" s="1472"/>
      <c r="AI684" s="1472"/>
      <c r="AJ684" s="1472"/>
      <c r="AK684" s="1472"/>
      <c r="AZ684" s="3"/>
    </row>
    <row r="685" spans="1:157" ht="12.95" customHeight="1">
      <c r="A685" s="22"/>
      <c r="B685" t="s">
        <v>578</v>
      </c>
      <c r="G685" s="1472"/>
      <c r="H685" s="1472"/>
      <c r="I685" s="1472"/>
      <c r="J685" s="1472"/>
      <c r="K685" s="1472"/>
      <c r="L685" s="1472"/>
      <c r="M685" s="1472"/>
      <c r="N685" s="1472"/>
      <c r="O685" s="1472"/>
      <c r="P685" s="1472"/>
      <c r="Q685" s="1472"/>
      <c r="R685" s="1472"/>
      <c r="T685" s="22"/>
      <c r="U685" t="s">
        <v>578</v>
      </c>
      <c r="Z685" s="1496"/>
      <c r="AA685" s="1496"/>
      <c r="AB685" s="1496"/>
      <c r="AC685" s="1496"/>
      <c r="AD685" s="1496"/>
      <c r="AE685" s="1496"/>
      <c r="AF685" s="1496"/>
      <c r="AG685" s="1496"/>
      <c r="AH685" s="1496"/>
      <c r="AI685" s="1496"/>
      <c r="AJ685" s="1496"/>
      <c r="AK685" s="1496"/>
      <c r="AZ685" s="3"/>
    </row>
    <row r="686" spans="1:157" ht="12.95" customHeight="1">
      <c r="A686" s="22"/>
      <c r="B686" t="s">
        <v>17</v>
      </c>
      <c r="G686" s="1472"/>
      <c r="H686" s="1472"/>
      <c r="I686" s="1472"/>
      <c r="J686" s="1472"/>
      <c r="K686" s="1472"/>
      <c r="L686" s="1472"/>
      <c r="M686" s="1472"/>
      <c r="N686" s="1472"/>
      <c r="O686" s="1472"/>
      <c r="P686" s="1472"/>
      <c r="Q686" s="1472"/>
      <c r="R686" s="1472"/>
      <c r="T686" s="22"/>
      <c r="U686" t="s">
        <v>17</v>
      </c>
      <c r="Z686" s="1496"/>
      <c r="AA686" s="1496"/>
      <c r="AB686" s="1496"/>
      <c r="AC686" s="1496"/>
      <c r="AD686" s="1496"/>
      <c r="AE686" s="1496"/>
      <c r="AF686" s="1496"/>
      <c r="AG686" s="1496"/>
      <c r="AH686" s="1496"/>
      <c r="AI686" s="1496"/>
      <c r="AJ686" s="1496"/>
      <c r="AK686" s="1496"/>
      <c r="AZ686" s="3"/>
    </row>
    <row r="687" spans="1:157" ht="12.95" customHeight="1">
      <c r="A687" s="22"/>
      <c r="B687" t="s">
        <v>315</v>
      </c>
      <c r="G687" s="1474"/>
      <c r="H687" s="1474"/>
      <c r="I687" s="1474"/>
      <c r="J687" s="1474"/>
      <c r="K687" s="1474"/>
      <c r="L687" s="1474"/>
      <c r="O687" s="33" t="s">
        <v>205</v>
      </c>
      <c r="P687" s="1529"/>
      <c r="Q687" s="1529"/>
      <c r="R687" s="1529"/>
      <c r="T687" s="22"/>
      <c r="U687" t="s">
        <v>315</v>
      </c>
      <c r="Z687" s="1474"/>
      <c r="AA687" s="1474"/>
      <c r="AB687" s="1474"/>
      <c r="AC687" s="1474"/>
      <c r="AD687" s="1474"/>
      <c r="AE687" s="1474"/>
      <c r="AH687" s="33" t="s">
        <v>205</v>
      </c>
      <c r="AI687" s="1529"/>
      <c r="AJ687" s="1529"/>
      <c r="AK687" s="1529"/>
      <c r="AZ687" s="3"/>
    </row>
    <row r="688" spans="1:157" ht="12.95" customHeight="1">
      <c r="A688" s="22"/>
      <c r="B688" t="s">
        <v>18</v>
      </c>
      <c r="H688" s="1472"/>
      <c r="I688" s="1472"/>
      <c r="J688" s="1472"/>
      <c r="K688" s="1472"/>
      <c r="L688" s="1472"/>
      <c r="M688" s="1472"/>
      <c r="N688" s="1472"/>
      <c r="O688" s="1472"/>
      <c r="P688" s="1472"/>
      <c r="Q688" s="1472"/>
      <c r="R688" s="1472"/>
      <c r="T688" s="22"/>
      <c r="U688" t="s">
        <v>18</v>
      </c>
      <c r="AA688" s="1472"/>
      <c r="AB688" s="1472"/>
      <c r="AC688" s="1472"/>
      <c r="AD688" s="1472"/>
      <c r="AE688" s="1472"/>
      <c r="AF688" s="1472"/>
      <c r="AG688" s="1472"/>
      <c r="AH688" s="1472"/>
      <c r="AI688" s="1472"/>
      <c r="AJ688" s="1472"/>
      <c r="AK688" s="1472"/>
      <c r="AZ688" s="3"/>
    </row>
    <row r="689" spans="1:52" ht="12.95" customHeight="1">
      <c r="A689" s="22"/>
      <c r="B689" t="s">
        <v>20</v>
      </c>
      <c r="N689" s="1352" t="s">
        <v>667</v>
      </c>
      <c r="O689" s="1352"/>
      <c r="T689" s="22"/>
      <c r="U689" t="s">
        <v>20</v>
      </c>
      <c r="AG689" s="1352" t="s">
        <v>667</v>
      </c>
      <c r="AH689" s="1352"/>
      <c r="AZ689" s="3"/>
    </row>
    <row r="690" spans="1:52" ht="12.95" customHeight="1">
      <c r="A690" s="22"/>
      <c r="T690" s="22"/>
      <c r="AZ690" s="3"/>
    </row>
    <row r="691" spans="1:52" ht="12.95" customHeight="1">
      <c r="A691" s="55" t="s">
        <v>361</v>
      </c>
      <c r="B691" t="s">
        <v>461</v>
      </c>
      <c r="G691" s="1522">
        <f>C645</f>
        <v>0</v>
      </c>
      <c r="H691" s="1522"/>
      <c r="I691" s="1522"/>
      <c r="J691" s="1522"/>
      <c r="K691" s="1522"/>
      <c r="L691" s="1522"/>
      <c r="M691" s="1522"/>
      <c r="N691" s="1522"/>
      <c r="O691" s="1522"/>
      <c r="P691" s="1522"/>
      <c r="Q691" s="1522"/>
      <c r="R691" s="1522"/>
      <c r="T691" s="55" t="s">
        <v>362</v>
      </c>
      <c r="U691" t="s">
        <v>461</v>
      </c>
      <c r="Z691" s="1522">
        <f>C646</f>
        <v>0</v>
      </c>
      <c r="AA691" s="1522"/>
      <c r="AB691" s="1522"/>
      <c r="AC691" s="1522"/>
      <c r="AD691" s="1522"/>
      <c r="AE691" s="1522"/>
      <c r="AF691" s="1522"/>
      <c r="AG691" s="1522"/>
      <c r="AH691" s="1522"/>
      <c r="AI691" s="1522"/>
      <c r="AJ691" s="1522"/>
      <c r="AK691" s="1522"/>
      <c r="AZ691" s="3"/>
    </row>
    <row r="692" spans="1:52" ht="12.95" customHeight="1">
      <c r="B692" t="s">
        <v>85</v>
      </c>
      <c r="G692" s="1472"/>
      <c r="H692" s="1472"/>
      <c r="I692" s="1472"/>
      <c r="J692" s="1472"/>
      <c r="K692" s="1472"/>
      <c r="L692" s="1472"/>
      <c r="M692" s="1472"/>
      <c r="N692" s="1472"/>
      <c r="O692" s="1472"/>
      <c r="P692" s="1472"/>
      <c r="Q692" s="1472"/>
      <c r="R692" s="1472"/>
      <c r="T692" s="22"/>
      <c r="U692" t="s">
        <v>85</v>
      </c>
      <c r="Z692" s="1472"/>
      <c r="AA692" s="1472"/>
      <c r="AB692" s="1472"/>
      <c r="AC692" s="1472"/>
      <c r="AD692" s="1472"/>
      <c r="AE692" s="1472"/>
      <c r="AF692" s="1472"/>
      <c r="AG692" s="1472"/>
      <c r="AH692" s="1472"/>
      <c r="AI692" s="1472"/>
      <c r="AJ692" s="1472"/>
      <c r="AK692" s="1472"/>
      <c r="AZ692" s="3"/>
    </row>
    <row r="693" spans="1:52" ht="12.95" customHeight="1">
      <c r="B693" t="s">
        <v>578</v>
      </c>
      <c r="G693" s="1472"/>
      <c r="H693" s="1472"/>
      <c r="I693" s="1472"/>
      <c r="J693" s="1472"/>
      <c r="K693" s="1472"/>
      <c r="L693" s="1472"/>
      <c r="M693" s="1472"/>
      <c r="N693" s="1472"/>
      <c r="O693" s="1472"/>
      <c r="P693" s="1472"/>
      <c r="Q693" s="1472"/>
      <c r="R693" s="1472"/>
      <c r="U693" t="s">
        <v>578</v>
      </c>
      <c r="Z693" s="1496"/>
      <c r="AA693" s="1496"/>
      <c r="AB693" s="1496"/>
      <c r="AC693" s="1496"/>
      <c r="AD693" s="1496"/>
      <c r="AE693" s="1496"/>
      <c r="AF693" s="1496"/>
      <c r="AG693" s="1496"/>
      <c r="AH693" s="1496"/>
      <c r="AI693" s="1496"/>
      <c r="AJ693" s="1496"/>
      <c r="AK693" s="1496"/>
      <c r="AZ693" s="3"/>
    </row>
    <row r="694" spans="1:52" ht="12.95" customHeight="1">
      <c r="B694" t="s">
        <v>17</v>
      </c>
      <c r="G694" s="1472"/>
      <c r="H694" s="1472"/>
      <c r="I694" s="1472"/>
      <c r="J694" s="1472"/>
      <c r="K694" s="1472"/>
      <c r="L694" s="1472"/>
      <c r="M694" s="1472"/>
      <c r="N694" s="1472"/>
      <c r="O694" s="1472"/>
      <c r="P694" s="1472"/>
      <c r="Q694" s="1472"/>
      <c r="R694" s="1472"/>
      <c r="U694" t="s">
        <v>17</v>
      </c>
      <c r="Z694" s="1496"/>
      <c r="AA694" s="1496"/>
      <c r="AB694" s="1496"/>
      <c r="AC694" s="1496"/>
      <c r="AD694" s="1496"/>
      <c r="AE694" s="1496"/>
      <c r="AF694" s="1496"/>
      <c r="AG694" s="1496"/>
      <c r="AH694" s="1496"/>
      <c r="AI694" s="1496"/>
      <c r="AJ694" s="1496"/>
      <c r="AK694" s="1496"/>
      <c r="AZ694" s="3"/>
    </row>
    <row r="695" spans="1:52" ht="12.95" customHeight="1">
      <c r="B695" t="s">
        <v>315</v>
      </c>
      <c r="G695" s="1474"/>
      <c r="H695" s="1474"/>
      <c r="I695" s="1474"/>
      <c r="J695" s="1474"/>
      <c r="K695" s="1474"/>
      <c r="L695" s="1474"/>
      <c r="O695" s="33" t="s">
        <v>205</v>
      </c>
      <c r="P695" s="1529"/>
      <c r="Q695" s="1529"/>
      <c r="R695" s="1529"/>
      <c r="U695" t="s">
        <v>315</v>
      </c>
      <c r="Z695" s="1474"/>
      <c r="AA695" s="1474"/>
      <c r="AB695" s="1474"/>
      <c r="AC695" s="1474"/>
      <c r="AD695" s="1474"/>
      <c r="AE695" s="1474"/>
      <c r="AH695" s="33" t="s">
        <v>205</v>
      </c>
      <c r="AI695" s="1529"/>
      <c r="AJ695" s="1529"/>
      <c r="AK695" s="1529"/>
      <c r="AZ695" s="3"/>
    </row>
    <row r="696" spans="1:52" ht="12.95" customHeight="1">
      <c r="B696" t="s">
        <v>18</v>
      </c>
      <c r="H696" s="1472"/>
      <c r="I696" s="1472"/>
      <c r="J696" s="1472"/>
      <c r="K696" s="1472"/>
      <c r="L696" s="1472"/>
      <c r="M696" s="1472"/>
      <c r="N696" s="1472"/>
      <c r="O696" s="1472"/>
      <c r="P696" s="1472"/>
      <c r="Q696" s="1472"/>
      <c r="R696" s="1472"/>
      <c r="U696" t="s">
        <v>18</v>
      </c>
      <c r="AA696" s="1472"/>
      <c r="AB696" s="1472"/>
      <c r="AC696" s="1472"/>
      <c r="AD696" s="1472"/>
      <c r="AE696" s="1472"/>
      <c r="AF696" s="1472"/>
      <c r="AG696" s="1472"/>
      <c r="AH696" s="1472"/>
      <c r="AI696" s="1472"/>
      <c r="AJ696" s="1472"/>
      <c r="AK696" s="1472"/>
      <c r="AZ696" s="3"/>
    </row>
    <row r="697" spans="1:52" ht="12.95" customHeight="1">
      <c r="B697" t="s">
        <v>20</v>
      </c>
      <c r="N697" s="1352" t="s">
        <v>667</v>
      </c>
      <c r="O697" s="1352"/>
      <c r="U697" t="s">
        <v>20</v>
      </c>
      <c r="AG697" s="1352" t="s">
        <v>667</v>
      </c>
      <c r="AH697" s="1352"/>
      <c r="AZ697" s="3"/>
    </row>
    <row r="698" spans="1:52" ht="12.95" customHeight="1">
      <c r="AZ698" s="3"/>
    </row>
    <row r="699" spans="1:52" ht="12.95" customHeight="1">
      <c r="A699" s="2" t="s">
        <v>574</v>
      </c>
      <c r="C699" s="2" t="s">
        <v>326</v>
      </c>
      <c r="E699" s="130"/>
      <c r="F699" s="130"/>
      <c r="G699" s="130"/>
      <c r="H699" s="130"/>
      <c r="AZ699" s="3"/>
    </row>
    <row r="700" spans="1:52" ht="12.95" customHeight="1">
      <c r="B700" s="135"/>
      <c r="C700" s="135"/>
      <c r="D700" s="1029" t="s">
        <v>2609</v>
      </c>
      <c r="E700" s="135"/>
      <c r="F700" s="135"/>
      <c r="G700" s="135"/>
      <c r="H700" s="135"/>
      <c r="AZ700" s="3"/>
    </row>
    <row r="701" spans="1:52" ht="12.95" customHeight="1">
      <c r="B701" s="135"/>
      <c r="C701" s="135"/>
      <c r="E701" s="136" t="s">
        <v>433</v>
      </c>
      <c r="F701" s="135"/>
      <c r="G701" s="135"/>
      <c r="H701" s="135"/>
      <c r="AE701" s="1352" t="s">
        <v>543</v>
      </c>
      <c r="AF701" s="1352"/>
      <c r="AZ701" s="3"/>
    </row>
    <row r="702" spans="1:52" ht="12.95" customHeight="1">
      <c r="B702" s="135"/>
      <c r="C702" s="135"/>
      <c r="D702" s="136" t="s">
        <v>436</v>
      </c>
      <c r="E702" s="135"/>
      <c r="F702" s="135"/>
      <c r="G702" s="135"/>
      <c r="H702" s="135"/>
      <c r="AE702" s="1352" t="s">
        <v>667</v>
      </c>
      <c r="AF702" s="1352"/>
      <c r="AZ702" s="3"/>
    </row>
    <row r="703" spans="1:52" ht="12.95" customHeight="1">
      <c r="B703" s="135"/>
      <c r="C703" s="135"/>
      <c r="D703" s="136" t="s">
        <v>918</v>
      </c>
      <c r="E703" s="135"/>
      <c r="F703" s="135"/>
      <c r="G703" s="135"/>
      <c r="H703" s="135"/>
      <c r="AE703" s="1729">
        <v>46161</v>
      </c>
      <c r="AF703" s="1730"/>
      <c r="AG703" s="1730"/>
      <c r="AH703" s="1730"/>
      <c r="AI703" s="1730"/>
    </row>
    <row r="704" spans="1:52" ht="12.95" customHeight="1">
      <c r="B704" s="135"/>
      <c r="C704" s="135"/>
      <c r="D704" s="316" t="s">
        <v>981</v>
      </c>
      <c r="E704" s="135"/>
      <c r="F704" s="135"/>
      <c r="G704" s="135"/>
      <c r="H704" s="135"/>
      <c r="AE704" s="1763">
        <v>46252</v>
      </c>
      <c r="AF704" s="1764"/>
      <c r="AG704" s="1764"/>
      <c r="AH704" s="1764"/>
      <c r="AI704" s="1764"/>
    </row>
    <row r="705" spans="1:110" ht="12.95" customHeight="1">
      <c r="B705" s="135"/>
      <c r="C705" s="135"/>
    </row>
    <row r="706" spans="1:110" ht="12.95" customHeight="1">
      <c r="B706" s="135"/>
      <c r="C706" s="135"/>
      <c r="D706" s="136" t="s">
        <v>814</v>
      </c>
      <c r="E706" s="135"/>
      <c r="F706" s="135"/>
      <c r="G706" s="135"/>
      <c r="H706" s="135"/>
      <c r="AE706" s="1730">
        <v>46419</v>
      </c>
      <c r="AF706" s="1730"/>
      <c r="AG706" s="1730"/>
      <c r="AH706" s="1730"/>
      <c r="AI706" s="1730"/>
    </row>
    <row r="707" spans="1:110" ht="12.95" customHeight="1">
      <c r="B707" s="135"/>
      <c r="C707" s="135"/>
      <c r="D707" s="136" t="s">
        <v>434</v>
      </c>
      <c r="E707" s="135"/>
      <c r="F707" s="135"/>
      <c r="G707" s="135"/>
      <c r="H707" s="135"/>
      <c r="AE707" s="1442">
        <v>0.3</v>
      </c>
      <c r="AF707" s="1442"/>
      <c r="AG707" s="1442"/>
      <c r="AH707" s="1442"/>
      <c r="AI707" s="1442"/>
    </row>
    <row r="708" spans="1:110" ht="12.95" customHeight="1">
      <c r="B708" s="135"/>
      <c r="C708" s="135"/>
      <c r="D708" s="136" t="s">
        <v>435</v>
      </c>
      <c r="E708" s="135"/>
      <c r="F708" s="135"/>
      <c r="G708" s="135"/>
      <c r="H708" s="135"/>
      <c r="W708" s="1522" t="str">
        <f>H344</f>
        <v>Los Angeles Housing Department</v>
      </c>
      <c r="X708" s="1522"/>
      <c r="Y708" s="1522"/>
      <c r="Z708" s="1522"/>
      <c r="AA708" s="1522"/>
      <c r="AB708" s="1522"/>
      <c r="AC708" s="1522"/>
      <c r="AD708" s="1522"/>
      <c r="AE708" s="1522"/>
      <c r="AF708" s="1522"/>
      <c r="AG708" s="1522"/>
      <c r="AH708" s="1522"/>
      <c r="AI708" s="1522"/>
      <c r="AJ708" s="1522"/>
      <c r="AK708" s="1522"/>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52" t="s">
        <v>667</v>
      </c>
      <c r="AF710" s="1352"/>
    </row>
    <row r="711" spans="1:110" ht="12.95" customHeight="1">
      <c r="B711" s="135"/>
      <c r="C711" s="135"/>
      <c r="D711" s="136" t="s">
        <v>440</v>
      </c>
      <c r="E711" s="135"/>
      <c r="F711" s="135"/>
      <c r="G711" s="135"/>
      <c r="H711" s="135"/>
      <c r="W711" s="1472" t="s">
        <v>589</v>
      </c>
      <c r="X711" s="1472"/>
      <c r="Y711" s="1472"/>
      <c r="Z711" s="1472"/>
      <c r="AA711" s="1472"/>
      <c r="AB711" s="1472"/>
      <c r="AC711" s="1472"/>
      <c r="AD711" s="1472"/>
      <c r="AE711" s="1472"/>
      <c r="AF711" s="1472"/>
      <c r="AG711" s="1472"/>
      <c r="AH711" s="1472"/>
      <c r="AI711" s="1472"/>
      <c r="AJ711" s="1472"/>
      <c r="AK711" s="1472"/>
    </row>
    <row r="712" spans="1:110" ht="12.95" customHeight="1">
      <c r="B712" s="135"/>
      <c r="C712" s="135"/>
      <c r="D712" s="136" t="s">
        <v>87</v>
      </c>
      <c r="E712" s="135"/>
      <c r="F712" s="135"/>
      <c r="G712" s="135"/>
      <c r="H712" s="135"/>
      <c r="J712" s="1490" t="s">
        <v>589</v>
      </c>
      <c r="K712" s="1472"/>
      <c r="L712" s="1472"/>
      <c r="M712" s="1472"/>
      <c r="N712" s="1472"/>
      <c r="O712" s="1472"/>
      <c r="P712" s="1472"/>
      <c r="Q712" s="1472"/>
      <c r="R712" s="1472"/>
      <c r="S712" s="1472"/>
      <c r="T712" s="1472"/>
      <c r="U712" s="1472"/>
      <c r="V712" s="1472"/>
      <c r="W712" s="1472"/>
      <c r="X712" s="1472"/>
      <c r="BB712" s="34"/>
      <c r="BC712" s="34"/>
      <c r="BD712" s="34"/>
      <c r="BE712" s="3"/>
      <c r="BF712" s="3"/>
      <c r="BJ712" s="3"/>
      <c r="BK712" s="3"/>
      <c r="BL712" s="3"/>
      <c r="BM712" s="3"/>
      <c r="BN712" s="34"/>
      <c r="BO712" s="34"/>
    </row>
    <row r="713" spans="1:110" ht="12.95" customHeight="1">
      <c r="B713" s="135"/>
      <c r="C713" s="135"/>
      <c r="D713" s="136" t="s">
        <v>88</v>
      </c>
      <c r="J713" s="1473" t="s">
        <v>589</v>
      </c>
      <c r="K713" s="1474"/>
      <c r="L713" s="1474"/>
      <c r="M713" s="1474"/>
      <c r="N713" s="1474"/>
      <c r="O713" s="1474"/>
      <c r="P713" s="4" t="s">
        <v>205</v>
      </c>
      <c r="Q713" s="4"/>
      <c r="R713" s="1395" t="s">
        <v>589</v>
      </c>
      <c r="S713" s="1529"/>
      <c r="T713" s="152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441</v>
      </c>
      <c r="W714" s="1472" t="s">
        <v>306</v>
      </c>
      <c r="X714" s="1472"/>
      <c r="Y714" s="1472"/>
      <c r="Z714" s="1472"/>
      <c r="AA714" s="1472"/>
      <c r="AB714" s="1472"/>
      <c r="AC714" s="1472"/>
      <c r="AD714" s="1472"/>
      <c r="AE714" s="1472"/>
      <c r="AF714" s="1472"/>
      <c r="AG714" s="1472"/>
      <c r="AH714" s="1472"/>
      <c r="AI714" s="1472"/>
      <c r="AJ714" s="1472"/>
      <c r="AK714" s="147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90" t="s">
        <v>589</v>
      </c>
      <c r="F715" s="1472"/>
      <c r="G715" s="1472"/>
      <c r="H715" s="1472"/>
      <c r="I715" s="1472"/>
      <c r="J715" s="1472"/>
      <c r="K715" s="1472"/>
      <c r="L715" s="1472"/>
      <c r="M715" s="1472"/>
      <c r="N715" s="1472"/>
      <c r="O715" s="1472"/>
      <c r="P715" s="1472"/>
      <c r="Q715" s="1472"/>
      <c r="R715" s="1472"/>
      <c r="S715" s="1472"/>
      <c r="T715" s="1472"/>
      <c r="U715" s="1472"/>
      <c r="V715" s="1472"/>
      <c r="W715" s="1472"/>
      <c r="X715" s="1472"/>
      <c r="Y715" s="1472"/>
      <c r="Z715" s="1472"/>
      <c r="AA715" s="1472"/>
      <c r="AB715" s="1472"/>
      <c r="AC715" s="1472"/>
      <c r="AD715" s="1472"/>
      <c r="AE715" s="1472"/>
      <c r="AF715" s="1472"/>
      <c r="AG715" s="1472"/>
      <c r="AH715" s="1472"/>
      <c r="AI715" s="1472"/>
      <c r="AJ715" s="1472"/>
      <c r="AK715" s="147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9" t="s">
        <v>95</v>
      </c>
      <c r="B717" s="1279"/>
      <c r="C717" s="1279"/>
      <c r="D717" s="1279"/>
      <c r="E717" s="1279"/>
      <c r="F717" s="1279"/>
      <c r="G717" s="1279"/>
      <c r="H717" s="1279"/>
      <c r="I717" s="1279"/>
      <c r="J717" s="1279"/>
      <c r="K717" s="1279"/>
      <c r="L717" s="1279"/>
      <c r="M717" s="1279"/>
      <c r="N717" s="1279"/>
      <c r="O717" s="1279"/>
      <c r="P717" s="1279"/>
      <c r="Q717" s="1279"/>
      <c r="R717" s="1279"/>
      <c r="S717" s="1279"/>
      <c r="T717" s="1279"/>
      <c r="U717" s="1279"/>
      <c r="V717" s="1279"/>
      <c r="W717" s="1279"/>
      <c r="X717" s="1279"/>
      <c r="Y717" s="1279"/>
      <c r="Z717" s="1279"/>
      <c r="AA717" s="1279"/>
      <c r="AB717" s="1279"/>
      <c r="AC717" s="1279"/>
      <c r="AD717" s="1279"/>
      <c r="AE717" s="1279"/>
      <c r="AF717" s="1279"/>
      <c r="AG717" s="1279"/>
      <c r="AH717" s="1279"/>
      <c r="AI717" s="1279"/>
      <c r="AJ717" s="1279"/>
      <c r="AK717" s="1279"/>
      <c r="AL717" s="1279"/>
      <c r="AM717" s="1279"/>
      <c r="AN717" s="1279"/>
      <c r="AO717" s="1279"/>
      <c r="AP717" s="1279"/>
      <c r="AQ717" s="1279"/>
      <c r="AR717" s="1279"/>
      <c r="AS717" s="1279"/>
      <c r="AT717" s="1279"/>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9"/>
      <c r="B718" s="1279"/>
      <c r="C718" s="1279"/>
      <c r="D718" s="1279"/>
      <c r="E718" s="1279"/>
      <c r="F718" s="1279"/>
      <c r="G718" s="1279"/>
      <c r="H718" s="1279"/>
      <c r="I718" s="1279"/>
      <c r="J718" s="1279"/>
      <c r="K718" s="1279"/>
      <c r="L718" s="1279"/>
      <c r="M718" s="1279"/>
      <c r="N718" s="1279"/>
      <c r="O718" s="1279"/>
      <c r="P718" s="1279"/>
      <c r="Q718" s="1279"/>
      <c r="R718" s="1279"/>
      <c r="S718" s="1279"/>
      <c r="T718" s="1279"/>
      <c r="U718" s="1279"/>
      <c r="V718" s="1279"/>
      <c r="W718" s="1279"/>
      <c r="X718" s="1279"/>
      <c r="Y718" s="1279"/>
      <c r="Z718" s="1279"/>
      <c r="AA718" s="1279"/>
      <c r="AB718" s="1279"/>
      <c r="AC718" s="1279"/>
      <c r="AD718" s="1279"/>
      <c r="AE718" s="1279"/>
      <c r="AF718" s="1279"/>
      <c r="AG718" s="1279"/>
      <c r="AH718" s="1279"/>
      <c r="AI718" s="1279"/>
      <c r="AJ718" s="1279"/>
      <c r="AK718" s="1279"/>
      <c r="AL718" s="1279"/>
      <c r="AM718" s="1279"/>
      <c r="AN718" s="1279"/>
      <c r="AO718" s="1279"/>
      <c r="AP718" s="1279"/>
      <c r="AQ718" s="1279"/>
      <c r="AR718" s="1279"/>
      <c r="AS718" s="1279"/>
      <c r="AT718" s="1279"/>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9"/>
      <c r="B719" s="1279"/>
      <c r="C719" s="1279"/>
      <c r="D719" s="1279"/>
      <c r="E719" s="1279"/>
      <c r="F719" s="1279"/>
      <c r="G719" s="1279"/>
      <c r="H719" s="1279"/>
      <c r="I719" s="1279"/>
      <c r="J719" s="1279"/>
      <c r="K719" s="1279"/>
      <c r="L719" s="1279"/>
      <c r="M719" s="1279"/>
      <c r="N719" s="1279"/>
      <c r="O719" s="1279"/>
      <c r="P719" s="1279"/>
      <c r="Q719" s="1279"/>
      <c r="R719" s="1279"/>
      <c r="S719" s="1279"/>
      <c r="T719" s="1279"/>
      <c r="U719" s="1279"/>
      <c r="V719" s="1279"/>
      <c r="W719" s="1279"/>
      <c r="X719" s="1279"/>
      <c r="Y719" s="1279"/>
      <c r="Z719" s="1279"/>
      <c r="AA719" s="1279"/>
      <c r="AB719" s="1279"/>
      <c r="AC719" s="1279"/>
      <c r="AD719" s="1279"/>
      <c r="AE719" s="1279"/>
      <c r="AF719" s="1279"/>
      <c r="AG719" s="1279"/>
      <c r="AH719" s="1279"/>
      <c r="AI719" s="1279"/>
      <c r="AJ719" s="1279"/>
      <c r="AK719" s="1279"/>
      <c r="AL719" s="1279"/>
      <c r="AM719" s="1279"/>
      <c r="AN719" s="1279"/>
      <c r="AO719" s="1279"/>
      <c r="AP719" s="1279"/>
      <c r="AQ719" s="1279"/>
      <c r="AR719" s="1279"/>
      <c r="AS719" s="1279"/>
      <c r="AT719" s="127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1"/>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9" t="s">
        <v>388</v>
      </c>
      <c r="C722" s="1430"/>
      <c r="D722" s="1430"/>
      <c r="E722" s="1430"/>
      <c r="F722" s="1431"/>
      <c r="G722" s="1429" t="s">
        <v>284</v>
      </c>
      <c r="H722" s="1430"/>
      <c r="I722" s="1430"/>
      <c r="J722" s="1431"/>
      <c r="K722" s="1732" t="s">
        <v>1666</v>
      </c>
      <c r="L722" s="1733"/>
      <c r="M722" s="1733"/>
      <c r="N722" s="1734"/>
      <c r="O722" s="1429" t="s">
        <v>445</v>
      </c>
      <c r="P722" s="1430"/>
      <c r="Q722" s="1430"/>
      <c r="R722" s="1430"/>
      <c r="S722" s="1431"/>
      <c r="T722" s="1697" t="s">
        <v>1921</v>
      </c>
      <c r="U722" s="1430"/>
      <c r="V722" s="1430"/>
      <c r="W722" s="1431"/>
      <c r="X722" s="1697" t="s">
        <v>1923</v>
      </c>
      <c r="Y722" s="1430"/>
      <c r="Z722" s="1430"/>
      <c r="AA722" s="1430"/>
      <c r="AB722" s="1431"/>
      <c r="AC722" s="1697" t="s">
        <v>1922</v>
      </c>
      <c r="AD722" s="1430"/>
      <c r="AE722" s="1430"/>
      <c r="AF722" s="1430"/>
      <c r="AG722" s="1431"/>
      <c r="AH722" s="1697" t="s">
        <v>1924</v>
      </c>
      <c r="AI722" s="1430"/>
      <c r="AJ722" s="1431"/>
      <c r="AK722" s="1697" t="s">
        <v>1951</v>
      </c>
      <c r="AL722" s="1430"/>
      <c r="AM722" s="1430"/>
      <c r="AN722" s="1430"/>
      <c r="AO722" s="1431"/>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32"/>
      <c r="C723" s="1433"/>
      <c r="D723" s="1433"/>
      <c r="E723" s="1433"/>
      <c r="F723" s="1434"/>
      <c r="G723" s="1432"/>
      <c r="H723" s="1433"/>
      <c r="I723" s="1433"/>
      <c r="J723" s="1434"/>
      <c r="K723" s="1735"/>
      <c r="L723" s="1736"/>
      <c r="M723" s="1736"/>
      <c r="N723" s="1737"/>
      <c r="O723" s="1432"/>
      <c r="P723" s="1433"/>
      <c r="Q723" s="1433"/>
      <c r="R723" s="1433"/>
      <c r="S723" s="1434"/>
      <c r="T723" s="1432"/>
      <c r="U723" s="1433"/>
      <c r="V723" s="1433"/>
      <c r="W723" s="1434"/>
      <c r="X723" s="1432"/>
      <c r="Y723" s="1433"/>
      <c r="Z723" s="1433"/>
      <c r="AA723" s="1433"/>
      <c r="AB723" s="1434"/>
      <c r="AC723" s="1432"/>
      <c r="AD723" s="1433"/>
      <c r="AE723" s="1433"/>
      <c r="AF723" s="1433"/>
      <c r="AG723" s="1434"/>
      <c r="AH723" s="1432"/>
      <c r="AI723" s="1433"/>
      <c r="AJ723" s="1434"/>
      <c r="AK723" s="1432"/>
      <c r="AL723" s="1433"/>
      <c r="AM723" s="1433"/>
      <c r="AN723" s="1433"/>
      <c r="AO723" s="143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32"/>
      <c r="C724" s="1433"/>
      <c r="D724" s="1433"/>
      <c r="E724" s="1433"/>
      <c r="F724" s="1434"/>
      <c r="G724" s="1432"/>
      <c r="H724" s="1433"/>
      <c r="I724" s="1433"/>
      <c r="J724" s="1434"/>
      <c r="K724" s="1735"/>
      <c r="L724" s="1736"/>
      <c r="M724" s="1736"/>
      <c r="N724" s="1737"/>
      <c r="O724" s="1432"/>
      <c r="P724" s="1433"/>
      <c r="Q724" s="1433"/>
      <c r="R724" s="1433"/>
      <c r="S724" s="1434"/>
      <c r="T724" s="1432"/>
      <c r="U724" s="1433"/>
      <c r="V724" s="1433"/>
      <c r="W724" s="1434"/>
      <c r="X724" s="1432"/>
      <c r="Y724" s="1433"/>
      <c r="Z724" s="1433"/>
      <c r="AA724" s="1433"/>
      <c r="AB724" s="1434"/>
      <c r="AC724" s="1432"/>
      <c r="AD724" s="1433"/>
      <c r="AE724" s="1433"/>
      <c r="AF724" s="1433"/>
      <c r="AG724" s="1434"/>
      <c r="AH724" s="1432"/>
      <c r="AI724" s="1433"/>
      <c r="AJ724" s="1434"/>
      <c r="AK724" s="1432"/>
      <c r="AL724" s="1433"/>
      <c r="AM724" s="1433"/>
      <c r="AN724" s="1433"/>
      <c r="AO724" s="1434"/>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5"/>
      <c r="C725" s="1436"/>
      <c r="D725" s="1436"/>
      <c r="E725" s="1436"/>
      <c r="F725" s="1437"/>
      <c r="G725" s="1435"/>
      <c r="H725" s="1436"/>
      <c r="I725" s="1436"/>
      <c r="J725" s="1437"/>
      <c r="K725" s="1735"/>
      <c r="L725" s="1736"/>
      <c r="M725" s="1736"/>
      <c r="N725" s="1737"/>
      <c r="O725" s="1435"/>
      <c r="P725" s="1436"/>
      <c r="Q725" s="1436"/>
      <c r="R725" s="1436"/>
      <c r="S725" s="1437"/>
      <c r="T725" s="1435"/>
      <c r="U725" s="1436"/>
      <c r="V725" s="1436"/>
      <c r="W725" s="1437"/>
      <c r="X725" s="1435"/>
      <c r="Y725" s="1436"/>
      <c r="Z725" s="1436"/>
      <c r="AA725" s="1436"/>
      <c r="AB725" s="1437"/>
      <c r="AC725" s="1435"/>
      <c r="AD725" s="1436"/>
      <c r="AE725" s="1436"/>
      <c r="AF725" s="1436"/>
      <c r="AG725" s="1437"/>
      <c r="AH725" s="1435"/>
      <c r="AI725" s="1436"/>
      <c r="AJ725" s="1437"/>
      <c r="AK725" s="1435"/>
      <c r="AL725" s="1436"/>
      <c r="AM725" s="1436"/>
      <c r="AN725" s="1436"/>
      <c r="AO725" s="1437"/>
      <c r="AP725" s="3"/>
      <c r="AQ725" s="3"/>
      <c r="AR725" s="3"/>
      <c r="AS725" s="3"/>
      <c r="AZ725" s="166" t="s">
        <v>647</v>
      </c>
      <c r="BA725" s="3"/>
      <c r="BB725" s="3"/>
      <c r="BC725" s="3"/>
      <c r="BD725" s="3"/>
      <c r="BE725" s="204"/>
      <c r="BF725" s="290" t="s">
        <v>894</v>
      </c>
      <c r="BG725" s="295" t="s">
        <v>895</v>
      </c>
      <c r="BH725" s="294" t="s">
        <v>896</v>
      </c>
      <c r="BI725" s="3"/>
      <c r="BJ725" s="3"/>
      <c r="BK725" s="3"/>
      <c r="BL725" s="3"/>
      <c r="BM725" s="3"/>
      <c r="BN725" s="3"/>
      <c r="BS725" s="290" t="s">
        <v>894</v>
      </c>
      <c r="BT725" s="295" t="s">
        <v>895</v>
      </c>
      <c r="BU725" s="294" t="s">
        <v>896</v>
      </c>
      <c r="CC725" s="3"/>
      <c r="CD725" s="3"/>
      <c r="CE725" s="3"/>
      <c r="CF725" s="3"/>
      <c r="CG725" s="121" t="s">
        <v>472</v>
      </c>
      <c r="CH725" s="122"/>
      <c r="CI725" s="1552"/>
      <c r="CJ725" s="1553"/>
      <c r="CK725" s="121" t="s">
        <v>473</v>
      </c>
      <c r="CL725" s="122"/>
      <c r="CM725" s="1552"/>
      <c r="CN725" s="1553"/>
      <c r="CO725" s="3"/>
      <c r="CP725" s="1448" t="s">
        <v>631</v>
      </c>
      <c r="CQ725" s="1449"/>
      <c r="CR725" s="1449"/>
      <c r="CS725" s="1449"/>
      <c r="CT725" s="1450"/>
      <c r="CU725" s="1555" t="s">
        <v>324</v>
      </c>
      <c r="CV725" s="1555"/>
      <c r="CW725" s="1555"/>
      <c r="CX725" s="1555"/>
      <c r="CY725" s="1555"/>
      <c r="CZ725" s="1555" t="s">
        <v>163</v>
      </c>
      <c r="DA725" s="1555"/>
      <c r="DB725" s="1555"/>
      <c r="DC725" s="1555"/>
      <c r="DD725" s="1555"/>
      <c r="DE725" s="1555" t="s">
        <v>164</v>
      </c>
      <c r="DF725" s="1555"/>
      <c r="DG725" s="1555"/>
      <c r="DH725" s="1555"/>
      <c r="DI725" s="1555"/>
      <c r="DJ725" s="1555" t="s">
        <v>458</v>
      </c>
      <c r="DK725" s="1555"/>
      <c r="DL725" s="1555"/>
      <c r="DM725" s="1555"/>
      <c r="DN725" s="1555"/>
      <c r="DO725" s="1555" t="s">
        <v>30</v>
      </c>
      <c r="DP725" s="1555"/>
      <c r="DQ725" s="1555"/>
      <c r="DR725" s="1555"/>
      <c r="DS725" s="1555"/>
      <c r="DT725" s="89"/>
      <c r="DU725" s="1555" t="s">
        <v>631</v>
      </c>
      <c r="DV725" s="1555"/>
      <c r="DW725" s="1555"/>
      <c r="DX725" s="1555"/>
      <c r="DY725" s="1555"/>
      <c r="DZ725" s="1555" t="s">
        <v>324</v>
      </c>
      <c r="EA725" s="1555"/>
      <c r="EB725" s="1555"/>
      <c r="EC725" s="1555"/>
      <c r="ED725" s="1555"/>
      <c r="EE725" s="1555" t="s">
        <v>163</v>
      </c>
      <c r="EF725" s="1555"/>
      <c r="EG725" s="1555"/>
      <c r="EH725" s="1555"/>
      <c r="EI725" s="1555"/>
      <c r="EJ725" s="1555" t="s">
        <v>164</v>
      </c>
      <c r="EK725" s="1555"/>
      <c r="EL725" s="1555"/>
      <c r="EM725" s="1555"/>
      <c r="EN725" s="1555"/>
      <c r="EO725" s="1555" t="s">
        <v>458</v>
      </c>
      <c r="EP725" s="1555"/>
      <c r="EQ725" s="1555"/>
      <c r="ER725" s="1555"/>
      <c r="ES725" s="1555"/>
      <c r="ET725" s="1555" t="s">
        <v>30</v>
      </c>
      <c r="EU725" s="1555"/>
      <c r="EV725" s="1555"/>
      <c r="EW725" s="1555"/>
      <c r="EX725" s="1555"/>
      <c r="EY725" s="4"/>
      <c r="EZ725" s="1555" t="s">
        <v>631</v>
      </c>
      <c r="FA725" s="1555"/>
      <c r="FB725" s="1555"/>
      <c r="FC725" s="1555"/>
      <c r="FD725" s="1555"/>
      <c r="FE725" s="1555" t="s">
        <v>324</v>
      </c>
      <c r="FF725" s="1555"/>
      <c r="FG725" s="1555"/>
      <c r="FH725" s="1555"/>
      <c r="FI725" s="1555"/>
      <c r="FJ725" s="1555" t="s">
        <v>163</v>
      </c>
      <c r="FK725" s="1555"/>
      <c r="FL725" s="1555"/>
      <c r="FM725" s="1555"/>
      <c r="FN725" s="1555"/>
      <c r="FO725" s="1555" t="s">
        <v>164</v>
      </c>
      <c r="FP725" s="1555"/>
      <c r="FQ725" s="1555"/>
      <c r="FR725" s="1555"/>
      <c r="FS725" s="1555"/>
      <c r="FT725" s="1555" t="s">
        <v>458</v>
      </c>
      <c r="FU725" s="1555"/>
      <c r="FV725" s="1555"/>
      <c r="FW725" s="1555"/>
      <c r="FX725" s="1555"/>
      <c r="FY725" s="1555" t="s">
        <v>30</v>
      </c>
      <c r="FZ725" s="1555"/>
      <c r="GA725" s="1555"/>
      <c r="GB725" s="1555"/>
      <c r="GC725" s="1555"/>
    </row>
    <row r="726" spans="1:185" ht="12.95" customHeight="1">
      <c r="A726" s="4"/>
      <c r="B726" s="1376" t="s">
        <v>324</v>
      </c>
      <c r="C726" s="1377"/>
      <c r="D726" s="1377"/>
      <c r="E726" s="1377"/>
      <c r="F726" s="1378"/>
      <c r="G726" s="1370">
        <v>10</v>
      </c>
      <c r="H726" s="1371"/>
      <c r="I726" s="1371"/>
      <c r="J726" s="1372"/>
      <c r="K726" s="1373">
        <v>577</v>
      </c>
      <c r="L726" s="1374"/>
      <c r="M726" s="1374"/>
      <c r="N726" s="1375"/>
      <c r="O726" s="1415">
        <v>267</v>
      </c>
      <c r="P726" s="1416"/>
      <c r="Q726" s="1416"/>
      <c r="R726" s="1416"/>
      <c r="S726" s="1417"/>
      <c r="T726" s="1415">
        <v>59</v>
      </c>
      <c r="U726" s="1416"/>
      <c r="V726" s="1416"/>
      <c r="W726" s="1417"/>
      <c r="X726" s="1418">
        <f t="shared" ref="X726:X749" si="10">O726+T726</f>
        <v>326</v>
      </c>
      <c r="Y726" s="1414"/>
      <c r="Z726" s="1414"/>
      <c r="AA726" s="1414"/>
      <c r="AB726" s="1419"/>
      <c r="AC726" s="1420">
        <v>0.3</v>
      </c>
      <c r="AD726" s="1421"/>
      <c r="AE726" s="1421"/>
      <c r="AF726" s="1421"/>
      <c r="AG726" s="1422"/>
      <c r="AH726" s="1438">
        <f>IF($AC726&gt;0,($X726/$AZ726), "")</f>
        <v>0.1147887323943662</v>
      </c>
      <c r="AI726" s="1439"/>
      <c r="AJ726" s="1440"/>
      <c r="AK726" s="1376" t="s">
        <v>1041</v>
      </c>
      <c r="AL726" s="1377"/>
      <c r="AM726" s="1377"/>
      <c r="AN726" s="1377"/>
      <c r="AO726" s="1378"/>
      <c r="AP726" s="3"/>
      <c r="AQ726" s="3"/>
      <c r="AR726" s="3"/>
      <c r="AS726" s="3"/>
      <c r="AZ726" s="118">
        <f t="shared" ref="AZ726:AZ760" si="11">IF($G726=0,"N/A",VLOOKUP($T$189,TC_Rent,(MATCH($B726,bedrooms,FALSE)),FALSE))</f>
        <v>2840</v>
      </c>
      <c r="BA726" s="3"/>
      <c r="BB726" s="3"/>
      <c r="BC726" s="3"/>
      <c r="BD726" s="3"/>
      <c r="BE726" s="204"/>
      <c r="BF726" s="292">
        <f t="shared" ref="BF726:BF760" si="12">G726</f>
        <v>10</v>
      </c>
      <c r="BG726" s="296">
        <f t="shared" ref="BG726:BG760" si="13">IF($BF$761=0,0,BF726/$BF$761)</f>
        <v>8.1967213114754092E-2</v>
      </c>
      <c r="BH726" s="297">
        <f t="shared" ref="BH726:BH760" si="14">IF(BG726=0,"",BG726*AC726)</f>
        <v>2.4590163934426226E-2</v>
      </c>
      <c r="BI726" s="3"/>
      <c r="BJ726" s="3"/>
      <c r="BK726" s="3"/>
      <c r="BL726" s="3"/>
      <c r="BM726" s="3"/>
      <c r="BN726" s="3"/>
      <c r="BS726" s="292">
        <f t="shared" ref="BS726:BS760" si="15">G726</f>
        <v>10</v>
      </c>
      <c r="BT726" s="296">
        <f t="shared" ref="BT726:BT760" si="16">IF($BS$761=0,0,BS726/$BS$761)</f>
        <v>8.1967213114754092E-2</v>
      </c>
      <c r="BU726" s="297">
        <f t="shared" ref="BU726:BU760" si="17">IF(BT726=0,"",BT726*AH726)</f>
        <v>9.4089124913414902E-3</v>
      </c>
      <c r="CC726" s="3"/>
      <c r="CD726" s="3"/>
      <c r="CE726" s="3"/>
      <c r="CF726" s="3"/>
      <c r="CG726" s="1550">
        <f>IF(AND(AC726&lt;=0.5,AC726&gt;=0.36),1,0)</f>
        <v>0</v>
      </c>
      <c r="CH726" s="1551"/>
      <c r="CI726" s="1552">
        <f>IF(CG726=1,G726,0)</f>
        <v>0</v>
      </c>
      <c r="CJ726" s="1553"/>
      <c r="CK726" s="1550">
        <f t="shared" ref="CK726:CK760" si="18">IF(AND(AC726&lt;=0.35,AC726&gt;0),1,0)</f>
        <v>1</v>
      </c>
      <c r="CL726" s="1551"/>
      <c r="CM726" s="1552">
        <f t="shared" ref="CM726:CM760" si="19">IF(CK726=1,G726,0)</f>
        <v>10</v>
      </c>
      <c r="CN726" s="1553"/>
      <c r="CO726" s="3"/>
      <c r="CP726" s="1545">
        <f t="shared" ref="CP726:CP760" si="20">IF(B726="SRO/Studio",G726,0)</f>
        <v>0</v>
      </c>
      <c r="CQ726" s="1546"/>
      <c r="CR726" s="1546"/>
      <c r="CS726" s="1546"/>
      <c r="CT726" s="1547"/>
      <c r="CU726" s="1549">
        <f t="shared" ref="CU726:CU760" si="21">IF(B726="1 Bedroom",G726,0)</f>
        <v>10</v>
      </c>
      <c r="CV726" s="1549"/>
      <c r="CW726" s="1549"/>
      <c r="CX726" s="1549"/>
      <c r="CY726" s="1549"/>
      <c r="CZ726" s="1549">
        <f t="shared" ref="CZ726:CZ760" si="22">IF(B726="2 Bedrooms",G726,0)</f>
        <v>0</v>
      </c>
      <c r="DA726" s="1549"/>
      <c r="DB726" s="1549"/>
      <c r="DC726" s="1549"/>
      <c r="DD726" s="1549"/>
      <c r="DE726" s="1549">
        <f t="shared" ref="DE726:DE760" si="23">IF(B726="3 Bedrooms",G726,0)</f>
        <v>0</v>
      </c>
      <c r="DF726" s="1549"/>
      <c r="DG726" s="1549"/>
      <c r="DH726" s="1549"/>
      <c r="DI726" s="1549"/>
      <c r="DJ726" s="1549">
        <f t="shared" ref="DJ726:DJ760" si="24">IF(B726="4 Bedrooms",G726,0)</f>
        <v>0</v>
      </c>
      <c r="DK726" s="1549"/>
      <c r="DL726" s="1549"/>
      <c r="DM726" s="1549"/>
      <c r="DN726" s="1549"/>
      <c r="DO726" s="1549">
        <f t="shared" ref="DO726:DO760" si="25">IF(B726="5 Bedrooms",G726,0)</f>
        <v>0</v>
      </c>
      <c r="DP726" s="1549"/>
      <c r="DQ726" s="1549"/>
      <c r="DR726" s="1549"/>
      <c r="DS726" s="1549"/>
      <c r="DT726" s="6"/>
      <c r="DU726" s="1554">
        <f t="shared" ref="DU726:DU760" si="26">IF(AND(B726="SRO/Studio",AC726&lt;=0.3),G726,0)</f>
        <v>0</v>
      </c>
      <c r="DV726" s="1554"/>
      <c r="DW726" s="1554"/>
      <c r="DX726" s="1554"/>
      <c r="DY726" s="1554"/>
      <c r="DZ726" s="1554">
        <f t="shared" ref="DZ726:DZ760" si="27">IF(AND(B726="1 Bedroom",AC726&lt;=0.3),G726,0)</f>
        <v>10</v>
      </c>
      <c r="EA726" s="1554"/>
      <c r="EB726" s="1554"/>
      <c r="EC726" s="1554"/>
      <c r="ED726" s="1554"/>
      <c r="EE726" s="1554">
        <f t="shared" ref="EE726:EE760" si="28">IF(AND(B726="2 Bedrooms",AC726&lt;=0.3),G726,0)</f>
        <v>0</v>
      </c>
      <c r="EF726" s="1554"/>
      <c r="EG726" s="1554"/>
      <c r="EH726" s="1554"/>
      <c r="EI726" s="1554"/>
      <c r="EJ726" s="1554">
        <f t="shared" ref="EJ726:EJ760" si="29">IF(AND(B726="3 Bedrooms",AC726&lt;=0.3),G726,0)</f>
        <v>0</v>
      </c>
      <c r="EK726" s="1554"/>
      <c r="EL726" s="1554"/>
      <c r="EM726" s="1554"/>
      <c r="EN726" s="1554"/>
      <c r="EO726" s="1554">
        <f t="shared" ref="EO726:EO760" si="30">IF(AND(B726="4 Bedrooms",AC726&lt;=0.3),G726,0)</f>
        <v>0</v>
      </c>
      <c r="EP726" s="1554"/>
      <c r="EQ726" s="1554"/>
      <c r="ER726" s="1554"/>
      <c r="ES726" s="1554"/>
      <c r="ET726" s="1554">
        <f t="shared" ref="ET726:ET760" si="31">IF(AND(B726="5 Bedrooms",AC726&lt;=0.3),G726,0)</f>
        <v>0</v>
      </c>
      <c r="EU726" s="1554"/>
      <c r="EV726" s="1554"/>
      <c r="EW726" s="1554"/>
      <c r="EX726" s="1554"/>
      <c r="EY726" s="4"/>
      <c r="EZ726" s="1550" t="str">
        <f t="shared" ref="EZ726:EZ760" si="32">IF(CP726&gt;0,O726,"")</f>
        <v/>
      </c>
      <c r="FA726" s="1556"/>
      <c r="FB726" s="1556"/>
      <c r="FC726" s="1556"/>
      <c r="FD726" s="1551"/>
      <c r="FE726" s="1550">
        <f t="shared" ref="FE726:FE760" si="33">IF(CU726&gt;0,O726,"")</f>
        <v>267</v>
      </c>
      <c r="FF726" s="1556"/>
      <c r="FG726" s="1556"/>
      <c r="FH726" s="1556"/>
      <c r="FI726" s="1551"/>
      <c r="FJ726" s="1550" t="str">
        <f t="shared" ref="FJ726:FJ760" si="34">IF(CZ726&gt;0,O726,"")</f>
        <v/>
      </c>
      <c r="FK726" s="1556"/>
      <c r="FL726" s="1556"/>
      <c r="FM726" s="1556"/>
      <c r="FN726" s="1551"/>
      <c r="FO726" s="1550" t="str">
        <f t="shared" ref="FO726:FO760" si="35">IF(DE726&gt;0,O726,"")</f>
        <v/>
      </c>
      <c r="FP726" s="1556"/>
      <c r="FQ726" s="1556"/>
      <c r="FR726" s="1556"/>
      <c r="FS726" s="1551"/>
      <c r="FT726" s="1550" t="str">
        <f t="shared" ref="FT726:FT760" si="36">IF(DJ726&gt;0,O726,"")</f>
        <v/>
      </c>
      <c r="FU726" s="1556"/>
      <c r="FV726" s="1556"/>
      <c r="FW726" s="1556"/>
      <c r="FX726" s="1551"/>
      <c r="FY726" s="1550" t="str">
        <f t="shared" ref="FY726:FY760" si="37">IF(DO726&gt;0,O726,"")</f>
        <v/>
      </c>
      <c r="FZ726" s="1556"/>
      <c r="GA726" s="1556"/>
      <c r="GB726" s="1556"/>
      <c r="GC726" s="1551"/>
    </row>
    <row r="727" spans="1:185" ht="12.95" customHeight="1">
      <c r="A727" s="4"/>
      <c r="B727" s="1376" t="s">
        <v>324</v>
      </c>
      <c r="C727" s="1377"/>
      <c r="D727" s="1377"/>
      <c r="E727" s="1377"/>
      <c r="F727" s="1378"/>
      <c r="G727" s="1370">
        <v>13</v>
      </c>
      <c r="H727" s="1371"/>
      <c r="I727" s="1371"/>
      <c r="J727" s="1372"/>
      <c r="K727" s="1373">
        <v>577</v>
      </c>
      <c r="L727" s="1374"/>
      <c r="M727" s="1374"/>
      <c r="N727" s="1375"/>
      <c r="O727" s="1415">
        <v>793</v>
      </c>
      <c r="P727" s="1416"/>
      <c r="Q727" s="1416"/>
      <c r="R727" s="1416"/>
      <c r="S727" s="1417"/>
      <c r="T727" s="1415">
        <v>59</v>
      </c>
      <c r="U727" s="1416"/>
      <c r="V727" s="1416"/>
      <c r="W727" s="1417"/>
      <c r="X727" s="1418">
        <f t="shared" si="10"/>
        <v>852</v>
      </c>
      <c r="Y727" s="1414"/>
      <c r="Z727" s="1414"/>
      <c r="AA727" s="1414"/>
      <c r="AB727" s="1419"/>
      <c r="AC727" s="1420">
        <v>0.3</v>
      </c>
      <c r="AD727" s="1421"/>
      <c r="AE727" s="1421"/>
      <c r="AF727" s="1421"/>
      <c r="AG727" s="1422"/>
      <c r="AH727" s="1438">
        <f t="shared" ref="AH727:AH760" si="38">IF($AC727&gt;0,($X727/$AZ727), "")</f>
        <v>0.3</v>
      </c>
      <c r="AI727" s="1439"/>
      <c r="AJ727" s="1440"/>
      <c r="AK727" s="1376" t="s">
        <v>589</v>
      </c>
      <c r="AL727" s="1377"/>
      <c r="AM727" s="1377"/>
      <c r="AN727" s="1377"/>
      <c r="AO727" s="1378"/>
      <c r="AP727" s="3"/>
      <c r="AQ727" s="3"/>
      <c r="AR727" s="3"/>
      <c r="AS727" s="3"/>
      <c r="AZ727" s="118">
        <f t="shared" si="11"/>
        <v>2840</v>
      </c>
      <c r="BA727" s="3"/>
      <c r="BB727" s="3"/>
      <c r="BC727" s="3"/>
      <c r="BD727" s="3"/>
      <c r="BE727" s="204"/>
      <c r="BF727" s="293">
        <f t="shared" si="12"/>
        <v>13</v>
      </c>
      <c r="BG727" s="296">
        <f t="shared" si="13"/>
        <v>0.10655737704918032</v>
      </c>
      <c r="BH727" s="297">
        <f t="shared" si="14"/>
        <v>3.1967213114754096E-2</v>
      </c>
      <c r="BI727" s="3"/>
      <c r="BJ727" s="3"/>
      <c r="BK727" s="3"/>
      <c r="BL727" s="3"/>
      <c r="BM727" s="3"/>
      <c r="BN727" s="3"/>
      <c r="BS727" s="293">
        <f t="shared" si="15"/>
        <v>13</v>
      </c>
      <c r="BT727" s="296">
        <f t="shared" si="16"/>
        <v>0.10655737704918032</v>
      </c>
      <c r="BU727" s="297">
        <f t="shared" si="17"/>
        <v>3.1967213114754096E-2</v>
      </c>
      <c r="CC727" s="3"/>
      <c r="CD727" s="3"/>
      <c r="CE727" s="3"/>
      <c r="CF727" s="3"/>
      <c r="CG727" s="1550">
        <f t="shared" ref="CG727:CG760" si="39">IF(AND(AC727&lt;=0.5,AC727&gt;=0.36),1,0)</f>
        <v>0</v>
      </c>
      <c r="CH727" s="1551"/>
      <c r="CI727" s="1552">
        <f t="shared" ref="CI727:CI760" si="40">IF(CG727=1,G727,0)</f>
        <v>0</v>
      </c>
      <c r="CJ727" s="1553"/>
      <c r="CK727" s="1550">
        <f t="shared" si="18"/>
        <v>1</v>
      </c>
      <c r="CL727" s="1551"/>
      <c r="CM727" s="1552">
        <f t="shared" si="19"/>
        <v>13</v>
      </c>
      <c r="CN727" s="1553"/>
      <c r="CO727" s="3"/>
      <c r="CP727" s="1545">
        <f t="shared" si="20"/>
        <v>0</v>
      </c>
      <c r="CQ727" s="1546"/>
      <c r="CR727" s="1546"/>
      <c r="CS727" s="1546"/>
      <c r="CT727" s="1547"/>
      <c r="CU727" s="1549">
        <f t="shared" si="21"/>
        <v>13</v>
      </c>
      <c r="CV727" s="1549"/>
      <c r="CW727" s="1549"/>
      <c r="CX727" s="1549"/>
      <c r="CY727" s="1549"/>
      <c r="CZ727" s="1549">
        <f t="shared" si="22"/>
        <v>0</v>
      </c>
      <c r="DA727" s="1549"/>
      <c r="DB727" s="1549"/>
      <c r="DC727" s="1549"/>
      <c r="DD727" s="1549"/>
      <c r="DE727" s="1549">
        <f t="shared" si="23"/>
        <v>0</v>
      </c>
      <c r="DF727" s="1549"/>
      <c r="DG727" s="1549"/>
      <c r="DH727" s="1549"/>
      <c r="DI727" s="1549"/>
      <c r="DJ727" s="1549">
        <f t="shared" si="24"/>
        <v>0</v>
      </c>
      <c r="DK727" s="1549"/>
      <c r="DL727" s="1549"/>
      <c r="DM727" s="1549"/>
      <c r="DN727" s="1549"/>
      <c r="DO727" s="1549">
        <f t="shared" si="25"/>
        <v>0</v>
      </c>
      <c r="DP727" s="1549"/>
      <c r="DQ727" s="1549"/>
      <c r="DR727" s="1549"/>
      <c r="DS727" s="1549"/>
      <c r="DT727" s="6"/>
      <c r="DU727" s="1554">
        <f t="shared" si="26"/>
        <v>0</v>
      </c>
      <c r="DV727" s="1554"/>
      <c r="DW727" s="1554"/>
      <c r="DX727" s="1554"/>
      <c r="DY727" s="1554"/>
      <c r="DZ727" s="1554">
        <f t="shared" si="27"/>
        <v>13</v>
      </c>
      <c r="EA727" s="1554"/>
      <c r="EB727" s="1554"/>
      <c r="EC727" s="1554"/>
      <c r="ED727" s="1554"/>
      <c r="EE727" s="1554">
        <f t="shared" si="28"/>
        <v>0</v>
      </c>
      <c r="EF727" s="1554"/>
      <c r="EG727" s="1554"/>
      <c r="EH727" s="1554"/>
      <c r="EI727" s="1554"/>
      <c r="EJ727" s="1554">
        <f t="shared" si="29"/>
        <v>0</v>
      </c>
      <c r="EK727" s="1554"/>
      <c r="EL727" s="1554"/>
      <c r="EM727" s="1554"/>
      <c r="EN727" s="1554"/>
      <c r="EO727" s="1554">
        <f t="shared" si="30"/>
        <v>0</v>
      </c>
      <c r="EP727" s="1554"/>
      <c r="EQ727" s="1554"/>
      <c r="ER727" s="1554"/>
      <c r="ES727" s="1554"/>
      <c r="ET727" s="1554">
        <f t="shared" si="31"/>
        <v>0</v>
      </c>
      <c r="EU727" s="1554"/>
      <c r="EV727" s="1554"/>
      <c r="EW727" s="1554"/>
      <c r="EX727" s="1554"/>
      <c r="EY727" s="4"/>
      <c r="EZ727" s="1550" t="str">
        <f t="shared" si="32"/>
        <v/>
      </c>
      <c r="FA727" s="1556"/>
      <c r="FB727" s="1556"/>
      <c r="FC727" s="1556"/>
      <c r="FD727" s="1551"/>
      <c r="FE727" s="1550">
        <f t="shared" si="33"/>
        <v>793</v>
      </c>
      <c r="FF727" s="1556"/>
      <c r="FG727" s="1556"/>
      <c r="FH727" s="1556"/>
      <c r="FI727" s="1551"/>
      <c r="FJ727" s="1550" t="str">
        <f t="shared" si="34"/>
        <v/>
      </c>
      <c r="FK727" s="1556"/>
      <c r="FL727" s="1556"/>
      <c r="FM727" s="1556"/>
      <c r="FN727" s="1551"/>
      <c r="FO727" s="1550" t="str">
        <f t="shared" si="35"/>
        <v/>
      </c>
      <c r="FP727" s="1556"/>
      <c r="FQ727" s="1556"/>
      <c r="FR727" s="1556"/>
      <c r="FS727" s="1551"/>
      <c r="FT727" s="1550" t="str">
        <f t="shared" si="36"/>
        <v/>
      </c>
      <c r="FU727" s="1556"/>
      <c r="FV727" s="1556"/>
      <c r="FW727" s="1556"/>
      <c r="FX727" s="1551"/>
      <c r="FY727" s="1550" t="str">
        <f t="shared" si="37"/>
        <v/>
      </c>
      <c r="FZ727" s="1556"/>
      <c r="GA727" s="1556"/>
      <c r="GB727" s="1556"/>
      <c r="GC727" s="1551"/>
    </row>
    <row r="728" spans="1:185" ht="12.95" customHeight="1">
      <c r="A728" s="4"/>
      <c r="B728" s="1376" t="s">
        <v>163</v>
      </c>
      <c r="C728" s="1377"/>
      <c r="D728" s="1377"/>
      <c r="E728" s="1377"/>
      <c r="F728" s="1378"/>
      <c r="G728" s="1370">
        <v>4</v>
      </c>
      <c r="H728" s="1371"/>
      <c r="I728" s="1371"/>
      <c r="J728" s="1372"/>
      <c r="K728" s="1373">
        <v>867</v>
      </c>
      <c r="L728" s="1374"/>
      <c r="M728" s="1374"/>
      <c r="N728" s="1375"/>
      <c r="O728" s="1415">
        <v>950</v>
      </c>
      <c r="P728" s="1416"/>
      <c r="Q728" s="1416"/>
      <c r="R728" s="1416"/>
      <c r="S728" s="1417"/>
      <c r="T728" s="1415">
        <v>72</v>
      </c>
      <c r="U728" s="1416"/>
      <c r="V728" s="1416"/>
      <c r="W728" s="1417"/>
      <c r="X728" s="1418">
        <f t="shared" si="10"/>
        <v>1022</v>
      </c>
      <c r="Y728" s="1414"/>
      <c r="Z728" s="1414"/>
      <c r="AA728" s="1414"/>
      <c r="AB728" s="1419"/>
      <c r="AC728" s="1420">
        <v>0.3</v>
      </c>
      <c r="AD728" s="1421"/>
      <c r="AE728" s="1421"/>
      <c r="AF728" s="1421"/>
      <c r="AG728" s="1422"/>
      <c r="AH728" s="1438">
        <f t="shared" si="38"/>
        <v>0.30005871990604815</v>
      </c>
      <c r="AI728" s="1439"/>
      <c r="AJ728" s="1440"/>
      <c r="AK728" s="1376" t="s">
        <v>589</v>
      </c>
      <c r="AL728" s="1377"/>
      <c r="AM728" s="1377"/>
      <c r="AN728" s="1377"/>
      <c r="AO728" s="1378"/>
      <c r="AP728" s="3"/>
      <c r="AQ728" s="3"/>
      <c r="AR728" s="3"/>
      <c r="AS728" s="3"/>
      <c r="AZ728" s="118">
        <f t="shared" si="11"/>
        <v>3406</v>
      </c>
      <c r="BA728" s="3"/>
      <c r="BB728" s="3"/>
      <c r="BC728" s="3"/>
      <c r="BD728" s="3"/>
      <c r="BE728" s="204"/>
      <c r="BF728" s="293">
        <f t="shared" si="12"/>
        <v>4</v>
      </c>
      <c r="BG728" s="296">
        <f t="shared" si="13"/>
        <v>3.2786885245901641E-2</v>
      </c>
      <c r="BH728" s="297">
        <f t="shared" si="14"/>
        <v>9.8360655737704927E-3</v>
      </c>
      <c r="BI728" s="3"/>
      <c r="BJ728" s="3"/>
      <c r="BK728" s="3"/>
      <c r="BL728" s="3"/>
      <c r="BM728" s="3"/>
      <c r="BN728" s="3"/>
      <c r="BS728" s="293">
        <f t="shared" si="15"/>
        <v>4</v>
      </c>
      <c r="BT728" s="296">
        <f t="shared" si="16"/>
        <v>3.2786885245901641E-2</v>
      </c>
      <c r="BU728" s="297">
        <f t="shared" si="17"/>
        <v>9.8379908165917435E-3</v>
      </c>
      <c r="CC728" s="3"/>
      <c r="CD728" s="3"/>
      <c r="CE728" s="3"/>
      <c r="CF728" s="3"/>
      <c r="CG728" s="1550">
        <f t="shared" si="39"/>
        <v>0</v>
      </c>
      <c r="CH728" s="1551"/>
      <c r="CI728" s="1552">
        <f t="shared" si="40"/>
        <v>0</v>
      </c>
      <c r="CJ728" s="1553"/>
      <c r="CK728" s="1550">
        <f t="shared" si="18"/>
        <v>1</v>
      </c>
      <c r="CL728" s="1551"/>
      <c r="CM728" s="1552">
        <f t="shared" si="19"/>
        <v>4</v>
      </c>
      <c r="CN728" s="1553"/>
      <c r="CO728" s="3"/>
      <c r="CP728" s="1545">
        <f t="shared" si="20"/>
        <v>0</v>
      </c>
      <c r="CQ728" s="1546"/>
      <c r="CR728" s="1546"/>
      <c r="CS728" s="1546"/>
      <c r="CT728" s="1547"/>
      <c r="CU728" s="1549">
        <f t="shared" si="21"/>
        <v>0</v>
      </c>
      <c r="CV728" s="1549"/>
      <c r="CW728" s="1549"/>
      <c r="CX728" s="1549"/>
      <c r="CY728" s="1549"/>
      <c r="CZ728" s="1549">
        <f t="shared" si="22"/>
        <v>4</v>
      </c>
      <c r="DA728" s="1549"/>
      <c r="DB728" s="1549"/>
      <c r="DC728" s="1549"/>
      <c r="DD728" s="1549"/>
      <c r="DE728" s="1549">
        <f t="shared" si="23"/>
        <v>0</v>
      </c>
      <c r="DF728" s="1549"/>
      <c r="DG728" s="1549"/>
      <c r="DH728" s="1549"/>
      <c r="DI728" s="1549"/>
      <c r="DJ728" s="1549">
        <f t="shared" si="24"/>
        <v>0</v>
      </c>
      <c r="DK728" s="1549"/>
      <c r="DL728" s="1549"/>
      <c r="DM728" s="1549"/>
      <c r="DN728" s="1549"/>
      <c r="DO728" s="1549">
        <f t="shared" si="25"/>
        <v>0</v>
      </c>
      <c r="DP728" s="1549"/>
      <c r="DQ728" s="1549"/>
      <c r="DR728" s="1549"/>
      <c r="DS728" s="1549"/>
      <c r="DT728" s="6"/>
      <c r="DU728" s="1554">
        <f t="shared" si="26"/>
        <v>0</v>
      </c>
      <c r="DV728" s="1554"/>
      <c r="DW728" s="1554"/>
      <c r="DX728" s="1554"/>
      <c r="DY728" s="1554"/>
      <c r="DZ728" s="1554">
        <f t="shared" si="27"/>
        <v>0</v>
      </c>
      <c r="EA728" s="1554"/>
      <c r="EB728" s="1554"/>
      <c r="EC728" s="1554"/>
      <c r="ED728" s="1554"/>
      <c r="EE728" s="1554">
        <f t="shared" si="28"/>
        <v>4</v>
      </c>
      <c r="EF728" s="1554"/>
      <c r="EG728" s="1554"/>
      <c r="EH728" s="1554"/>
      <c r="EI728" s="1554"/>
      <c r="EJ728" s="1554">
        <f t="shared" si="29"/>
        <v>0</v>
      </c>
      <c r="EK728" s="1554"/>
      <c r="EL728" s="1554"/>
      <c r="EM728" s="1554"/>
      <c r="EN728" s="1554"/>
      <c r="EO728" s="1554">
        <f t="shared" si="30"/>
        <v>0</v>
      </c>
      <c r="EP728" s="1554"/>
      <c r="EQ728" s="1554"/>
      <c r="ER728" s="1554"/>
      <c r="ES728" s="1554"/>
      <c r="ET728" s="1554">
        <f t="shared" si="31"/>
        <v>0</v>
      </c>
      <c r="EU728" s="1554"/>
      <c r="EV728" s="1554"/>
      <c r="EW728" s="1554"/>
      <c r="EX728" s="1554"/>
      <c r="EZ728" s="1550" t="str">
        <f t="shared" si="32"/>
        <v/>
      </c>
      <c r="FA728" s="1556"/>
      <c r="FB728" s="1556"/>
      <c r="FC728" s="1556"/>
      <c r="FD728" s="1551"/>
      <c r="FE728" s="1550" t="str">
        <f t="shared" si="33"/>
        <v/>
      </c>
      <c r="FF728" s="1556"/>
      <c r="FG728" s="1556"/>
      <c r="FH728" s="1556"/>
      <c r="FI728" s="1551"/>
      <c r="FJ728" s="1550">
        <f t="shared" si="34"/>
        <v>950</v>
      </c>
      <c r="FK728" s="1556"/>
      <c r="FL728" s="1556"/>
      <c r="FM728" s="1556"/>
      <c r="FN728" s="1551"/>
      <c r="FO728" s="1550" t="str">
        <f t="shared" si="35"/>
        <v/>
      </c>
      <c r="FP728" s="1556"/>
      <c r="FQ728" s="1556"/>
      <c r="FR728" s="1556"/>
      <c r="FS728" s="1551"/>
      <c r="FT728" s="1550" t="str">
        <f t="shared" si="36"/>
        <v/>
      </c>
      <c r="FU728" s="1556"/>
      <c r="FV728" s="1556"/>
      <c r="FW728" s="1556"/>
      <c r="FX728" s="1551"/>
      <c r="FY728" s="1550" t="str">
        <f t="shared" si="37"/>
        <v/>
      </c>
      <c r="FZ728" s="1556"/>
      <c r="GA728" s="1556"/>
      <c r="GB728" s="1556"/>
      <c r="GC728" s="1551"/>
    </row>
    <row r="729" spans="1:185" ht="12.95" customHeight="1">
      <c r="B729" s="1376" t="s">
        <v>164</v>
      </c>
      <c r="C729" s="1377"/>
      <c r="D729" s="1377"/>
      <c r="E729" s="1377"/>
      <c r="F729" s="1378"/>
      <c r="G729" s="1370">
        <v>4</v>
      </c>
      <c r="H729" s="1371"/>
      <c r="I729" s="1371"/>
      <c r="J729" s="1372"/>
      <c r="K729" s="1373">
        <v>1095</v>
      </c>
      <c r="L729" s="1374"/>
      <c r="M729" s="1374"/>
      <c r="N729" s="1375"/>
      <c r="O729" s="1415">
        <v>1098</v>
      </c>
      <c r="P729" s="1416"/>
      <c r="Q729" s="1416"/>
      <c r="R729" s="1416"/>
      <c r="S729" s="1417"/>
      <c r="T729" s="1415">
        <v>83</v>
      </c>
      <c r="U729" s="1416"/>
      <c r="V729" s="1416"/>
      <c r="W729" s="1417"/>
      <c r="X729" s="1418">
        <f t="shared" si="10"/>
        <v>1181</v>
      </c>
      <c r="Y729" s="1414"/>
      <c r="Z729" s="1414"/>
      <c r="AA729" s="1414"/>
      <c r="AB729" s="1419"/>
      <c r="AC729" s="1420">
        <v>0.3</v>
      </c>
      <c r="AD729" s="1421"/>
      <c r="AE729" s="1421"/>
      <c r="AF729" s="1421"/>
      <c r="AG729" s="1422"/>
      <c r="AH729" s="1438">
        <f t="shared" si="38"/>
        <v>0.29989842559674962</v>
      </c>
      <c r="AI729" s="1439"/>
      <c r="AJ729" s="1440"/>
      <c r="AK729" s="1376" t="s">
        <v>589</v>
      </c>
      <c r="AL729" s="1377"/>
      <c r="AM729" s="1377"/>
      <c r="AN729" s="1377"/>
      <c r="AO729" s="1378"/>
      <c r="AP729" s="3"/>
      <c r="AQ729" s="3"/>
      <c r="AR729" s="3"/>
      <c r="AS729" s="3"/>
      <c r="AY729" s="116"/>
      <c r="AZ729" s="118">
        <f t="shared" si="11"/>
        <v>3938</v>
      </c>
      <c r="BA729" s="3"/>
      <c r="BB729" s="3"/>
      <c r="BC729" s="3"/>
      <c r="BD729" s="3"/>
      <c r="BE729" s="204"/>
      <c r="BF729" s="293">
        <f t="shared" si="12"/>
        <v>4</v>
      </c>
      <c r="BG729" s="296">
        <f t="shared" si="13"/>
        <v>3.2786885245901641E-2</v>
      </c>
      <c r="BH729" s="297">
        <f t="shared" si="14"/>
        <v>9.8360655737704927E-3</v>
      </c>
      <c r="BI729" s="3"/>
      <c r="BJ729" s="3"/>
      <c r="BK729" s="3"/>
      <c r="BL729" s="3"/>
      <c r="BM729" s="3"/>
      <c r="BN729" s="3"/>
      <c r="BS729" s="293">
        <f t="shared" si="15"/>
        <v>4</v>
      </c>
      <c r="BT729" s="296">
        <f t="shared" si="16"/>
        <v>3.2786885245901641E-2</v>
      </c>
      <c r="BU729" s="297">
        <f t="shared" si="17"/>
        <v>9.8327352654672007E-3</v>
      </c>
      <c r="CC729" s="3"/>
      <c r="CD729" s="3"/>
      <c r="CE729" s="3"/>
      <c r="CF729" s="3"/>
      <c r="CG729" s="1550">
        <f t="shared" si="39"/>
        <v>0</v>
      </c>
      <c r="CH729" s="1551"/>
      <c r="CI729" s="1552">
        <f t="shared" si="40"/>
        <v>0</v>
      </c>
      <c r="CJ729" s="1553"/>
      <c r="CK729" s="1550">
        <f t="shared" si="18"/>
        <v>1</v>
      </c>
      <c r="CL729" s="1551"/>
      <c r="CM729" s="1552">
        <f t="shared" si="19"/>
        <v>4</v>
      </c>
      <c r="CN729" s="1553"/>
      <c r="CO729" s="3"/>
      <c r="CP729" s="1545">
        <f t="shared" si="20"/>
        <v>0</v>
      </c>
      <c r="CQ729" s="1546"/>
      <c r="CR729" s="1546"/>
      <c r="CS729" s="1546"/>
      <c r="CT729" s="1547"/>
      <c r="CU729" s="1549">
        <f t="shared" si="21"/>
        <v>0</v>
      </c>
      <c r="CV729" s="1549"/>
      <c r="CW729" s="1549"/>
      <c r="CX729" s="1549"/>
      <c r="CY729" s="1549"/>
      <c r="CZ729" s="1549">
        <f t="shared" si="22"/>
        <v>0</v>
      </c>
      <c r="DA729" s="1549"/>
      <c r="DB729" s="1549"/>
      <c r="DC729" s="1549"/>
      <c r="DD729" s="1549"/>
      <c r="DE729" s="1549">
        <f t="shared" si="23"/>
        <v>4</v>
      </c>
      <c r="DF729" s="1549"/>
      <c r="DG729" s="1549"/>
      <c r="DH729" s="1549"/>
      <c r="DI729" s="1549"/>
      <c r="DJ729" s="1549">
        <f t="shared" si="24"/>
        <v>0</v>
      </c>
      <c r="DK729" s="1549"/>
      <c r="DL729" s="1549"/>
      <c r="DM729" s="1549"/>
      <c r="DN729" s="1549"/>
      <c r="DO729" s="1549">
        <f t="shared" si="25"/>
        <v>0</v>
      </c>
      <c r="DP729" s="1549"/>
      <c r="DQ729" s="1549"/>
      <c r="DR729" s="1549"/>
      <c r="DS729" s="1549"/>
      <c r="DT729" s="6"/>
      <c r="DU729" s="1554">
        <f t="shared" si="26"/>
        <v>0</v>
      </c>
      <c r="DV729" s="1554"/>
      <c r="DW729" s="1554"/>
      <c r="DX729" s="1554"/>
      <c r="DY729" s="1554"/>
      <c r="DZ729" s="1554">
        <f t="shared" si="27"/>
        <v>0</v>
      </c>
      <c r="EA729" s="1554"/>
      <c r="EB729" s="1554"/>
      <c r="EC729" s="1554"/>
      <c r="ED729" s="1554"/>
      <c r="EE729" s="1554">
        <f t="shared" si="28"/>
        <v>0</v>
      </c>
      <c r="EF729" s="1554"/>
      <c r="EG729" s="1554"/>
      <c r="EH729" s="1554"/>
      <c r="EI729" s="1554"/>
      <c r="EJ729" s="1554">
        <f t="shared" si="29"/>
        <v>4</v>
      </c>
      <c r="EK729" s="1554"/>
      <c r="EL729" s="1554"/>
      <c r="EM729" s="1554"/>
      <c r="EN729" s="1554"/>
      <c r="EO729" s="1554">
        <f t="shared" si="30"/>
        <v>0</v>
      </c>
      <c r="EP729" s="1554"/>
      <c r="EQ729" s="1554"/>
      <c r="ER729" s="1554"/>
      <c r="ES729" s="1554"/>
      <c r="ET729" s="1554">
        <f t="shared" si="31"/>
        <v>0</v>
      </c>
      <c r="EU729" s="1554"/>
      <c r="EV729" s="1554"/>
      <c r="EW729" s="1554"/>
      <c r="EX729" s="1554"/>
      <c r="EZ729" s="1550" t="str">
        <f t="shared" si="32"/>
        <v/>
      </c>
      <c r="FA729" s="1556"/>
      <c r="FB729" s="1556"/>
      <c r="FC729" s="1556"/>
      <c r="FD729" s="1551"/>
      <c r="FE729" s="1550" t="str">
        <f t="shared" si="33"/>
        <v/>
      </c>
      <c r="FF729" s="1556"/>
      <c r="FG729" s="1556"/>
      <c r="FH729" s="1556"/>
      <c r="FI729" s="1551"/>
      <c r="FJ729" s="1550" t="str">
        <f t="shared" si="34"/>
        <v/>
      </c>
      <c r="FK729" s="1556"/>
      <c r="FL729" s="1556"/>
      <c r="FM729" s="1556"/>
      <c r="FN729" s="1551"/>
      <c r="FO729" s="1550">
        <f t="shared" si="35"/>
        <v>1098</v>
      </c>
      <c r="FP729" s="1556"/>
      <c r="FQ729" s="1556"/>
      <c r="FR729" s="1556"/>
      <c r="FS729" s="1551"/>
      <c r="FT729" s="1550" t="str">
        <f t="shared" si="36"/>
        <v/>
      </c>
      <c r="FU729" s="1556"/>
      <c r="FV729" s="1556"/>
      <c r="FW729" s="1556"/>
      <c r="FX729" s="1551"/>
      <c r="FY729" s="1550" t="str">
        <f t="shared" si="37"/>
        <v/>
      </c>
      <c r="FZ729" s="1556"/>
      <c r="GA729" s="1556"/>
      <c r="GB729" s="1556"/>
      <c r="GC729" s="1551"/>
    </row>
    <row r="730" spans="1:185" ht="12.95" customHeight="1">
      <c r="B730" s="1376" t="s">
        <v>324</v>
      </c>
      <c r="C730" s="1377"/>
      <c r="D730" s="1377"/>
      <c r="E730" s="1377"/>
      <c r="F730" s="1378"/>
      <c r="G730" s="1370">
        <v>9</v>
      </c>
      <c r="H730" s="1371"/>
      <c r="I730" s="1371"/>
      <c r="J730" s="1372"/>
      <c r="K730" s="1373">
        <v>577</v>
      </c>
      <c r="L730" s="1374"/>
      <c r="M730" s="1374"/>
      <c r="N730" s="1375"/>
      <c r="O730" s="1415">
        <v>1361</v>
      </c>
      <c r="P730" s="1416"/>
      <c r="Q730" s="1416"/>
      <c r="R730" s="1416"/>
      <c r="S730" s="1417"/>
      <c r="T730" s="1415">
        <v>59</v>
      </c>
      <c r="U730" s="1416"/>
      <c r="V730" s="1416"/>
      <c r="W730" s="1417"/>
      <c r="X730" s="1418">
        <f t="shared" si="10"/>
        <v>1420</v>
      </c>
      <c r="Y730" s="1414"/>
      <c r="Z730" s="1414"/>
      <c r="AA730" s="1414"/>
      <c r="AB730" s="1419"/>
      <c r="AC730" s="1420">
        <v>0.5</v>
      </c>
      <c r="AD730" s="1421"/>
      <c r="AE730" s="1421"/>
      <c r="AF730" s="1421"/>
      <c r="AG730" s="1422"/>
      <c r="AH730" s="1438">
        <f t="shared" si="38"/>
        <v>0.5</v>
      </c>
      <c r="AI730" s="1439"/>
      <c r="AJ730" s="1440"/>
      <c r="AK730" s="1376" t="s">
        <v>589</v>
      </c>
      <c r="AL730" s="1377"/>
      <c r="AM730" s="1377"/>
      <c r="AN730" s="1377"/>
      <c r="AO730" s="1378"/>
      <c r="AP730" s="3"/>
      <c r="AQ730" s="3"/>
      <c r="AR730" s="3"/>
      <c r="AS730" s="3"/>
      <c r="AY730" s="116"/>
      <c r="AZ730" s="118">
        <f t="shared" si="11"/>
        <v>2840</v>
      </c>
      <c r="BA730" s="3"/>
      <c r="BB730" s="3"/>
      <c r="BC730" s="3"/>
      <c r="BD730" s="3"/>
      <c r="BE730" s="204"/>
      <c r="BF730" s="293">
        <f t="shared" si="12"/>
        <v>9</v>
      </c>
      <c r="BG730" s="296">
        <f t="shared" si="13"/>
        <v>7.3770491803278687E-2</v>
      </c>
      <c r="BH730" s="297">
        <f t="shared" si="14"/>
        <v>3.6885245901639344E-2</v>
      </c>
      <c r="BI730" s="3"/>
      <c r="BJ730" s="3"/>
      <c r="BK730" s="3"/>
      <c r="BL730" s="3"/>
      <c r="BM730" s="3"/>
      <c r="BN730" s="3"/>
      <c r="BS730" s="293">
        <f t="shared" si="15"/>
        <v>9</v>
      </c>
      <c r="BT730" s="296">
        <f t="shared" si="16"/>
        <v>7.3770491803278687E-2</v>
      </c>
      <c r="BU730" s="297">
        <f t="shared" si="17"/>
        <v>3.6885245901639344E-2</v>
      </c>
      <c r="CC730" s="3"/>
      <c r="CD730" s="3"/>
      <c r="CE730" s="3"/>
      <c r="CF730" s="3"/>
      <c r="CG730" s="1550">
        <f t="shared" si="39"/>
        <v>1</v>
      </c>
      <c r="CH730" s="1551"/>
      <c r="CI730" s="1552">
        <f t="shared" si="40"/>
        <v>9</v>
      </c>
      <c r="CJ730" s="1553"/>
      <c r="CK730" s="1550">
        <f t="shared" si="18"/>
        <v>0</v>
      </c>
      <c r="CL730" s="1551"/>
      <c r="CM730" s="1552">
        <f t="shared" si="19"/>
        <v>0</v>
      </c>
      <c r="CN730" s="1553"/>
      <c r="CO730" s="3"/>
      <c r="CP730" s="1545">
        <f t="shared" si="20"/>
        <v>0</v>
      </c>
      <c r="CQ730" s="1546"/>
      <c r="CR730" s="1546"/>
      <c r="CS730" s="1546"/>
      <c r="CT730" s="1547"/>
      <c r="CU730" s="1549">
        <f t="shared" si="21"/>
        <v>9</v>
      </c>
      <c r="CV730" s="1549"/>
      <c r="CW730" s="1549"/>
      <c r="CX730" s="1549"/>
      <c r="CY730" s="1549"/>
      <c r="CZ730" s="1549">
        <f t="shared" si="22"/>
        <v>0</v>
      </c>
      <c r="DA730" s="1549"/>
      <c r="DB730" s="1549"/>
      <c r="DC730" s="1549"/>
      <c r="DD730" s="1549"/>
      <c r="DE730" s="1549">
        <f t="shared" si="23"/>
        <v>0</v>
      </c>
      <c r="DF730" s="1549"/>
      <c r="DG730" s="1549"/>
      <c r="DH730" s="1549"/>
      <c r="DI730" s="1549"/>
      <c r="DJ730" s="1549">
        <f t="shared" si="24"/>
        <v>0</v>
      </c>
      <c r="DK730" s="1549"/>
      <c r="DL730" s="1549"/>
      <c r="DM730" s="1549"/>
      <c r="DN730" s="1549"/>
      <c r="DO730" s="1549">
        <f t="shared" si="25"/>
        <v>0</v>
      </c>
      <c r="DP730" s="1549"/>
      <c r="DQ730" s="1549"/>
      <c r="DR730" s="1549"/>
      <c r="DS730" s="1549"/>
      <c r="DT730" s="6"/>
      <c r="DU730" s="1554">
        <f t="shared" si="26"/>
        <v>0</v>
      </c>
      <c r="DV730" s="1554"/>
      <c r="DW730" s="1554"/>
      <c r="DX730" s="1554"/>
      <c r="DY730" s="1554"/>
      <c r="DZ730" s="1554">
        <f t="shared" si="27"/>
        <v>0</v>
      </c>
      <c r="EA730" s="1554"/>
      <c r="EB730" s="1554"/>
      <c r="EC730" s="1554"/>
      <c r="ED730" s="1554"/>
      <c r="EE730" s="1554">
        <f t="shared" si="28"/>
        <v>0</v>
      </c>
      <c r="EF730" s="1554"/>
      <c r="EG730" s="1554"/>
      <c r="EH730" s="1554"/>
      <c r="EI730" s="1554"/>
      <c r="EJ730" s="1554">
        <f t="shared" si="29"/>
        <v>0</v>
      </c>
      <c r="EK730" s="1554"/>
      <c r="EL730" s="1554"/>
      <c r="EM730" s="1554"/>
      <c r="EN730" s="1554"/>
      <c r="EO730" s="1554">
        <f t="shared" si="30"/>
        <v>0</v>
      </c>
      <c r="EP730" s="1554"/>
      <c r="EQ730" s="1554"/>
      <c r="ER730" s="1554"/>
      <c r="ES730" s="1554"/>
      <c r="ET730" s="1554">
        <f t="shared" si="31"/>
        <v>0</v>
      </c>
      <c r="EU730" s="1554"/>
      <c r="EV730" s="1554"/>
      <c r="EW730" s="1554"/>
      <c r="EX730" s="1554"/>
      <c r="EZ730" s="1550" t="str">
        <f t="shared" si="32"/>
        <v/>
      </c>
      <c r="FA730" s="1556"/>
      <c r="FB730" s="1556"/>
      <c r="FC730" s="1556"/>
      <c r="FD730" s="1551"/>
      <c r="FE730" s="1550">
        <f t="shared" si="33"/>
        <v>1361</v>
      </c>
      <c r="FF730" s="1556"/>
      <c r="FG730" s="1556"/>
      <c r="FH730" s="1556"/>
      <c r="FI730" s="1551"/>
      <c r="FJ730" s="1550" t="str">
        <f t="shared" si="34"/>
        <v/>
      </c>
      <c r="FK730" s="1556"/>
      <c r="FL730" s="1556"/>
      <c r="FM730" s="1556"/>
      <c r="FN730" s="1551"/>
      <c r="FO730" s="1550" t="str">
        <f t="shared" si="35"/>
        <v/>
      </c>
      <c r="FP730" s="1556"/>
      <c r="FQ730" s="1556"/>
      <c r="FR730" s="1556"/>
      <c r="FS730" s="1551"/>
      <c r="FT730" s="1550" t="str">
        <f t="shared" si="36"/>
        <v/>
      </c>
      <c r="FU730" s="1556"/>
      <c r="FV730" s="1556"/>
      <c r="FW730" s="1556"/>
      <c r="FX730" s="1551"/>
      <c r="FY730" s="1550" t="str">
        <f t="shared" si="37"/>
        <v/>
      </c>
      <c r="FZ730" s="1556"/>
      <c r="GA730" s="1556"/>
      <c r="GB730" s="1556"/>
      <c r="GC730" s="1551"/>
    </row>
    <row r="731" spans="1:185" ht="12.95" customHeight="1">
      <c r="B731" s="1376" t="s">
        <v>164</v>
      </c>
      <c r="C731" s="1377"/>
      <c r="D731" s="1377"/>
      <c r="E731" s="1377"/>
      <c r="F731" s="1378"/>
      <c r="G731" s="1370">
        <v>21</v>
      </c>
      <c r="H731" s="1371"/>
      <c r="I731" s="1371"/>
      <c r="J731" s="1372"/>
      <c r="K731" s="1373">
        <v>1095</v>
      </c>
      <c r="L731" s="1374"/>
      <c r="M731" s="1374"/>
      <c r="N731" s="1375"/>
      <c r="O731" s="1415">
        <v>1886</v>
      </c>
      <c r="P731" s="1416"/>
      <c r="Q731" s="1416"/>
      <c r="R731" s="1416"/>
      <c r="S731" s="1417"/>
      <c r="T731" s="1415">
        <v>83</v>
      </c>
      <c r="U731" s="1416"/>
      <c r="V731" s="1416"/>
      <c r="W731" s="1417"/>
      <c r="X731" s="1418">
        <f t="shared" si="10"/>
        <v>1969</v>
      </c>
      <c r="Y731" s="1414"/>
      <c r="Z731" s="1414"/>
      <c r="AA731" s="1414"/>
      <c r="AB731" s="1419"/>
      <c r="AC731" s="1420">
        <v>0.5</v>
      </c>
      <c r="AD731" s="1421"/>
      <c r="AE731" s="1421"/>
      <c r="AF731" s="1421"/>
      <c r="AG731" s="1422"/>
      <c r="AH731" s="1438">
        <f t="shared" si="38"/>
        <v>0.5</v>
      </c>
      <c r="AI731" s="1439"/>
      <c r="AJ731" s="1440"/>
      <c r="AK731" s="1376" t="s">
        <v>589</v>
      </c>
      <c r="AL731" s="1377"/>
      <c r="AM731" s="1377"/>
      <c r="AN731" s="1377"/>
      <c r="AO731" s="1378"/>
      <c r="AP731" s="3"/>
      <c r="AQ731" s="3"/>
      <c r="AR731" s="3"/>
      <c r="AS731" s="3"/>
      <c r="AY731" s="116"/>
      <c r="AZ731" s="118">
        <f t="shared" si="11"/>
        <v>3938</v>
      </c>
      <c r="BA731" s="3"/>
      <c r="BB731" s="3"/>
      <c r="BC731" s="3"/>
      <c r="BD731" s="3"/>
      <c r="BE731" s="204"/>
      <c r="BF731" s="293">
        <f t="shared" si="12"/>
        <v>21</v>
      </c>
      <c r="BG731" s="296">
        <f t="shared" si="13"/>
        <v>0.1721311475409836</v>
      </c>
      <c r="BH731" s="297">
        <f t="shared" si="14"/>
        <v>8.6065573770491802E-2</v>
      </c>
      <c r="BI731" s="3"/>
      <c r="BJ731" s="3"/>
      <c r="BK731" s="3"/>
      <c r="BL731" s="3"/>
      <c r="BM731" s="3"/>
      <c r="BN731" s="3"/>
      <c r="BS731" s="293">
        <f t="shared" si="15"/>
        <v>21</v>
      </c>
      <c r="BT731" s="296">
        <f t="shared" si="16"/>
        <v>0.1721311475409836</v>
      </c>
      <c r="BU731" s="297">
        <f t="shared" si="17"/>
        <v>8.6065573770491802E-2</v>
      </c>
      <c r="CC731" s="3"/>
      <c r="CD731" s="3"/>
      <c r="CE731" s="3"/>
      <c r="CF731" s="3"/>
      <c r="CG731" s="1550">
        <f t="shared" si="39"/>
        <v>1</v>
      </c>
      <c r="CH731" s="1551"/>
      <c r="CI731" s="1552">
        <f t="shared" si="40"/>
        <v>21</v>
      </c>
      <c r="CJ731" s="1553"/>
      <c r="CK731" s="1550">
        <f t="shared" si="18"/>
        <v>0</v>
      </c>
      <c r="CL731" s="1551"/>
      <c r="CM731" s="1552">
        <f t="shared" si="19"/>
        <v>0</v>
      </c>
      <c r="CN731" s="1553"/>
      <c r="CO731" s="3"/>
      <c r="CP731" s="1545">
        <f t="shared" si="20"/>
        <v>0</v>
      </c>
      <c r="CQ731" s="1546"/>
      <c r="CR731" s="1546"/>
      <c r="CS731" s="1546"/>
      <c r="CT731" s="1547"/>
      <c r="CU731" s="1549">
        <f t="shared" si="21"/>
        <v>0</v>
      </c>
      <c r="CV731" s="1549"/>
      <c r="CW731" s="1549"/>
      <c r="CX731" s="1549"/>
      <c r="CY731" s="1549"/>
      <c r="CZ731" s="1549">
        <f t="shared" si="22"/>
        <v>0</v>
      </c>
      <c r="DA731" s="1549"/>
      <c r="DB731" s="1549"/>
      <c r="DC731" s="1549"/>
      <c r="DD731" s="1549"/>
      <c r="DE731" s="1549">
        <f t="shared" si="23"/>
        <v>21</v>
      </c>
      <c r="DF731" s="1549"/>
      <c r="DG731" s="1549"/>
      <c r="DH731" s="1549"/>
      <c r="DI731" s="1549"/>
      <c r="DJ731" s="1549">
        <f t="shared" si="24"/>
        <v>0</v>
      </c>
      <c r="DK731" s="1549"/>
      <c r="DL731" s="1549"/>
      <c r="DM731" s="1549"/>
      <c r="DN731" s="1549"/>
      <c r="DO731" s="1549">
        <f t="shared" si="25"/>
        <v>0</v>
      </c>
      <c r="DP731" s="1549"/>
      <c r="DQ731" s="1549"/>
      <c r="DR731" s="1549"/>
      <c r="DS731" s="1549"/>
      <c r="DT731" s="6"/>
      <c r="DU731" s="1554">
        <f t="shared" si="26"/>
        <v>0</v>
      </c>
      <c r="DV731" s="1554"/>
      <c r="DW731" s="1554"/>
      <c r="DX731" s="1554"/>
      <c r="DY731" s="1554"/>
      <c r="DZ731" s="1554">
        <f t="shared" si="27"/>
        <v>0</v>
      </c>
      <c r="EA731" s="1554"/>
      <c r="EB731" s="1554"/>
      <c r="EC731" s="1554"/>
      <c r="ED731" s="1554"/>
      <c r="EE731" s="1554">
        <f t="shared" si="28"/>
        <v>0</v>
      </c>
      <c r="EF731" s="1554"/>
      <c r="EG731" s="1554"/>
      <c r="EH731" s="1554"/>
      <c r="EI731" s="1554"/>
      <c r="EJ731" s="1554">
        <f t="shared" si="29"/>
        <v>0</v>
      </c>
      <c r="EK731" s="1554"/>
      <c r="EL731" s="1554"/>
      <c r="EM731" s="1554"/>
      <c r="EN731" s="1554"/>
      <c r="EO731" s="1554">
        <f t="shared" si="30"/>
        <v>0</v>
      </c>
      <c r="EP731" s="1554"/>
      <c r="EQ731" s="1554"/>
      <c r="ER731" s="1554"/>
      <c r="ES731" s="1554"/>
      <c r="ET731" s="1554">
        <f t="shared" si="31"/>
        <v>0</v>
      </c>
      <c r="EU731" s="1554"/>
      <c r="EV731" s="1554"/>
      <c r="EW731" s="1554"/>
      <c r="EX731" s="1554"/>
      <c r="EZ731" s="1550" t="str">
        <f t="shared" si="32"/>
        <v/>
      </c>
      <c r="FA731" s="1556"/>
      <c r="FB731" s="1556"/>
      <c r="FC731" s="1556"/>
      <c r="FD731" s="1551"/>
      <c r="FE731" s="1550" t="str">
        <f t="shared" si="33"/>
        <v/>
      </c>
      <c r="FF731" s="1556"/>
      <c r="FG731" s="1556"/>
      <c r="FH731" s="1556"/>
      <c r="FI731" s="1551"/>
      <c r="FJ731" s="1550" t="str">
        <f t="shared" si="34"/>
        <v/>
      </c>
      <c r="FK731" s="1556"/>
      <c r="FL731" s="1556"/>
      <c r="FM731" s="1556"/>
      <c r="FN731" s="1551"/>
      <c r="FO731" s="1550">
        <f t="shared" si="35"/>
        <v>1886</v>
      </c>
      <c r="FP731" s="1556"/>
      <c r="FQ731" s="1556"/>
      <c r="FR731" s="1556"/>
      <c r="FS731" s="1551"/>
      <c r="FT731" s="1550" t="str">
        <f t="shared" si="36"/>
        <v/>
      </c>
      <c r="FU731" s="1556"/>
      <c r="FV731" s="1556"/>
      <c r="FW731" s="1556"/>
      <c r="FX731" s="1551"/>
      <c r="FY731" s="1550" t="str">
        <f t="shared" si="37"/>
        <v/>
      </c>
      <c r="FZ731" s="1556"/>
      <c r="GA731" s="1556"/>
      <c r="GB731" s="1556"/>
      <c r="GC731" s="1551"/>
    </row>
    <row r="732" spans="1:185" ht="12.95" customHeight="1">
      <c r="B732" s="1376" t="s">
        <v>324</v>
      </c>
      <c r="C732" s="1377"/>
      <c r="D732" s="1377"/>
      <c r="E732" s="1377"/>
      <c r="F732" s="1378"/>
      <c r="G732" s="1370">
        <v>26</v>
      </c>
      <c r="H732" s="1371"/>
      <c r="I732" s="1371"/>
      <c r="J732" s="1372"/>
      <c r="K732" s="1373">
        <v>577</v>
      </c>
      <c r="L732" s="1374"/>
      <c r="M732" s="1374"/>
      <c r="N732" s="1375"/>
      <c r="O732" s="1415">
        <v>1645</v>
      </c>
      <c r="P732" s="1416"/>
      <c r="Q732" s="1416"/>
      <c r="R732" s="1416"/>
      <c r="S732" s="1417"/>
      <c r="T732" s="1415">
        <v>59</v>
      </c>
      <c r="U732" s="1416"/>
      <c r="V732" s="1416"/>
      <c r="W732" s="1417"/>
      <c r="X732" s="1418">
        <f t="shared" si="10"/>
        <v>1704</v>
      </c>
      <c r="Y732" s="1414"/>
      <c r="Z732" s="1414"/>
      <c r="AA732" s="1414"/>
      <c r="AB732" s="1419"/>
      <c r="AC732" s="1420">
        <v>0.6</v>
      </c>
      <c r="AD732" s="1421"/>
      <c r="AE732" s="1421"/>
      <c r="AF732" s="1421"/>
      <c r="AG732" s="1422"/>
      <c r="AH732" s="1438">
        <f t="shared" si="38"/>
        <v>0.6</v>
      </c>
      <c r="AI732" s="1439"/>
      <c r="AJ732" s="1440"/>
      <c r="AK732" s="1376" t="s">
        <v>589</v>
      </c>
      <c r="AL732" s="1377"/>
      <c r="AM732" s="1377"/>
      <c r="AN732" s="1377"/>
      <c r="AO732" s="1378"/>
      <c r="AP732" s="3"/>
      <c r="AQ732" s="3"/>
      <c r="AR732" s="3"/>
      <c r="AS732" s="3"/>
      <c r="AY732" s="116"/>
      <c r="AZ732" s="118">
        <f t="shared" si="11"/>
        <v>2840</v>
      </c>
      <c r="BA732" s="3"/>
      <c r="BB732" s="3"/>
      <c r="BC732" s="3"/>
      <c r="BD732" s="3"/>
      <c r="BE732" s="204"/>
      <c r="BF732" s="293">
        <f t="shared" si="12"/>
        <v>26</v>
      </c>
      <c r="BG732" s="296">
        <f t="shared" si="13"/>
        <v>0.21311475409836064</v>
      </c>
      <c r="BH732" s="297">
        <f t="shared" si="14"/>
        <v>0.12786885245901639</v>
      </c>
      <c r="BI732" s="3"/>
      <c r="BJ732" s="3"/>
      <c r="BK732" s="3"/>
      <c r="BL732" s="3"/>
      <c r="BM732" s="3"/>
      <c r="BN732" s="3"/>
      <c r="BS732" s="293">
        <f t="shared" si="15"/>
        <v>26</v>
      </c>
      <c r="BT732" s="296">
        <f t="shared" si="16"/>
        <v>0.21311475409836064</v>
      </c>
      <c r="BU732" s="297">
        <f t="shared" si="17"/>
        <v>0.12786885245901639</v>
      </c>
      <c r="CC732" s="3"/>
      <c r="CE732" s="3"/>
      <c r="CF732" s="3"/>
      <c r="CG732" s="1550">
        <f t="shared" si="39"/>
        <v>0</v>
      </c>
      <c r="CH732" s="1551"/>
      <c r="CI732" s="1552">
        <f t="shared" si="40"/>
        <v>0</v>
      </c>
      <c r="CJ732" s="1553"/>
      <c r="CK732" s="1550">
        <f t="shared" si="18"/>
        <v>0</v>
      </c>
      <c r="CL732" s="1551"/>
      <c r="CM732" s="1552">
        <f t="shared" si="19"/>
        <v>0</v>
      </c>
      <c r="CN732" s="1553"/>
      <c r="CO732" s="3"/>
      <c r="CP732" s="1545">
        <f t="shared" si="20"/>
        <v>0</v>
      </c>
      <c r="CQ732" s="1546"/>
      <c r="CR732" s="1546"/>
      <c r="CS732" s="1546"/>
      <c r="CT732" s="1547"/>
      <c r="CU732" s="1549">
        <f t="shared" si="21"/>
        <v>26</v>
      </c>
      <c r="CV732" s="1549"/>
      <c r="CW732" s="1549"/>
      <c r="CX732" s="1549"/>
      <c r="CY732" s="1549"/>
      <c r="CZ732" s="1549">
        <f t="shared" si="22"/>
        <v>0</v>
      </c>
      <c r="DA732" s="1549"/>
      <c r="DB732" s="1549"/>
      <c r="DC732" s="1549"/>
      <c r="DD732" s="1549"/>
      <c r="DE732" s="1549">
        <f t="shared" si="23"/>
        <v>0</v>
      </c>
      <c r="DF732" s="1549"/>
      <c r="DG732" s="1549"/>
      <c r="DH732" s="1549"/>
      <c r="DI732" s="1549"/>
      <c r="DJ732" s="1549">
        <f t="shared" si="24"/>
        <v>0</v>
      </c>
      <c r="DK732" s="1549"/>
      <c r="DL732" s="1549"/>
      <c r="DM732" s="1549"/>
      <c r="DN732" s="1549"/>
      <c r="DO732" s="1549">
        <f t="shared" si="25"/>
        <v>0</v>
      </c>
      <c r="DP732" s="1549"/>
      <c r="DQ732" s="1549"/>
      <c r="DR732" s="1549"/>
      <c r="DS732" s="1549"/>
      <c r="DT732" s="6"/>
      <c r="DU732" s="1554">
        <f t="shared" si="26"/>
        <v>0</v>
      </c>
      <c r="DV732" s="1554"/>
      <c r="DW732" s="1554"/>
      <c r="DX732" s="1554"/>
      <c r="DY732" s="1554"/>
      <c r="DZ732" s="1554">
        <f t="shared" si="27"/>
        <v>0</v>
      </c>
      <c r="EA732" s="1554"/>
      <c r="EB732" s="1554"/>
      <c r="EC732" s="1554"/>
      <c r="ED732" s="1554"/>
      <c r="EE732" s="1554">
        <f t="shared" si="28"/>
        <v>0</v>
      </c>
      <c r="EF732" s="1554"/>
      <c r="EG732" s="1554"/>
      <c r="EH732" s="1554"/>
      <c r="EI732" s="1554"/>
      <c r="EJ732" s="1554">
        <f t="shared" si="29"/>
        <v>0</v>
      </c>
      <c r="EK732" s="1554"/>
      <c r="EL732" s="1554"/>
      <c r="EM732" s="1554"/>
      <c r="EN732" s="1554"/>
      <c r="EO732" s="1554">
        <f t="shared" si="30"/>
        <v>0</v>
      </c>
      <c r="EP732" s="1554"/>
      <c r="EQ732" s="1554"/>
      <c r="ER732" s="1554"/>
      <c r="ES732" s="1554"/>
      <c r="ET732" s="1554">
        <f t="shared" si="31"/>
        <v>0</v>
      </c>
      <c r="EU732" s="1554"/>
      <c r="EV732" s="1554"/>
      <c r="EW732" s="1554"/>
      <c r="EX732" s="1554"/>
      <c r="EZ732" s="1550" t="str">
        <f t="shared" si="32"/>
        <v/>
      </c>
      <c r="FA732" s="1556"/>
      <c r="FB732" s="1556"/>
      <c r="FC732" s="1556"/>
      <c r="FD732" s="1551"/>
      <c r="FE732" s="1550">
        <f t="shared" si="33"/>
        <v>1645</v>
      </c>
      <c r="FF732" s="1556"/>
      <c r="FG732" s="1556"/>
      <c r="FH732" s="1556"/>
      <c r="FI732" s="1551"/>
      <c r="FJ732" s="1550" t="str">
        <f t="shared" si="34"/>
        <v/>
      </c>
      <c r="FK732" s="1556"/>
      <c r="FL732" s="1556"/>
      <c r="FM732" s="1556"/>
      <c r="FN732" s="1551"/>
      <c r="FO732" s="1550" t="str">
        <f t="shared" si="35"/>
        <v/>
      </c>
      <c r="FP732" s="1556"/>
      <c r="FQ732" s="1556"/>
      <c r="FR732" s="1556"/>
      <c r="FS732" s="1551"/>
      <c r="FT732" s="1550" t="str">
        <f t="shared" si="36"/>
        <v/>
      </c>
      <c r="FU732" s="1556"/>
      <c r="FV732" s="1556"/>
      <c r="FW732" s="1556"/>
      <c r="FX732" s="1551"/>
      <c r="FY732" s="1550" t="str">
        <f t="shared" si="37"/>
        <v/>
      </c>
      <c r="FZ732" s="1556"/>
      <c r="GA732" s="1556"/>
      <c r="GB732" s="1556"/>
      <c r="GC732" s="1551"/>
    </row>
    <row r="733" spans="1:185" ht="12.95" customHeight="1">
      <c r="B733" s="1376" t="s">
        <v>163</v>
      </c>
      <c r="C733" s="1377"/>
      <c r="D733" s="1377"/>
      <c r="E733" s="1377"/>
      <c r="F733" s="1378"/>
      <c r="G733" s="1370">
        <v>27</v>
      </c>
      <c r="H733" s="1371"/>
      <c r="I733" s="1371"/>
      <c r="J733" s="1372"/>
      <c r="K733" s="1373">
        <v>867</v>
      </c>
      <c r="L733" s="1374"/>
      <c r="M733" s="1374"/>
      <c r="N733" s="1375"/>
      <c r="O733" s="1415">
        <v>1972</v>
      </c>
      <c r="P733" s="1416"/>
      <c r="Q733" s="1416"/>
      <c r="R733" s="1416"/>
      <c r="S733" s="1417"/>
      <c r="T733" s="1415">
        <v>72</v>
      </c>
      <c r="U733" s="1416"/>
      <c r="V733" s="1416"/>
      <c r="W733" s="1417"/>
      <c r="X733" s="1418">
        <f t="shared" si="10"/>
        <v>2044</v>
      </c>
      <c r="Y733" s="1414"/>
      <c r="Z733" s="1414"/>
      <c r="AA733" s="1414"/>
      <c r="AB733" s="1419"/>
      <c r="AC733" s="1420">
        <v>0.6</v>
      </c>
      <c r="AD733" s="1421"/>
      <c r="AE733" s="1421"/>
      <c r="AF733" s="1421"/>
      <c r="AG733" s="1422"/>
      <c r="AH733" s="1438">
        <f t="shared" si="38"/>
        <v>0.60011743981209631</v>
      </c>
      <c r="AI733" s="1439"/>
      <c r="AJ733" s="1440"/>
      <c r="AK733" s="1376" t="s">
        <v>589</v>
      </c>
      <c r="AL733" s="1377"/>
      <c r="AM733" s="1377"/>
      <c r="AN733" s="1377"/>
      <c r="AO733" s="1378"/>
      <c r="AP733" s="3"/>
      <c r="AQ733" s="3"/>
      <c r="AR733" s="3"/>
      <c r="AS733" s="3"/>
      <c r="AY733" s="1079"/>
      <c r="AZ733" s="118">
        <f t="shared" si="11"/>
        <v>3406</v>
      </c>
      <c r="BA733" s="3"/>
      <c r="BB733" s="3"/>
      <c r="BC733" s="3"/>
      <c r="BD733" s="3"/>
      <c r="BE733" s="204"/>
      <c r="BF733" s="293">
        <f t="shared" si="12"/>
        <v>27</v>
      </c>
      <c r="BG733" s="296">
        <f t="shared" si="13"/>
        <v>0.22131147540983606</v>
      </c>
      <c r="BH733" s="297">
        <f t="shared" si="14"/>
        <v>0.13278688524590163</v>
      </c>
      <c r="BI733" s="3"/>
      <c r="BJ733" s="3"/>
      <c r="BK733" s="3"/>
      <c r="BL733" s="3"/>
      <c r="BM733" s="3"/>
      <c r="BN733" s="3"/>
      <c r="BS733" s="293">
        <f t="shared" si="15"/>
        <v>27</v>
      </c>
      <c r="BT733" s="296">
        <f t="shared" si="16"/>
        <v>0.22131147540983606</v>
      </c>
      <c r="BU733" s="297">
        <f t="shared" si="17"/>
        <v>0.13281287602398853</v>
      </c>
      <c r="BV733" s="291"/>
      <c r="BW733" s="3"/>
      <c r="BX733" s="3"/>
      <c r="BY733" s="3"/>
      <c r="BZ733" s="3"/>
      <c r="CA733" s="3"/>
      <c r="CB733" s="3"/>
      <c r="CC733" s="3"/>
      <c r="CE733" s="3"/>
      <c r="CF733" s="3"/>
      <c r="CG733" s="1550">
        <f t="shared" si="39"/>
        <v>0</v>
      </c>
      <c r="CH733" s="1551"/>
      <c r="CI733" s="1552">
        <f t="shared" si="40"/>
        <v>0</v>
      </c>
      <c r="CJ733" s="1553"/>
      <c r="CK733" s="1550">
        <f t="shared" si="18"/>
        <v>0</v>
      </c>
      <c r="CL733" s="1551"/>
      <c r="CM733" s="1552">
        <f t="shared" si="19"/>
        <v>0</v>
      </c>
      <c r="CN733" s="1553"/>
      <c r="CO733" s="3"/>
      <c r="CP733" s="1545">
        <f t="shared" si="20"/>
        <v>0</v>
      </c>
      <c r="CQ733" s="1546"/>
      <c r="CR733" s="1546"/>
      <c r="CS733" s="1546"/>
      <c r="CT733" s="1547"/>
      <c r="CU733" s="1549">
        <f t="shared" si="21"/>
        <v>0</v>
      </c>
      <c r="CV733" s="1549"/>
      <c r="CW733" s="1549"/>
      <c r="CX733" s="1549"/>
      <c r="CY733" s="1549"/>
      <c r="CZ733" s="1549">
        <f t="shared" si="22"/>
        <v>27</v>
      </c>
      <c r="DA733" s="1549"/>
      <c r="DB733" s="1549"/>
      <c r="DC733" s="1549"/>
      <c r="DD733" s="1549"/>
      <c r="DE733" s="1549">
        <f t="shared" si="23"/>
        <v>0</v>
      </c>
      <c r="DF733" s="1549"/>
      <c r="DG733" s="1549"/>
      <c r="DH733" s="1549"/>
      <c r="DI733" s="1549"/>
      <c r="DJ733" s="1549">
        <f t="shared" si="24"/>
        <v>0</v>
      </c>
      <c r="DK733" s="1549"/>
      <c r="DL733" s="1549"/>
      <c r="DM733" s="1549"/>
      <c r="DN733" s="1549"/>
      <c r="DO733" s="1549">
        <f t="shared" si="25"/>
        <v>0</v>
      </c>
      <c r="DP733" s="1549"/>
      <c r="DQ733" s="1549"/>
      <c r="DR733" s="1549"/>
      <c r="DS733" s="1549"/>
      <c r="DT733" s="6"/>
      <c r="DU733" s="1554">
        <f t="shared" si="26"/>
        <v>0</v>
      </c>
      <c r="DV733" s="1554"/>
      <c r="DW733" s="1554"/>
      <c r="DX733" s="1554"/>
      <c r="DY733" s="1554"/>
      <c r="DZ733" s="1554">
        <f t="shared" si="27"/>
        <v>0</v>
      </c>
      <c r="EA733" s="1554"/>
      <c r="EB733" s="1554"/>
      <c r="EC733" s="1554"/>
      <c r="ED733" s="1554"/>
      <c r="EE733" s="1554">
        <f t="shared" si="28"/>
        <v>0</v>
      </c>
      <c r="EF733" s="1554"/>
      <c r="EG733" s="1554"/>
      <c r="EH733" s="1554"/>
      <c r="EI733" s="1554"/>
      <c r="EJ733" s="1554">
        <f t="shared" si="29"/>
        <v>0</v>
      </c>
      <c r="EK733" s="1554"/>
      <c r="EL733" s="1554"/>
      <c r="EM733" s="1554"/>
      <c r="EN733" s="1554"/>
      <c r="EO733" s="1554">
        <f t="shared" si="30"/>
        <v>0</v>
      </c>
      <c r="EP733" s="1554"/>
      <c r="EQ733" s="1554"/>
      <c r="ER733" s="1554"/>
      <c r="ES733" s="1554"/>
      <c r="ET733" s="1554">
        <f t="shared" si="31"/>
        <v>0</v>
      </c>
      <c r="EU733" s="1554"/>
      <c r="EV733" s="1554"/>
      <c r="EW733" s="1554"/>
      <c r="EX733" s="1554"/>
      <c r="EZ733" s="1550" t="str">
        <f t="shared" si="32"/>
        <v/>
      </c>
      <c r="FA733" s="1556"/>
      <c r="FB733" s="1556"/>
      <c r="FC733" s="1556"/>
      <c r="FD733" s="1551"/>
      <c r="FE733" s="1550" t="str">
        <f t="shared" si="33"/>
        <v/>
      </c>
      <c r="FF733" s="1556"/>
      <c r="FG733" s="1556"/>
      <c r="FH733" s="1556"/>
      <c r="FI733" s="1551"/>
      <c r="FJ733" s="1550">
        <f t="shared" si="34"/>
        <v>1972</v>
      </c>
      <c r="FK733" s="1556"/>
      <c r="FL733" s="1556"/>
      <c r="FM733" s="1556"/>
      <c r="FN733" s="1551"/>
      <c r="FO733" s="1550" t="str">
        <f t="shared" si="35"/>
        <v/>
      </c>
      <c r="FP733" s="1556"/>
      <c r="FQ733" s="1556"/>
      <c r="FR733" s="1556"/>
      <c r="FS733" s="1551"/>
      <c r="FT733" s="1550" t="str">
        <f t="shared" si="36"/>
        <v/>
      </c>
      <c r="FU733" s="1556"/>
      <c r="FV733" s="1556"/>
      <c r="FW733" s="1556"/>
      <c r="FX733" s="1551"/>
      <c r="FY733" s="1550" t="str">
        <f t="shared" si="37"/>
        <v/>
      </c>
      <c r="FZ733" s="1556"/>
      <c r="GA733" s="1556"/>
      <c r="GB733" s="1556"/>
      <c r="GC733" s="1551"/>
    </row>
    <row r="734" spans="1:185" ht="12.95" customHeight="1">
      <c r="B734" s="1376" t="s">
        <v>164</v>
      </c>
      <c r="C734" s="1377"/>
      <c r="D734" s="1377"/>
      <c r="E734" s="1377"/>
      <c r="F734" s="1378"/>
      <c r="G734" s="1370">
        <v>8</v>
      </c>
      <c r="H734" s="1371"/>
      <c r="I734" s="1371"/>
      <c r="J734" s="1372"/>
      <c r="K734" s="1373">
        <v>1095</v>
      </c>
      <c r="L734" s="1374"/>
      <c r="M734" s="1374"/>
      <c r="N734" s="1375"/>
      <c r="O734" s="1415">
        <v>2279</v>
      </c>
      <c r="P734" s="1416"/>
      <c r="Q734" s="1416"/>
      <c r="R734" s="1416"/>
      <c r="S734" s="1417"/>
      <c r="T734" s="1415">
        <v>83</v>
      </c>
      <c r="U734" s="1416"/>
      <c r="V734" s="1416"/>
      <c r="W734" s="1417"/>
      <c r="X734" s="1418">
        <f t="shared" si="10"/>
        <v>2362</v>
      </c>
      <c r="Y734" s="1414"/>
      <c r="Z734" s="1414"/>
      <c r="AA734" s="1414"/>
      <c r="AB734" s="1419"/>
      <c r="AC734" s="1420">
        <v>0.6</v>
      </c>
      <c r="AD734" s="1421"/>
      <c r="AE734" s="1421"/>
      <c r="AF734" s="1421"/>
      <c r="AG734" s="1422"/>
      <c r="AH734" s="1438">
        <f t="shared" si="38"/>
        <v>0.59979685119349924</v>
      </c>
      <c r="AI734" s="1439"/>
      <c r="AJ734" s="1440"/>
      <c r="AK734" s="1376" t="s">
        <v>589</v>
      </c>
      <c r="AL734" s="1377"/>
      <c r="AM734" s="1377"/>
      <c r="AN734" s="1377"/>
      <c r="AO734" s="1378"/>
      <c r="AP734" s="3"/>
      <c r="AQ734" s="3"/>
      <c r="AR734" s="3"/>
      <c r="AS734" s="3"/>
      <c r="AY734" s="1079"/>
      <c r="AZ734" s="118">
        <f t="shared" si="11"/>
        <v>3938</v>
      </c>
      <c r="BA734" s="3"/>
      <c r="BB734" s="3"/>
      <c r="BC734" s="3"/>
      <c r="BD734" s="3"/>
      <c r="BE734" s="204"/>
      <c r="BF734" s="293">
        <f t="shared" si="12"/>
        <v>8</v>
      </c>
      <c r="BG734" s="296">
        <f t="shared" si="13"/>
        <v>6.5573770491803282E-2</v>
      </c>
      <c r="BH734" s="297">
        <f t="shared" si="14"/>
        <v>3.9344262295081971E-2</v>
      </c>
      <c r="BI734" s="3"/>
      <c r="BJ734" s="3"/>
      <c r="BK734" s="3"/>
      <c r="BL734" s="3"/>
      <c r="BM734" s="3"/>
      <c r="BN734" s="3"/>
      <c r="BS734" s="293">
        <f t="shared" si="15"/>
        <v>8</v>
      </c>
      <c r="BT734" s="296">
        <f t="shared" si="16"/>
        <v>6.5573770491803282E-2</v>
      </c>
      <c r="BU734" s="297">
        <f t="shared" si="17"/>
        <v>3.9330941061868803E-2</v>
      </c>
      <c r="BV734" s="3"/>
      <c r="BW734" s="3"/>
      <c r="BX734" s="3"/>
      <c r="BY734" s="3"/>
      <c r="BZ734" s="3"/>
      <c r="CA734" s="3"/>
      <c r="CB734" s="3"/>
      <c r="CC734" s="3"/>
      <c r="CE734" s="3"/>
      <c r="CF734" s="3"/>
      <c r="CG734" s="1550">
        <f t="shared" si="39"/>
        <v>0</v>
      </c>
      <c r="CH734" s="1551"/>
      <c r="CI734" s="1552">
        <f t="shared" si="40"/>
        <v>0</v>
      </c>
      <c r="CJ734" s="1553"/>
      <c r="CK734" s="1550">
        <f t="shared" si="18"/>
        <v>0</v>
      </c>
      <c r="CL734" s="1551"/>
      <c r="CM734" s="1552">
        <f t="shared" si="19"/>
        <v>0</v>
      </c>
      <c r="CN734" s="1553"/>
      <c r="CO734" s="3"/>
      <c r="CP734" s="1545">
        <f t="shared" si="20"/>
        <v>0</v>
      </c>
      <c r="CQ734" s="1546"/>
      <c r="CR734" s="1546"/>
      <c r="CS734" s="1546"/>
      <c r="CT734" s="1547"/>
      <c r="CU734" s="1549">
        <f t="shared" si="21"/>
        <v>0</v>
      </c>
      <c r="CV734" s="1549"/>
      <c r="CW734" s="1549"/>
      <c r="CX734" s="1549"/>
      <c r="CY734" s="1549"/>
      <c r="CZ734" s="1549">
        <f t="shared" si="22"/>
        <v>0</v>
      </c>
      <c r="DA734" s="1549"/>
      <c r="DB734" s="1549"/>
      <c r="DC734" s="1549"/>
      <c r="DD734" s="1549"/>
      <c r="DE734" s="1549">
        <f t="shared" si="23"/>
        <v>8</v>
      </c>
      <c r="DF734" s="1549"/>
      <c r="DG734" s="1549"/>
      <c r="DH734" s="1549"/>
      <c r="DI734" s="1549"/>
      <c r="DJ734" s="1549">
        <f t="shared" si="24"/>
        <v>0</v>
      </c>
      <c r="DK734" s="1549"/>
      <c r="DL734" s="1549"/>
      <c r="DM734" s="1549"/>
      <c r="DN734" s="1549"/>
      <c r="DO734" s="1549">
        <f t="shared" si="25"/>
        <v>0</v>
      </c>
      <c r="DP734" s="1549"/>
      <c r="DQ734" s="1549"/>
      <c r="DR734" s="1549"/>
      <c r="DS734" s="1549"/>
      <c r="DT734" s="6"/>
      <c r="DU734" s="1554">
        <f t="shared" si="26"/>
        <v>0</v>
      </c>
      <c r="DV734" s="1554"/>
      <c r="DW734" s="1554"/>
      <c r="DX734" s="1554"/>
      <c r="DY734" s="1554"/>
      <c r="DZ734" s="1554">
        <f t="shared" si="27"/>
        <v>0</v>
      </c>
      <c r="EA734" s="1554"/>
      <c r="EB734" s="1554"/>
      <c r="EC734" s="1554"/>
      <c r="ED734" s="1554"/>
      <c r="EE734" s="1554">
        <f t="shared" si="28"/>
        <v>0</v>
      </c>
      <c r="EF734" s="1554"/>
      <c r="EG734" s="1554"/>
      <c r="EH734" s="1554"/>
      <c r="EI734" s="1554"/>
      <c r="EJ734" s="1554">
        <f t="shared" si="29"/>
        <v>0</v>
      </c>
      <c r="EK734" s="1554"/>
      <c r="EL734" s="1554"/>
      <c r="EM734" s="1554"/>
      <c r="EN734" s="1554"/>
      <c r="EO734" s="1554">
        <f t="shared" si="30"/>
        <v>0</v>
      </c>
      <c r="EP734" s="1554"/>
      <c r="EQ734" s="1554"/>
      <c r="ER734" s="1554"/>
      <c r="ES734" s="1554"/>
      <c r="ET734" s="1554">
        <f t="shared" si="31"/>
        <v>0</v>
      </c>
      <c r="EU734" s="1554"/>
      <c r="EV734" s="1554"/>
      <c r="EW734" s="1554"/>
      <c r="EX734" s="1554"/>
      <c r="EY734" s="4"/>
      <c r="EZ734" s="1550" t="str">
        <f t="shared" si="32"/>
        <v/>
      </c>
      <c r="FA734" s="1556"/>
      <c r="FB734" s="1556"/>
      <c r="FC734" s="1556"/>
      <c r="FD734" s="1551"/>
      <c r="FE734" s="1550" t="str">
        <f t="shared" si="33"/>
        <v/>
      </c>
      <c r="FF734" s="1556"/>
      <c r="FG734" s="1556"/>
      <c r="FH734" s="1556"/>
      <c r="FI734" s="1551"/>
      <c r="FJ734" s="1550" t="str">
        <f t="shared" si="34"/>
        <v/>
      </c>
      <c r="FK734" s="1556"/>
      <c r="FL734" s="1556"/>
      <c r="FM734" s="1556"/>
      <c r="FN734" s="1551"/>
      <c r="FO734" s="1550">
        <f t="shared" si="35"/>
        <v>2279</v>
      </c>
      <c r="FP734" s="1556"/>
      <c r="FQ734" s="1556"/>
      <c r="FR734" s="1556"/>
      <c r="FS734" s="1551"/>
      <c r="FT734" s="1550" t="str">
        <f t="shared" si="36"/>
        <v/>
      </c>
      <c r="FU734" s="1556"/>
      <c r="FV734" s="1556"/>
      <c r="FW734" s="1556"/>
      <c r="FX734" s="1551"/>
      <c r="FY734" s="1550" t="str">
        <f t="shared" si="37"/>
        <v/>
      </c>
      <c r="FZ734" s="1556"/>
      <c r="GA734" s="1556"/>
      <c r="GB734" s="1556"/>
      <c r="GC734" s="1551"/>
    </row>
    <row r="735" spans="1:185" ht="12.95" customHeight="1">
      <c r="A735" s="4"/>
      <c r="B735" s="1376"/>
      <c r="C735" s="1377"/>
      <c r="D735" s="1377"/>
      <c r="E735" s="1377"/>
      <c r="F735" s="1378"/>
      <c r="G735" s="1370"/>
      <c r="H735" s="1371"/>
      <c r="I735" s="1371"/>
      <c r="J735" s="1372"/>
      <c r="K735" s="1373"/>
      <c r="L735" s="1374"/>
      <c r="M735" s="1374"/>
      <c r="N735" s="1375"/>
      <c r="O735" s="1415"/>
      <c r="P735" s="1416"/>
      <c r="Q735" s="1416"/>
      <c r="R735" s="1416"/>
      <c r="S735" s="1417"/>
      <c r="T735" s="1415"/>
      <c r="U735" s="1416"/>
      <c r="V735" s="1416"/>
      <c r="W735" s="1417"/>
      <c r="X735" s="1418">
        <f t="shared" si="10"/>
        <v>0</v>
      </c>
      <c r="Y735" s="1414"/>
      <c r="Z735" s="1414"/>
      <c r="AA735" s="1414"/>
      <c r="AB735" s="1419"/>
      <c r="AC735" s="1420"/>
      <c r="AD735" s="1421"/>
      <c r="AE735" s="1421"/>
      <c r="AF735" s="1421"/>
      <c r="AG735" s="1422"/>
      <c r="AH735" s="1438" t="str">
        <f t="shared" si="38"/>
        <v/>
      </c>
      <c r="AI735" s="1439"/>
      <c r="AJ735" s="1440"/>
      <c r="AK735" s="1376" t="s">
        <v>589</v>
      </c>
      <c r="AL735" s="1377"/>
      <c r="AM735" s="1377"/>
      <c r="AN735" s="1377"/>
      <c r="AO735" s="1378"/>
      <c r="AP735" s="3"/>
      <c r="AQ735" s="3"/>
      <c r="AR735" s="3"/>
      <c r="AS735" s="3"/>
      <c r="AY735" s="1079"/>
      <c r="AZ735" s="118" t="str">
        <f t="shared" si="11"/>
        <v>N/A</v>
      </c>
      <c r="BA735" s="3"/>
      <c r="BB735" s="3"/>
      <c r="BC735" s="3"/>
      <c r="BD735" s="3"/>
      <c r="BE735" s="204"/>
      <c r="BF735" s="293">
        <f t="shared" si="12"/>
        <v>0</v>
      </c>
      <c r="BG735" s="296">
        <f t="shared" si="13"/>
        <v>0</v>
      </c>
      <c r="BH735" s="297" t="str">
        <f t="shared" si="14"/>
        <v/>
      </c>
      <c r="BI735" s="3"/>
      <c r="BJ735" s="3"/>
      <c r="BK735" s="3"/>
      <c r="BL735" s="3"/>
      <c r="BM735" s="3"/>
      <c r="BN735" s="3"/>
      <c r="BS735" s="293">
        <f t="shared" si="15"/>
        <v>0</v>
      </c>
      <c r="BT735" s="296">
        <f t="shared" si="16"/>
        <v>0</v>
      </c>
      <c r="BU735" s="297" t="str">
        <f t="shared" si="17"/>
        <v/>
      </c>
      <c r="BV735" s="3"/>
      <c r="BW735" s="3"/>
      <c r="BX735" s="3"/>
      <c r="BY735" s="3"/>
      <c r="BZ735" s="3"/>
      <c r="CA735" s="3"/>
      <c r="CB735" s="3"/>
      <c r="CC735" s="3"/>
      <c r="CE735" s="3"/>
      <c r="CF735" s="3"/>
      <c r="CG735" s="1550">
        <f t="shared" si="39"/>
        <v>0</v>
      </c>
      <c r="CH735" s="1551"/>
      <c r="CI735" s="1552">
        <f t="shared" si="40"/>
        <v>0</v>
      </c>
      <c r="CJ735" s="1553"/>
      <c r="CK735" s="1550">
        <f t="shared" si="18"/>
        <v>0</v>
      </c>
      <c r="CL735" s="1551"/>
      <c r="CM735" s="1552">
        <f t="shared" si="19"/>
        <v>0</v>
      </c>
      <c r="CN735" s="1553"/>
      <c r="CO735" s="3"/>
      <c r="CP735" s="1545">
        <f t="shared" si="20"/>
        <v>0</v>
      </c>
      <c r="CQ735" s="1546"/>
      <c r="CR735" s="1546"/>
      <c r="CS735" s="1546"/>
      <c r="CT735" s="1547"/>
      <c r="CU735" s="1549">
        <f t="shared" si="21"/>
        <v>0</v>
      </c>
      <c r="CV735" s="1549"/>
      <c r="CW735" s="1549"/>
      <c r="CX735" s="1549"/>
      <c r="CY735" s="1549"/>
      <c r="CZ735" s="1549">
        <f t="shared" si="22"/>
        <v>0</v>
      </c>
      <c r="DA735" s="1549"/>
      <c r="DB735" s="1549"/>
      <c r="DC735" s="1549"/>
      <c r="DD735" s="1549"/>
      <c r="DE735" s="1549">
        <f t="shared" si="23"/>
        <v>0</v>
      </c>
      <c r="DF735" s="1549"/>
      <c r="DG735" s="1549"/>
      <c r="DH735" s="1549"/>
      <c r="DI735" s="1549"/>
      <c r="DJ735" s="1549">
        <f t="shared" si="24"/>
        <v>0</v>
      </c>
      <c r="DK735" s="1549"/>
      <c r="DL735" s="1549"/>
      <c r="DM735" s="1549"/>
      <c r="DN735" s="1549"/>
      <c r="DO735" s="1549">
        <f t="shared" si="25"/>
        <v>0</v>
      </c>
      <c r="DP735" s="1549"/>
      <c r="DQ735" s="1549"/>
      <c r="DR735" s="1549"/>
      <c r="DS735" s="1549"/>
      <c r="DT735" s="6"/>
      <c r="DU735" s="1554">
        <f t="shared" si="26"/>
        <v>0</v>
      </c>
      <c r="DV735" s="1554"/>
      <c r="DW735" s="1554"/>
      <c r="DX735" s="1554"/>
      <c r="DY735" s="1554"/>
      <c r="DZ735" s="1554">
        <f t="shared" si="27"/>
        <v>0</v>
      </c>
      <c r="EA735" s="1554"/>
      <c r="EB735" s="1554"/>
      <c r="EC735" s="1554"/>
      <c r="ED735" s="1554"/>
      <c r="EE735" s="1554">
        <f t="shared" si="28"/>
        <v>0</v>
      </c>
      <c r="EF735" s="1554"/>
      <c r="EG735" s="1554"/>
      <c r="EH735" s="1554"/>
      <c r="EI735" s="1554"/>
      <c r="EJ735" s="1554">
        <f t="shared" si="29"/>
        <v>0</v>
      </c>
      <c r="EK735" s="1554"/>
      <c r="EL735" s="1554"/>
      <c r="EM735" s="1554"/>
      <c r="EN735" s="1554"/>
      <c r="EO735" s="1554">
        <f t="shared" si="30"/>
        <v>0</v>
      </c>
      <c r="EP735" s="1554"/>
      <c r="EQ735" s="1554"/>
      <c r="ER735" s="1554"/>
      <c r="ES735" s="1554"/>
      <c r="ET735" s="1554">
        <f t="shared" si="31"/>
        <v>0</v>
      </c>
      <c r="EU735" s="1554"/>
      <c r="EV735" s="1554"/>
      <c r="EW735" s="1554"/>
      <c r="EX735" s="1554"/>
      <c r="EY735" s="4"/>
      <c r="EZ735" s="1550" t="str">
        <f t="shared" si="32"/>
        <v/>
      </c>
      <c r="FA735" s="1556"/>
      <c r="FB735" s="1556"/>
      <c r="FC735" s="1556"/>
      <c r="FD735" s="1551"/>
      <c r="FE735" s="1550" t="str">
        <f t="shared" si="33"/>
        <v/>
      </c>
      <c r="FF735" s="1556"/>
      <c r="FG735" s="1556"/>
      <c r="FH735" s="1556"/>
      <c r="FI735" s="1551"/>
      <c r="FJ735" s="1550" t="str">
        <f t="shared" si="34"/>
        <v/>
      </c>
      <c r="FK735" s="1556"/>
      <c r="FL735" s="1556"/>
      <c r="FM735" s="1556"/>
      <c r="FN735" s="1551"/>
      <c r="FO735" s="1550" t="str">
        <f t="shared" si="35"/>
        <v/>
      </c>
      <c r="FP735" s="1556"/>
      <c r="FQ735" s="1556"/>
      <c r="FR735" s="1556"/>
      <c r="FS735" s="1551"/>
      <c r="FT735" s="1550" t="str">
        <f t="shared" si="36"/>
        <v/>
      </c>
      <c r="FU735" s="1556"/>
      <c r="FV735" s="1556"/>
      <c r="FW735" s="1556"/>
      <c r="FX735" s="1551"/>
      <c r="FY735" s="1550" t="str">
        <f t="shared" si="37"/>
        <v/>
      </c>
      <c r="FZ735" s="1556"/>
      <c r="GA735" s="1556"/>
      <c r="GB735" s="1556"/>
      <c r="GC735" s="1551"/>
    </row>
    <row r="736" spans="1:185" ht="12.95" customHeight="1">
      <c r="A736" s="4"/>
      <c r="B736" s="1376"/>
      <c r="C736" s="1377"/>
      <c r="D736" s="1377"/>
      <c r="E736" s="1377"/>
      <c r="F736" s="1378"/>
      <c r="G736" s="1370"/>
      <c r="H736" s="1371"/>
      <c r="I736" s="1371"/>
      <c r="J736" s="1372"/>
      <c r="K736" s="1373"/>
      <c r="L736" s="1374"/>
      <c r="M736" s="1374"/>
      <c r="N736" s="1375"/>
      <c r="O736" s="1415"/>
      <c r="P736" s="1416"/>
      <c r="Q736" s="1416"/>
      <c r="R736" s="1416"/>
      <c r="S736" s="1417"/>
      <c r="T736" s="1415"/>
      <c r="U736" s="1416"/>
      <c r="V736" s="1416"/>
      <c r="W736" s="1417"/>
      <c r="X736" s="1418">
        <f t="shared" si="10"/>
        <v>0</v>
      </c>
      <c r="Y736" s="1414"/>
      <c r="Z736" s="1414"/>
      <c r="AA736" s="1414"/>
      <c r="AB736" s="1419"/>
      <c r="AC736" s="1420"/>
      <c r="AD736" s="1421"/>
      <c r="AE736" s="1421"/>
      <c r="AF736" s="1421"/>
      <c r="AG736" s="1422"/>
      <c r="AH736" s="1438" t="str">
        <f t="shared" si="38"/>
        <v/>
      </c>
      <c r="AI736" s="1439"/>
      <c r="AJ736" s="1440"/>
      <c r="AK736" s="1376" t="s">
        <v>589</v>
      </c>
      <c r="AL736" s="1377"/>
      <c r="AM736" s="1377"/>
      <c r="AN736" s="1377"/>
      <c r="AO736" s="1378"/>
      <c r="AP736" s="3"/>
      <c r="AQ736" s="3"/>
      <c r="AR736" s="3"/>
      <c r="AS736" s="3"/>
      <c r="AY736" s="1079"/>
      <c r="AZ736" s="118" t="str">
        <f t="shared" si="11"/>
        <v>N/A</v>
      </c>
      <c r="BA736" s="3"/>
      <c r="BB736" s="3"/>
      <c r="BC736" s="3"/>
      <c r="BD736" s="3"/>
      <c r="BE736" s="204"/>
      <c r="BF736" s="293">
        <f t="shared" si="12"/>
        <v>0</v>
      </c>
      <c r="BG736" s="296">
        <f t="shared" si="13"/>
        <v>0</v>
      </c>
      <c r="BH736" s="297" t="str">
        <f t="shared" si="14"/>
        <v/>
      </c>
      <c r="BI736" s="3"/>
      <c r="BJ736" s="3"/>
      <c r="BK736" s="3"/>
      <c r="BL736" s="3"/>
      <c r="BM736" s="3"/>
      <c r="BN736" s="3"/>
      <c r="BS736" s="293">
        <f t="shared" si="15"/>
        <v>0</v>
      </c>
      <c r="BT736" s="296">
        <f t="shared" si="16"/>
        <v>0</v>
      </c>
      <c r="BU736" s="297" t="str">
        <f t="shared" si="17"/>
        <v/>
      </c>
      <c r="BV736" s="3"/>
      <c r="BW736" s="3"/>
      <c r="BX736" s="3"/>
      <c r="BY736" s="3"/>
      <c r="BZ736" s="3"/>
      <c r="CA736" s="3"/>
      <c r="CB736" s="3"/>
      <c r="CC736" s="3"/>
      <c r="CE736" s="3"/>
      <c r="CF736" s="3"/>
      <c r="CG736" s="1550">
        <f t="shared" si="39"/>
        <v>0</v>
      </c>
      <c r="CH736" s="1551"/>
      <c r="CI736" s="1552">
        <f t="shared" si="40"/>
        <v>0</v>
      </c>
      <c r="CJ736" s="1553"/>
      <c r="CK736" s="1550">
        <f t="shared" si="18"/>
        <v>0</v>
      </c>
      <c r="CL736" s="1551"/>
      <c r="CM736" s="1552">
        <f t="shared" si="19"/>
        <v>0</v>
      </c>
      <c r="CN736" s="1553"/>
      <c r="CO736" s="3"/>
      <c r="CP736" s="1545">
        <f t="shared" si="20"/>
        <v>0</v>
      </c>
      <c r="CQ736" s="1546"/>
      <c r="CR736" s="1546"/>
      <c r="CS736" s="1546"/>
      <c r="CT736" s="1547"/>
      <c r="CU736" s="1549">
        <f t="shared" si="21"/>
        <v>0</v>
      </c>
      <c r="CV736" s="1549"/>
      <c r="CW736" s="1549"/>
      <c r="CX736" s="1549"/>
      <c r="CY736" s="1549"/>
      <c r="CZ736" s="1549">
        <f t="shared" si="22"/>
        <v>0</v>
      </c>
      <c r="DA736" s="1549"/>
      <c r="DB736" s="1549"/>
      <c r="DC736" s="1549"/>
      <c r="DD736" s="1549"/>
      <c r="DE736" s="1549">
        <f t="shared" si="23"/>
        <v>0</v>
      </c>
      <c r="DF736" s="1549"/>
      <c r="DG736" s="1549"/>
      <c r="DH736" s="1549"/>
      <c r="DI736" s="1549"/>
      <c r="DJ736" s="1549">
        <f t="shared" si="24"/>
        <v>0</v>
      </c>
      <c r="DK736" s="1549"/>
      <c r="DL736" s="1549"/>
      <c r="DM736" s="1549"/>
      <c r="DN736" s="1549"/>
      <c r="DO736" s="1549">
        <f t="shared" si="25"/>
        <v>0</v>
      </c>
      <c r="DP736" s="1549"/>
      <c r="DQ736" s="1549"/>
      <c r="DR736" s="1549"/>
      <c r="DS736" s="1549"/>
      <c r="DT736" s="6"/>
      <c r="DU736" s="1554">
        <f t="shared" si="26"/>
        <v>0</v>
      </c>
      <c r="DV736" s="1554"/>
      <c r="DW736" s="1554"/>
      <c r="DX736" s="1554"/>
      <c r="DY736" s="1554"/>
      <c r="DZ736" s="1554">
        <f t="shared" si="27"/>
        <v>0</v>
      </c>
      <c r="EA736" s="1554"/>
      <c r="EB736" s="1554"/>
      <c r="EC736" s="1554"/>
      <c r="ED736" s="1554"/>
      <c r="EE736" s="1554">
        <f t="shared" si="28"/>
        <v>0</v>
      </c>
      <c r="EF736" s="1554"/>
      <c r="EG736" s="1554"/>
      <c r="EH736" s="1554"/>
      <c r="EI736" s="1554"/>
      <c r="EJ736" s="1554">
        <f t="shared" si="29"/>
        <v>0</v>
      </c>
      <c r="EK736" s="1554"/>
      <c r="EL736" s="1554"/>
      <c r="EM736" s="1554"/>
      <c r="EN736" s="1554"/>
      <c r="EO736" s="1554">
        <f t="shared" si="30"/>
        <v>0</v>
      </c>
      <c r="EP736" s="1554"/>
      <c r="EQ736" s="1554"/>
      <c r="ER736" s="1554"/>
      <c r="ES736" s="1554"/>
      <c r="ET736" s="1554">
        <f t="shared" si="31"/>
        <v>0</v>
      </c>
      <c r="EU736" s="1554"/>
      <c r="EV736" s="1554"/>
      <c r="EW736" s="1554"/>
      <c r="EX736" s="1554"/>
      <c r="EY736" s="4"/>
      <c r="EZ736" s="1550" t="str">
        <f t="shared" si="32"/>
        <v/>
      </c>
      <c r="FA736" s="1556"/>
      <c r="FB736" s="1556"/>
      <c r="FC736" s="1556"/>
      <c r="FD736" s="1551"/>
      <c r="FE736" s="1550" t="str">
        <f t="shared" si="33"/>
        <v/>
      </c>
      <c r="FF736" s="1556"/>
      <c r="FG736" s="1556"/>
      <c r="FH736" s="1556"/>
      <c r="FI736" s="1551"/>
      <c r="FJ736" s="1550" t="str">
        <f t="shared" si="34"/>
        <v/>
      </c>
      <c r="FK736" s="1556"/>
      <c r="FL736" s="1556"/>
      <c r="FM736" s="1556"/>
      <c r="FN736" s="1551"/>
      <c r="FO736" s="1550" t="str">
        <f t="shared" si="35"/>
        <v/>
      </c>
      <c r="FP736" s="1556"/>
      <c r="FQ736" s="1556"/>
      <c r="FR736" s="1556"/>
      <c r="FS736" s="1551"/>
      <c r="FT736" s="1550" t="str">
        <f t="shared" si="36"/>
        <v/>
      </c>
      <c r="FU736" s="1556"/>
      <c r="FV736" s="1556"/>
      <c r="FW736" s="1556"/>
      <c r="FX736" s="1551"/>
      <c r="FY736" s="1550" t="str">
        <f t="shared" si="37"/>
        <v/>
      </c>
      <c r="FZ736" s="1556"/>
      <c r="GA736" s="1556"/>
      <c r="GB736" s="1556"/>
      <c r="GC736" s="1551"/>
    </row>
    <row r="737" spans="1:185" ht="12.95" customHeight="1">
      <c r="A737" s="4"/>
      <c r="B737" s="1376"/>
      <c r="C737" s="1377"/>
      <c r="D737" s="1377"/>
      <c r="E737" s="1377"/>
      <c r="F737" s="1378"/>
      <c r="G737" s="1370"/>
      <c r="H737" s="1371"/>
      <c r="I737" s="1371"/>
      <c r="J737" s="1372"/>
      <c r="K737" s="1373"/>
      <c r="L737" s="1374"/>
      <c r="M737" s="1374"/>
      <c r="N737" s="1375"/>
      <c r="O737" s="1415"/>
      <c r="P737" s="1416"/>
      <c r="Q737" s="1416"/>
      <c r="R737" s="1416"/>
      <c r="S737" s="1417"/>
      <c r="T737" s="1415"/>
      <c r="U737" s="1416"/>
      <c r="V737" s="1416"/>
      <c r="W737" s="1417"/>
      <c r="X737" s="1418">
        <f t="shared" si="10"/>
        <v>0</v>
      </c>
      <c r="Y737" s="1414"/>
      <c r="Z737" s="1414"/>
      <c r="AA737" s="1414"/>
      <c r="AB737" s="1419"/>
      <c r="AC737" s="1420"/>
      <c r="AD737" s="1421"/>
      <c r="AE737" s="1421"/>
      <c r="AF737" s="1421"/>
      <c r="AG737" s="1422"/>
      <c r="AH737" s="1438" t="str">
        <f t="shared" si="38"/>
        <v/>
      </c>
      <c r="AI737" s="1439"/>
      <c r="AJ737" s="1440"/>
      <c r="AK737" s="1376" t="s">
        <v>589</v>
      </c>
      <c r="AL737" s="1377"/>
      <c r="AM737" s="1377"/>
      <c r="AN737" s="1377"/>
      <c r="AO737" s="1378"/>
      <c r="AP737" s="3"/>
      <c r="AQ737" s="3"/>
      <c r="AR737" s="3"/>
      <c r="AS737" s="3"/>
      <c r="AY737" s="1079"/>
      <c r="AZ737" s="118" t="str">
        <f t="shared" si="11"/>
        <v>N/A</v>
      </c>
      <c r="BA737" s="3"/>
      <c r="BB737" s="3"/>
      <c r="BC737" s="3"/>
      <c r="BD737" s="3"/>
      <c r="BE737" s="204"/>
      <c r="BF737" s="293">
        <f t="shared" si="12"/>
        <v>0</v>
      </c>
      <c r="BG737" s="296">
        <f t="shared" si="13"/>
        <v>0</v>
      </c>
      <c r="BH737" s="297" t="str">
        <f t="shared" si="14"/>
        <v/>
      </c>
      <c r="BI737" s="3"/>
      <c r="BJ737" s="3"/>
      <c r="BK737" s="3"/>
      <c r="BL737" s="3"/>
      <c r="BM737" s="3"/>
      <c r="BN737" s="3"/>
      <c r="BS737" s="293">
        <f t="shared" si="15"/>
        <v>0</v>
      </c>
      <c r="BT737" s="296">
        <f t="shared" si="16"/>
        <v>0</v>
      </c>
      <c r="BU737" s="297" t="str">
        <f t="shared" si="17"/>
        <v/>
      </c>
      <c r="BV737" s="3"/>
      <c r="BW737" s="3"/>
      <c r="BX737" s="3"/>
      <c r="BY737" s="3"/>
      <c r="BZ737" s="3"/>
      <c r="CA737" s="3"/>
      <c r="CB737" s="3"/>
      <c r="CC737" s="3"/>
      <c r="CE737" s="3"/>
      <c r="CF737" s="3"/>
      <c r="CG737" s="1550">
        <f t="shared" si="39"/>
        <v>0</v>
      </c>
      <c r="CH737" s="1551"/>
      <c r="CI737" s="1552">
        <f t="shared" si="40"/>
        <v>0</v>
      </c>
      <c r="CJ737" s="1553"/>
      <c r="CK737" s="1550">
        <f t="shared" si="18"/>
        <v>0</v>
      </c>
      <c r="CL737" s="1551"/>
      <c r="CM737" s="1552">
        <f t="shared" si="19"/>
        <v>0</v>
      </c>
      <c r="CN737" s="1553"/>
      <c r="CO737" s="3"/>
      <c r="CP737" s="1545">
        <f t="shared" si="20"/>
        <v>0</v>
      </c>
      <c r="CQ737" s="1546"/>
      <c r="CR737" s="1546"/>
      <c r="CS737" s="1546"/>
      <c r="CT737" s="1547"/>
      <c r="CU737" s="1549">
        <f t="shared" si="21"/>
        <v>0</v>
      </c>
      <c r="CV737" s="1549"/>
      <c r="CW737" s="1549"/>
      <c r="CX737" s="1549"/>
      <c r="CY737" s="1549"/>
      <c r="CZ737" s="1549">
        <f t="shared" si="22"/>
        <v>0</v>
      </c>
      <c r="DA737" s="1549"/>
      <c r="DB737" s="1549"/>
      <c r="DC737" s="1549"/>
      <c r="DD737" s="1549"/>
      <c r="DE737" s="1549">
        <f t="shared" si="23"/>
        <v>0</v>
      </c>
      <c r="DF737" s="1549"/>
      <c r="DG737" s="1549"/>
      <c r="DH737" s="1549"/>
      <c r="DI737" s="1549"/>
      <c r="DJ737" s="1549">
        <f t="shared" si="24"/>
        <v>0</v>
      </c>
      <c r="DK737" s="1549"/>
      <c r="DL737" s="1549"/>
      <c r="DM737" s="1549"/>
      <c r="DN737" s="1549"/>
      <c r="DO737" s="1549">
        <f t="shared" si="25"/>
        <v>0</v>
      </c>
      <c r="DP737" s="1549"/>
      <c r="DQ737" s="1549"/>
      <c r="DR737" s="1549"/>
      <c r="DS737" s="1549"/>
      <c r="DT737" s="6"/>
      <c r="DU737" s="1554">
        <f t="shared" si="26"/>
        <v>0</v>
      </c>
      <c r="DV737" s="1554"/>
      <c r="DW737" s="1554"/>
      <c r="DX737" s="1554"/>
      <c r="DY737" s="1554"/>
      <c r="DZ737" s="1554">
        <f t="shared" si="27"/>
        <v>0</v>
      </c>
      <c r="EA737" s="1554"/>
      <c r="EB737" s="1554"/>
      <c r="EC737" s="1554"/>
      <c r="ED737" s="1554"/>
      <c r="EE737" s="1554">
        <f t="shared" si="28"/>
        <v>0</v>
      </c>
      <c r="EF737" s="1554"/>
      <c r="EG737" s="1554"/>
      <c r="EH737" s="1554"/>
      <c r="EI737" s="1554"/>
      <c r="EJ737" s="1554">
        <f t="shared" si="29"/>
        <v>0</v>
      </c>
      <c r="EK737" s="1554"/>
      <c r="EL737" s="1554"/>
      <c r="EM737" s="1554"/>
      <c r="EN737" s="1554"/>
      <c r="EO737" s="1554">
        <f t="shared" si="30"/>
        <v>0</v>
      </c>
      <c r="EP737" s="1554"/>
      <c r="EQ737" s="1554"/>
      <c r="ER737" s="1554"/>
      <c r="ES737" s="1554"/>
      <c r="ET737" s="1554">
        <f t="shared" si="31"/>
        <v>0</v>
      </c>
      <c r="EU737" s="1554"/>
      <c r="EV737" s="1554"/>
      <c r="EW737" s="1554"/>
      <c r="EX737" s="1554"/>
      <c r="EZ737" s="1550" t="str">
        <f t="shared" si="32"/>
        <v/>
      </c>
      <c r="FA737" s="1556"/>
      <c r="FB737" s="1556"/>
      <c r="FC737" s="1556"/>
      <c r="FD737" s="1551"/>
      <c r="FE737" s="1550" t="str">
        <f t="shared" si="33"/>
        <v/>
      </c>
      <c r="FF737" s="1556"/>
      <c r="FG737" s="1556"/>
      <c r="FH737" s="1556"/>
      <c r="FI737" s="1551"/>
      <c r="FJ737" s="1550" t="str">
        <f t="shared" si="34"/>
        <v/>
      </c>
      <c r="FK737" s="1556"/>
      <c r="FL737" s="1556"/>
      <c r="FM737" s="1556"/>
      <c r="FN737" s="1551"/>
      <c r="FO737" s="1550" t="str">
        <f t="shared" si="35"/>
        <v/>
      </c>
      <c r="FP737" s="1556"/>
      <c r="FQ737" s="1556"/>
      <c r="FR737" s="1556"/>
      <c r="FS737" s="1551"/>
      <c r="FT737" s="1550" t="str">
        <f t="shared" si="36"/>
        <v/>
      </c>
      <c r="FU737" s="1556"/>
      <c r="FV737" s="1556"/>
      <c r="FW737" s="1556"/>
      <c r="FX737" s="1551"/>
      <c r="FY737" s="1550" t="str">
        <f t="shared" si="37"/>
        <v/>
      </c>
      <c r="FZ737" s="1556"/>
      <c r="GA737" s="1556"/>
      <c r="GB737" s="1556"/>
      <c r="GC737" s="1551"/>
    </row>
    <row r="738" spans="1:185" ht="12.95" customHeight="1">
      <c r="B738" s="1376"/>
      <c r="C738" s="1377"/>
      <c r="D738" s="1377"/>
      <c r="E738" s="1377"/>
      <c r="F738" s="1378"/>
      <c r="G738" s="1370"/>
      <c r="H738" s="1371"/>
      <c r="I738" s="1371"/>
      <c r="J738" s="1372"/>
      <c r="K738" s="1373"/>
      <c r="L738" s="1374"/>
      <c r="M738" s="1374"/>
      <c r="N738" s="1375"/>
      <c r="O738" s="1415"/>
      <c r="P738" s="1416"/>
      <c r="Q738" s="1416"/>
      <c r="R738" s="1416"/>
      <c r="S738" s="1417"/>
      <c r="T738" s="1415"/>
      <c r="U738" s="1416"/>
      <c r="V738" s="1416"/>
      <c r="W738" s="1417"/>
      <c r="X738" s="1418">
        <f t="shared" si="10"/>
        <v>0</v>
      </c>
      <c r="Y738" s="1414"/>
      <c r="Z738" s="1414"/>
      <c r="AA738" s="1414"/>
      <c r="AB738" s="1419"/>
      <c r="AC738" s="1420"/>
      <c r="AD738" s="1421"/>
      <c r="AE738" s="1421"/>
      <c r="AF738" s="1421"/>
      <c r="AG738" s="1422"/>
      <c r="AH738" s="1438" t="str">
        <f t="shared" si="38"/>
        <v/>
      </c>
      <c r="AI738" s="1439"/>
      <c r="AJ738" s="1440"/>
      <c r="AK738" s="1376" t="s">
        <v>589</v>
      </c>
      <c r="AL738" s="1377"/>
      <c r="AM738" s="1377"/>
      <c r="AN738" s="1377"/>
      <c r="AO738" s="1378"/>
      <c r="AP738" s="3"/>
      <c r="AQ738" s="3"/>
      <c r="AR738" s="3"/>
      <c r="AS738" s="3"/>
      <c r="AY738" s="1079"/>
      <c r="AZ738" s="118" t="str">
        <f t="shared" si="11"/>
        <v>N/A</v>
      </c>
      <c r="BA738" s="3"/>
      <c r="BB738" s="3"/>
      <c r="BC738" s="3"/>
      <c r="BD738" s="3"/>
      <c r="BE738" s="204"/>
      <c r="BF738" s="293">
        <f t="shared" si="12"/>
        <v>0</v>
      </c>
      <c r="BG738" s="296">
        <f t="shared" si="13"/>
        <v>0</v>
      </c>
      <c r="BH738" s="297" t="str">
        <f t="shared" si="14"/>
        <v/>
      </c>
      <c r="BI738" s="3"/>
      <c r="BJ738" s="3"/>
      <c r="BK738" s="3"/>
      <c r="BL738" s="3"/>
      <c r="BM738" s="3"/>
      <c r="BN738" s="3"/>
      <c r="BS738" s="293">
        <f t="shared" si="15"/>
        <v>0</v>
      </c>
      <c r="BT738" s="296">
        <f t="shared" si="16"/>
        <v>0</v>
      </c>
      <c r="BU738" s="297" t="str">
        <f t="shared" si="17"/>
        <v/>
      </c>
      <c r="BV738" s="3"/>
      <c r="BW738" s="3"/>
      <c r="BX738" s="3"/>
      <c r="BY738" s="3"/>
      <c r="BZ738" s="3"/>
      <c r="CA738" s="3"/>
      <c r="CB738" s="3"/>
      <c r="CC738" s="3"/>
      <c r="CE738" s="3"/>
      <c r="CF738" s="3"/>
      <c r="CG738" s="1550">
        <f t="shared" si="39"/>
        <v>0</v>
      </c>
      <c r="CH738" s="1551"/>
      <c r="CI738" s="1552">
        <f t="shared" si="40"/>
        <v>0</v>
      </c>
      <c r="CJ738" s="1553"/>
      <c r="CK738" s="1550">
        <f t="shared" si="18"/>
        <v>0</v>
      </c>
      <c r="CL738" s="1551"/>
      <c r="CM738" s="1552">
        <f t="shared" si="19"/>
        <v>0</v>
      </c>
      <c r="CN738" s="1553"/>
      <c r="CO738" s="3"/>
      <c r="CP738" s="1545">
        <f t="shared" si="20"/>
        <v>0</v>
      </c>
      <c r="CQ738" s="1546"/>
      <c r="CR738" s="1546"/>
      <c r="CS738" s="1546"/>
      <c r="CT738" s="1547"/>
      <c r="CU738" s="1549">
        <f t="shared" si="21"/>
        <v>0</v>
      </c>
      <c r="CV738" s="1549"/>
      <c r="CW738" s="1549"/>
      <c r="CX738" s="1549"/>
      <c r="CY738" s="1549"/>
      <c r="CZ738" s="1549">
        <f t="shared" si="22"/>
        <v>0</v>
      </c>
      <c r="DA738" s="1549"/>
      <c r="DB738" s="1549"/>
      <c r="DC738" s="1549"/>
      <c r="DD738" s="1549"/>
      <c r="DE738" s="1549">
        <f t="shared" si="23"/>
        <v>0</v>
      </c>
      <c r="DF738" s="1549"/>
      <c r="DG738" s="1549"/>
      <c r="DH738" s="1549"/>
      <c r="DI738" s="1549"/>
      <c r="DJ738" s="1549">
        <f t="shared" si="24"/>
        <v>0</v>
      </c>
      <c r="DK738" s="1549"/>
      <c r="DL738" s="1549"/>
      <c r="DM738" s="1549"/>
      <c r="DN738" s="1549"/>
      <c r="DO738" s="1549">
        <f t="shared" si="25"/>
        <v>0</v>
      </c>
      <c r="DP738" s="1549"/>
      <c r="DQ738" s="1549"/>
      <c r="DR738" s="1549"/>
      <c r="DS738" s="1549"/>
      <c r="DT738" s="6"/>
      <c r="DU738" s="1554">
        <f t="shared" si="26"/>
        <v>0</v>
      </c>
      <c r="DV738" s="1554"/>
      <c r="DW738" s="1554"/>
      <c r="DX738" s="1554"/>
      <c r="DY738" s="1554"/>
      <c r="DZ738" s="1554">
        <f t="shared" si="27"/>
        <v>0</v>
      </c>
      <c r="EA738" s="1554"/>
      <c r="EB738" s="1554"/>
      <c r="EC738" s="1554"/>
      <c r="ED738" s="1554"/>
      <c r="EE738" s="1554">
        <f t="shared" si="28"/>
        <v>0</v>
      </c>
      <c r="EF738" s="1554"/>
      <c r="EG738" s="1554"/>
      <c r="EH738" s="1554"/>
      <c r="EI738" s="1554"/>
      <c r="EJ738" s="1554">
        <f t="shared" si="29"/>
        <v>0</v>
      </c>
      <c r="EK738" s="1554"/>
      <c r="EL738" s="1554"/>
      <c r="EM738" s="1554"/>
      <c r="EN738" s="1554"/>
      <c r="EO738" s="1554">
        <f t="shared" si="30"/>
        <v>0</v>
      </c>
      <c r="EP738" s="1554"/>
      <c r="EQ738" s="1554"/>
      <c r="ER738" s="1554"/>
      <c r="ES738" s="1554"/>
      <c r="ET738" s="1554">
        <f t="shared" si="31"/>
        <v>0</v>
      </c>
      <c r="EU738" s="1554"/>
      <c r="EV738" s="1554"/>
      <c r="EW738" s="1554"/>
      <c r="EX738" s="1554"/>
      <c r="EZ738" s="1550" t="str">
        <f t="shared" si="32"/>
        <v/>
      </c>
      <c r="FA738" s="1556"/>
      <c r="FB738" s="1556"/>
      <c r="FC738" s="1556"/>
      <c r="FD738" s="1551"/>
      <c r="FE738" s="1550" t="str">
        <f t="shared" si="33"/>
        <v/>
      </c>
      <c r="FF738" s="1556"/>
      <c r="FG738" s="1556"/>
      <c r="FH738" s="1556"/>
      <c r="FI738" s="1551"/>
      <c r="FJ738" s="1550" t="str">
        <f t="shared" si="34"/>
        <v/>
      </c>
      <c r="FK738" s="1556"/>
      <c r="FL738" s="1556"/>
      <c r="FM738" s="1556"/>
      <c r="FN738" s="1551"/>
      <c r="FO738" s="1550" t="str">
        <f t="shared" si="35"/>
        <v/>
      </c>
      <c r="FP738" s="1556"/>
      <c r="FQ738" s="1556"/>
      <c r="FR738" s="1556"/>
      <c r="FS738" s="1551"/>
      <c r="FT738" s="1550" t="str">
        <f t="shared" si="36"/>
        <v/>
      </c>
      <c r="FU738" s="1556"/>
      <c r="FV738" s="1556"/>
      <c r="FW738" s="1556"/>
      <c r="FX738" s="1551"/>
      <c r="FY738" s="1550" t="str">
        <f t="shared" si="37"/>
        <v/>
      </c>
      <c r="FZ738" s="1556"/>
      <c r="GA738" s="1556"/>
      <c r="GB738" s="1556"/>
      <c r="GC738" s="1551"/>
    </row>
    <row r="739" spans="1:185" ht="12.95" customHeight="1">
      <c r="B739" s="1376"/>
      <c r="C739" s="1377"/>
      <c r="D739" s="1377"/>
      <c r="E739" s="1377"/>
      <c r="F739" s="1378"/>
      <c r="G739" s="1370"/>
      <c r="H739" s="1371"/>
      <c r="I739" s="1371"/>
      <c r="J739" s="1372"/>
      <c r="K739" s="1373"/>
      <c r="L739" s="1374"/>
      <c r="M739" s="1374"/>
      <c r="N739" s="1375"/>
      <c r="O739" s="1415"/>
      <c r="P739" s="1416"/>
      <c r="Q739" s="1416"/>
      <c r="R739" s="1416"/>
      <c r="S739" s="1417"/>
      <c r="T739" s="1415"/>
      <c r="U739" s="1416"/>
      <c r="V739" s="1416"/>
      <c r="W739" s="1417"/>
      <c r="X739" s="1418">
        <f t="shared" si="10"/>
        <v>0</v>
      </c>
      <c r="Y739" s="1414"/>
      <c r="Z739" s="1414"/>
      <c r="AA739" s="1414"/>
      <c r="AB739" s="1419"/>
      <c r="AC739" s="1420"/>
      <c r="AD739" s="1421"/>
      <c r="AE739" s="1421"/>
      <c r="AF739" s="1421"/>
      <c r="AG739" s="1422"/>
      <c r="AH739" s="1438" t="str">
        <f t="shared" si="38"/>
        <v/>
      </c>
      <c r="AI739" s="1439"/>
      <c r="AJ739" s="1440"/>
      <c r="AK739" s="1376" t="s">
        <v>589</v>
      </c>
      <c r="AL739" s="1377"/>
      <c r="AM739" s="1377"/>
      <c r="AN739" s="1377"/>
      <c r="AO739" s="1378"/>
      <c r="AP739" s="3"/>
      <c r="AQ739" s="3"/>
      <c r="AR739" s="3"/>
      <c r="AS739" s="3"/>
      <c r="AY739" s="1079"/>
      <c r="AZ739" s="118" t="str">
        <f t="shared" si="11"/>
        <v>N/A</v>
      </c>
      <c r="BA739" s="3"/>
      <c r="BB739" s="3"/>
      <c r="BC739" s="3"/>
      <c r="BD739" s="3"/>
      <c r="BE739" s="204"/>
      <c r="BF739" s="293">
        <f t="shared" si="12"/>
        <v>0</v>
      </c>
      <c r="BG739" s="296">
        <f t="shared" si="13"/>
        <v>0</v>
      </c>
      <c r="BH739" s="297" t="str">
        <f t="shared" si="14"/>
        <v/>
      </c>
      <c r="BI739" s="3"/>
      <c r="BJ739" s="3"/>
      <c r="BK739" s="3"/>
      <c r="BL739" s="3"/>
      <c r="BM739" s="3"/>
      <c r="BN739" s="3"/>
      <c r="BS739" s="293">
        <f t="shared" si="15"/>
        <v>0</v>
      </c>
      <c r="BT739" s="296">
        <f t="shared" si="16"/>
        <v>0</v>
      </c>
      <c r="BU739" s="297" t="str">
        <f t="shared" si="17"/>
        <v/>
      </c>
      <c r="BV739" s="3"/>
      <c r="BW739" s="3"/>
      <c r="BX739" s="3"/>
      <c r="BY739" s="3"/>
      <c r="BZ739" s="3"/>
      <c r="CA739" s="3"/>
      <c r="CB739" s="3"/>
      <c r="CC739" s="3"/>
      <c r="CE739" s="3"/>
      <c r="CF739" s="3"/>
      <c r="CG739" s="1550">
        <f t="shared" si="39"/>
        <v>0</v>
      </c>
      <c r="CH739" s="1551"/>
      <c r="CI739" s="1552">
        <f t="shared" si="40"/>
        <v>0</v>
      </c>
      <c r="CJ739" s="1553"/>
      <c r="CK739" s="1550">
        <f t="shared" si="18"/>
        <v>0</v>
      </c>
      <c r="CL739" s="1551"/>
      <c r="CM739" s="1552">
        <f t="shared" si="19"/>
        <v>0</v>
      </c>
      <c r="CN739" s="1553"/>
      <c r="CO739" s="3"/>
      <c r="CP739" s="1545">
        <f t="shared" si="20"/>
        <v>0</v>
      </c>
      <c r="CQ739" s="1546"/>
      <c r="CR739" s="1546"/>
      <c r="CS739" s="1546"/>
      <c r="CT739" s="1547"/>
      <c r="CU739" s="1549">
        <f t="shared" si="21"/>
        <v>0</v>
      </c>
      <c r="CV739" s="1549"/>
      <c r="CW739" s="1549"/>
      <c r="CX739" s="1549"/>
      <c r="CY739" s="1549"/>
      <c r="CZ739" s="1549">
        <f t="shared" si="22"/>
        <v>0</v>
      </c>
      <c r="DA739" s="1549"/>
      <c r="DB739" s="1549"/>
      <c r="DC739" s="1549"/>
      <c r="DD739" s="1549"/>
      <c r="DE739" s="1549">
        <f t="shared" si="23"/>
        <v>0</v>
      </c>
      <c r="DF739" s="1549"/>
      <c r="DG739" s="1549"/>
      <c r="DH739" s="1549"/>
      <c r="DI739" s="1549"/>
      <c r="DJ739" s="1549">
        <f t="shared" si="24"/>
        <v>0</v>
      </c>
      <c r="DK739" s="1549"/>
      <c r="DL739" s="1549"/>
      <c r="DM739" s="1549"/>
      <c r="DN739" s="1549"/>
      <c r="DO739" s="1549">
        <f t="shared" si="25"/>
        <v>0</v>
      </c>
      <c r="DP739" s="1549"/>
      <c r="DQ739" s="1549"/>
      <c r="DR739" s="1549"/>
      <c r="DS739" s="1549"/>
      <c r="DT739" s="6"/>
      <c r="DU739" s="1554">
        <f t="shared" si="26"/>
        <v>0</v>
      </c>
      <c r="DV739" s="1554"/>
      <c r="DW739" s="1554"/>
      <c r="DX739" s="1554"/>
      <c r="DY739" s="1554"/>
      <c r="DZ739" s="1554">
        <f t="shared" si="27"/>
        <v>0</v>
      </c>
      <c r="EA739" s="1554"/>
      <c r="EB739" s="1554"/>
      <c r="EC739" s="1554"/>
      <c r="ED739" s="1554"/>
      <c r="EE739" s="1554">
        <f t="shared" si="28"/>
        <v>0</v>
      </c>
      <c r="EF739" s="1554"/>
      <c r="EG739" s="1554"/>
      <c r="EH739" s="1554"/>
      <c r="EI739" s="1554"/>
      <c r="EJ739" s="1554">
        <f t="shared" si="29"/>
        <v>0</v>
      </c>
      <c r="EK739" s="1554"/>
      <c r="EL739" s="1554"/>
      <c r="EM739" s="1554"/>
      <c r="EN739" s="1554"/>
      <c r="EO739" s="1554">
        <f t="shared" si="30"/>
        <v>0</v>
      </c>
      <c r="EP739" s="1554"/>
      <c r="EQ739" s="1554"/>
      <c r="ER739" s="1554"/>
      <c r="ES739" s="1554"/>
      <c r="ET739" s="1554">
        <f t="shared" si="31"/>
        <v>0</v>
      </c>
      <c r="EU739" s="1554"/>
      <c r="EV739" s="1554"/>
      <c r="EW739" s="1554"/>
      <c r="EX739" s="1554"/>
      <c r="EZ739" s="1550" t="str">
        <f t="shared" si="32"/>
        <v/>
      </c>
      <c r="FA739" s="1556"/>
      <c r="FB739" s="1556"/>
      <c r="FC739" s="1556"/>
      <c r="FD739" s="1551"/>
      <c r="FE739" s="1550" t="str">
        <f t="shared" si="33"/>
        <v/>
      </c>
      <c r="FF739" s="1556"/>
      <c r="FG739" s="1556"/>
      <c r="FH739" s="1556"/>
      <c r="FI739" s="1551"/>
      <c r="FJ739" s="1550" t="str">
        <f t="shared" si="34"/>
        <v/>
      </c>
      <c r="FK739" s="1556"/>
      <c r="FL739" s="1556"/>
      <c r="FM739" s="1556"/>
      <c r="FN739" s="1551"/>
      <c r="FO739" s="1550" t="str">
        <f t="shared" si="35"/>
        <v/>
      </c>
      <c r="FP739" s="1556"/>
      <c r="FQ739" s="1556"/>
      <c r="FR739" s="1556"/>
      <c r="FS739" s="1551"/>
      <c r="FT739" s="1550" t="str">
        <f t="shared" si="36"/>
        <v/>
      </c>
      <c r="FU739" s="1556"/>
      <c r="FV739" s="1556"/>
      <c r="FW739" s="1556"/>
      <c r="FX739" s="1551"/>
      <c r="FY739" s="1550" t="str">
        <f t="shared" si="37"/>
        <v/>
      </c>
      <c r="FZ739" s="1556"/>
      <c r="GA739" s="1556"/>
      <c r="GB739" s="1556"/>
      <c r="GC739" s="1551"/>
    </row>
    <row r="740" spans="1:185" ht="12.95" customHeight="1">
      <c r="B740" s="1376"/>
      <c r="C740" s="1377"/>
      <c r="D740" s="1377"/>
      <c r="E740" s="1377"/>
      <c r="F740" s="1378"/>
      <c r="G740" s="1370"/>
      <c r="H740" s="1371"/>
      <c r="I740" s="1371"/>
      <c r="J740" s="1372"/>
      <c r="K740" s="1373"/>
      <c r="L740" s="1374"/>
      <c r="M740" s="1374"/>
      <c r="N740" s="1375"/>
      <c r="O740" s="1415"/>
      <c r="P740" s="1416"/>
      <c r="Q740" s="1416"/>
      <c r="R740" s="1416"/>
      <c r="S740" s="1417"/>
      <c r="T740" s="1415"/>
      <c r="U740" s="1416"/>
      <c r="V740" s="1416"/>
      <c r="W740" s="1417"/>
      <c r="X740" s="1418">
        <f t="shared" si="10"/>
        <v>0</v>
      </c>
      <c r="Y740" s="1414"/>
      <c r="Z740" s="1414"/>
      <c r="AA740" s="1414"/>
      <c r="AB740" s="1419"/>
      <c r="AC740" s="1420"/>
      <c r="AD740" s="1421"/>
      <c r="AE740" s="1421"/>
      <c r="AF740" s="1421"/>
      <c r="AG740" s="1422"/>
      <c r="AH740" s="1438" t="str">
        <f t="shared" si="38"/>
        <v/>
      </c>
      <c r="AI740" s="1439"/>
      <c r="AJ740" s="1440"/>
      <c r="AK740" s="1376" t="s">
        <v>589</v>
      </c>
      <c r="AL740" s="1377"/>
      <c r="AM740" s="1377"/>
      <c r="AN740" s="1377"/>
      <c r="AO740" s="1378"/>
      <c r="AP740" s="3"/>
      <c r="AQ740" s="3"/>
      <c r="AR740" s="3"/>
      <c r="AS740" s="3"/>
      <c r="AY740" s="1079"/>
      <c r="AZ740" s="118" t="str">
        <f t="shared" si="11"/>
        <v>N/A</v>
      </c>
      <c r="BA740" s="3"/>
      <c r="BB740" s="3"/>
      <c r="BC740" s="3"/>
      <c r="BD740" s="3"/>
      <c r="BE740" s="204"/>
      <c r="BF740" s="293">
        <f t="shared" si="12"/>
        <v>0</v>
      </c>
      <c r="BG740" s="296">
        <f t="shared" si="13"/>
        <v>0</v>
      </c>
      <c r="BH740" s="297" t="str">
        <f t="shared" si="14"/>
        <v/>
      </c>
      <c r="BI740" s="3"/>
      <c r="BJ740" s="3"/>
      <c r="BK740" s="3"/>
      <c r="BL740" s="3"/>
      <c r="BM740" s="3"/>
      <c r="BN740" s="3"/>
      <c r="BS740" s="293">
        <f t="shared" si="15"/>
        <v>0</v>
      </c>
      <c r="BT740" s="296">
        <f t="shared" si="16"/>
        <v>0</v>
      </c>
      <c r="BU740" s="297" t="str">
        <f t="shared" si="17"/>
        <v/>
      </c>
      <c r="BV740" s="3"/>
      <c r="BW740" s="3"/>
      <c r="BX740" s="3"/>
      <c r="BY740" s="3"/>
      <c r="BZ740" s="3"/>
      <c r="CA740" s="3"/>
      <c r="CB740" s="3"/>
      <c r="CC740" s="3"/>
      <c r="CE740" s="3"/>
      <c r="CF740" s="3"/>
      <c r="CG740" s="1550">
        <f t="shared" si="39"/>
        <v>0</v>
      </c>
      <c r="CH740" s="1551"/>
      <c r="CI740" s="1552">
        <f t="shared" si="40"/>
        <v>0</v>
      </c>
      <c r="CJ740" s="1553"/>
      <c r="CK740" s="1550">
        <f t="shared" si="18"/>
        <v>0</v>
      </c>
      <c r="CL740" s="1551"/>
      <c r="CM740" s="1552">
        <f t="shared" si="19"/>
        <v>0</v>
      </c>
      <c r="CN740" s="1553"/>
      <c r="CO740" s="3"/>
      <c r="CP740" s="1545">
        <f t="shared" si="20"/>
        <v>0</v>
      </c>
      <c r="CQ740" s="1546"/>
      <c r="CR740" s="1546"/>
      <c r="CS740" s="1546"/>
      <c r="CT740" s="1547"/>
      <c r="CU740" s="1549">
        <f t="shared" si="21"/>
        <v>0</v>
      </c>
      <c r="CV740" s="1549"/>
      <c r="CW740" s="1549"/>
      <c r="CX740" s="1549"/>
      <c r="CY740" s="1549"/>
      <c r="CZ740" s="1549">
        <f t="shared" si="22"/>
        <v>0</v>
      </c>
      <c r="DA740" s="1549"/>
      <c r="DB740" s="1549"/>
      <c r="DC740" s="1549"/>
      <c r="DD740" s="1549"/>
      <c r="DE740" s="1549">
        <f t="shared" si="23"/>
        <v>0</v>
      </c>
      <c r="DF740" s="1549"/>
      <c r="DG740" s="1549"/>
      <c r="DH740" s="1549"/>
      <c r="DI740" s="1549"/>
      <c r="DJ740" s="1549">
        <f t="shared" si="24"/>
        <v>0</v>
      </c>
      <c r="DK740" s="1549"/>
      <c r="DL740" s="1549"/>
      <c r="DM740" s="1549"/>
      <c r="DN740" s="1549"/>
      <c r="DO740" s="1549">
        <f t="shared" si="25"/>
        <v>0</v>
      </c>
      <c r="DP740" s="1549"/>
      <c r="DQ740" s="1549"/>
      <c r="DR740" s="1549"/>
      <c r="DS740" s="1549"/>
      <c r="DT740" s="6"/>
      <c r="DU740" s="1554">
        <f t="shared" si="26"/>
        <v>0</v>
      </c>
      <c r="DV740" s="1554"/>
      <c r="DW740" s="1554"/>
      <c r="DX740" s="1554"/>
      <c r="DY740" s="1554"/>
      <c r="DZ740" s="1554">
        <f t="shared" si="27"/>
        <v>0</v>
      </c>
      <c r="EA740" s="1554"/>
      <c r="EB740" s="1554"/>
      <c r="EC740" s="1554"/>
      <c r="ED740" s="1554"/>
      <c r="EE740" s="1554">
        <f t="shared" si="28"/>
        <v>0</v>
      </c>
      <c r="EF740" s="1554"/>
      <c r="EG740" s="1554"/>
      <c r="EH740" s="1554"/>
      <c r="EI740" s="1554"/>
      <c r="EJ740" s="1554">
        <f t="shared" si="29"/>
        <v>0</v>
      </c>
      <c r="EK740" s="1554"/>
      <c r="EL740" s="1554"/>
      <c r="EM740" s="1554"/>
      <c r="EN740" s="1554"/>
      <c r="EO740" s="1554">
        <f t="shared" si="30"/>
        <v>0</v>
      </c>
      <c r="EP740" s="1554"/>
      <c r="EQ740" s="1554"/>
      <c r="ER740" s="1554"/>
      <c r="ES740" s="1554"/>
      <c r="ET740" s="1554">
        <f t="shared" si="31"/>
        <v>0</v>
      </c>
      <c r="EU740" s="1554"/>
      <c r="EV740" s="1554"/>
      <c r="EW740" s="1554"/>
      <c r="EX740" s="1554"/>
      <c r="EZ740" s="1550" t="str">
        <f t="shared" si="32"/>
        <v/>
      </c>
      <c r="FA740" s="1556"/>
      <c r="FB740" s="1556"/>
      <c r="FC740" s="1556"/>
      <c r="FD740" s="1551"/>
      <c r="FE740" s="1550" t="str">
        <f t="shared" si="33"/>
        <v/>
      </c>
      <c r="FF740" s="1556"/>
      <c r="FG740" s="1556"/>
      <c r="FH740" s="1556"/>
      <c r="FI740" s="1551"/>
      <c r="FJ740" s="1550" t="str">
        <f t="shared" si="34"/>
        <v/>
      </c>
      <c r="FK740" s="1556"/>
      <c r="FL740" s="1556"/>
      <c r="FM740" s="1556"/>
      <c r="FN740" s="1551"/>
      <c r="FO740" s="1550" t="str">
        <f t="shared" si="35"/>
        <v/>
      </c>
      <c r="FP740" s="1556"/>
      <c r="FQ740" s="1556"/>
      <c r="FR740" s="1556"/>
      <c r="FS740" s="1551"/>
      <c r="FT740" s="1550" t="str">
        <f t="shared" si="36"/>
        <v/>
      </c>
      <c r="FU740" s="1556"/>
      <c r="FV740" s="1556"/>
      <c r="FW740" s="1556"/>
      <c r="FX740" s="1551"/>
      <c r="FY740" s="1550" t="str">
        <f t="shared" si="37"/>
        <v/>
      </c>
      <c r="FZ740" s="1556"/>
      <c r="GA740" s="1556"/>
      <c r="GB740" s="1556"/>
      <c r="GC740" s="1551"/>
    </row>
    <row r="741" spans="1:185" ht="12.95" customHeight="1">
      <c r="B741" s="1376"/>
      <c r="C741" s="1377"/>
      <c r="D741" s="1377"/>
      <c r="E741" s="1377"/>
      <c r="F741" s="1378"/>
      <c r="G741" s="1370"/>
      <c r="H741" s="1371"/>
      <c r="I741" s="1371"/>
      <c r="J741" s="1372"/>
      <c r="K741" s="1373"/>
      <c r="L741" s="1374"/>
      <c r="M741" s="1374"/>
      <c r="N741" s="1375"/>
      <c r="O741" s="1415"/>
      <c r="P741" s="1416"/>
      <c r="Q741" s="1416"/>
      <c r="R741" s="1416"/>
      <c r="S741" s="1417"/>
      <c r="T741" s="1415"/>
      <c r="U741" s="1416"/>
      <c r="V741" s="1416"/>
      <c r="W741" s="1417"/>
      <c r="X741" s="1418">
        <f t="shared" si="10"/>
        <v>0</v>
      </c>
      <c r="Y741" s="1414"/>
      <c r="Z741" s="1414"/>
      <c r="AA741" s="1414"/>
      <c r="AB741" s="1419"/>
      <c r="AC741" s="1420"/>
      <c r="AD741" s="1421"/>
      <c r="AE741" s="1421"/>
      <c r="AF741" s="1421"/>
      <c r="AG741" s="1422"/>
      <c r="AH741" s="1438" t="str">
        <f t="shared" si="38"/>
        <v/>
      </c>
      <c r="AI741" s="1439"/>
      <c r="AJ741" s="1440"/>
      <c r="AK741" s="1376" t="s">
        <v>589</v>
      </c>
      <c r="AL741" s="1377"/>
      <c r="AM741" s="1377"/>
      <c r="AN741" s="1377"/>
      <c r="AO741" s="1378"/>
      <c r="AP741" s="3"/>
      <c r="AQ741" s="3"/>
      <c r="AR741" s="3"/>
      <c r="AS741" s="3"/>
      <c r="AY741" s="1079"/>
      <c r="AZ741" s="118" t="str">
        <f t="shared" si="11"/>
        <v>N/A</v>
      </c>
      <c r="BA741" s="3"/>
      <c r="BB741" s="3"/>
      <c r="BC741" s="3"/>
      <c r="BD741" s="3"/>
      <c r="BE741" s="204"/>
      <c r="BF741" s="293">
        <f t="shared" si="12"/>
        <v>0</v>
      </c>
      <c r="BG741" s="296">
        <f t="shared" si="13"/>
        <v>0</v>
      </c>
      <c r="BH741" s="297" t="str">
        <f t="shared" si="14"/>
        <v/>
      </c>
      <c r="BI741" s="3"/>
      <c r="BJ741" s="3"/>
      <c r="BK741" s="3"/>
      <c r="BL741" s="3"/>
      <c r="BM741" s="3"/>
      <c r="BN741" s="3"/>
      <c r="BS741" s="293">
        <f t="shared" si="15"/>
        <v>0</v>
      </c>
      <c r="BT741" s="296">
        <f t="shared" si="16"/>
        <v>0</v>
      </c>
      <c r="BU741" s="297" t="str">
        <f t="shared" si="17"/>
        <v/>
      </c>
      <c r="BV741" s="3"/>
      <c r="BW741" s="3"/>
      <c r="BX741" s="3"/>
      <c r="BY741" s="3"/>
      <c r="BZ741" s="3"/>
      <c r="CA741" s="3"/>
      <c r="CB741" s="3"/>
      <c r="CC741" s="3"/>
      <c r="CE741" s="3"/>
      <c r="CF741" s="3"/>
      <c r="CG741" s="1550">
        <f t="shared" si="39"/>
        <v>0</v>
      </c>
      <c r="CH741" s="1551"/>
      <c r="CI741" s="1552">
        <f t="shared" si="40"/>
        <v>0</v>
      </c>
      <c r="CJ741" s="1553"/>
      <c r="CK741" s="1550">
        <f t="shared" si="18"/>
        <v>0</v>
      </c>
      <c r="CL741" s="1551"/>
      <c r="CM741" s="1552">
        <f t="shared" si="19"/>
        <v>0</v>
      </c>
      <c r="CN741" s="1553"/>
      <c r="CO741" s="3"/>
      <c r="CP741" s="1545">
        <f t="shared" si="20"/>
        <v>0</v>
      </c>
      <c r="CQ741" s="1546"/>
      <c r="CR741" s="1546"/>
      <c r="CS741" s="1546"/>
      <c r="CT741" s="1547"/>
      <c r="CU741" s="1549">
        <f t="shared" si="21"/>
        <v>0</v>
      </c>
      <c r="CV741" s="1549"/>
      <c r="CW741" s="1549"/>
      <c r="CX741" s="1549"/>
      <c r="CY741" s="1549"/>
      <c r="CZ741" s="1549">
        <f t="shared" si="22"/>
        <v>0</v>
      </c>
      <c r="DA741" s="1549"/>
      <c r="DB741" s="1549"/>
      <c r="DC741" s="1549"/>
      <c r="DD741" s="1549"/>
      <c r="DE741" s="1549">
        <f t="shared" si="23"/>
        <v>0</v>
      </c>
      <c r="DF741" s="1549"/>
      <c r="DG741" s="1549"/>
      <c r="DH741" s="1549"/>
      <c r="DI741" s="1549"/>
      <c r="DJ741" s="1549">
        <f t="shared" si="24"/>
        <v>0</v>
      </c>
      <c r="DK741" s="1549"/>
      <c r="DL741" s="1549"/>
      <c r="DM741" s="1549"/>
      <c r="DN741" s="1549"/>
      <c r="DO741" s="1549">
        <f t="shared" si="25"/>
        <v>0</v>
      </c>
      <c r="DP741" s="1549"/>
      <c r="DQ741" s="1549"/>
      <c r="DR741" s="1549"/>
      <c r="DS741" s="1549"/>
      <c r="DT741" s="6"/>
      <c r="DU741" s="1554">
        <f t="shared" si="26"/>
        <v>0</v>
      </c>
      <c r="DV741" s="1554"/>
      <c r="DW741" s="1554"/>
      <c r="DX741" s="1554"/>
      <c r="DY741" s="1554"/>
      <c r="DZ741" s="1554">
        <f t="shared" si="27"/>
        <v>0</v>
      </c>
      <c r="EA741" s="1554"/>
      <c r="EB741" s="1554"/>
      <c r="EC741" s="1554"/>
      <c r="ED741" s="1554"/>
      <c r="EE741" s="1554">
        <f t="shared" si="28"/>
        <v>0</v>
      </c>
      <c r="EF741" s="1554"/>
      <c r="EG741" s="1554"/>
      <c r="EH741" s="1554"/>
      <c r="EI741" s="1554"/>
      <c r="EJ741" s="1554">
        <f t="shared" si="29"/>
        <v>0</v>
      </c>
      <c r="EK741" s="1554"/>
      <c r="EL741" s="1554"/>
      <c r="EM741" s="1554"/>
      <c r="EN741" s="1554"/>
      <c r="EO741" s="1554">
        <f t="shared" si="30"/>
        <v>0</v>
      </c>
      <c r="EP741" s="1554"/>
      <c r="EQ741" s="1554"/>
      <c r="ER741" s="1554"/>
      <c r="ES741" s="1554"/>
      <c r="ET741" s="1554">
        <f t="shared" si="31"/>
        <v>0</v>
      </c>
      <c r="EU741" s="1554"/>
      <c r="EV741" s="1554"/>
      <c r="EW741" s="1554"/>
      <c r="EX741" s="1554"/>
      <c r="EZ741" s="1550" t="str">
        <f t="shared" si="32"/>
        <v/>
      </c>
      <c r="FA741" s="1556"/>
      <c r="FB741" s="1556"/>
      <c r="FC741" s="1556"/>
      <c r="FD741" s="1551"/>
      <c r="FE741" s="1550" t="str">
        <f t="shared" si="33"/>
        <v/>
      </c>
      <c r="FF741" s="1556"/>
      <c r="FG741" s="1556"/>
      <c r="FH741" s="1556"/>
      <c r="FI741" s="1551"/>
      <c r="FJ741" s="1550" t="str">
        <f t="shared" si="34"/>
        <v/>
      </c>
      <c r="FK741" s="1556"/>
      <c r="FL741" s="1556"/>
      <c r="FM741" s="1556"/>
      <c r="FN741" s="1551"/>
      <c r="FO741" s="1550" t="str">
        <f t="shared" si="35"/>
        <v/>
      </c>
      <c r="FP741" s="1556"/>
      <c r="FQ741" s="1556"/>
      <c r="FR741" s="1556"/>
      <c r="FS741" s="1551"/>
      <c r="FT741" s="1550" t="str">
        <f t="shared" si="36"/>
        <v/>
      </c>
      <c r="FU741" s="1556"/>
      <c r="FV741" s="1556"/>
      <c r="FW741" s="1556"/>
      <c r="FX741" s="1551"/>
      <c r="FY741" s="1550" t="str">
        <f t="shared" si="37"/>
        <v/>
      </c>
      <c r="FZ741" s="1556"/>
      <c r="GA741" s="1556"/>
      <c r="GB741" s="1556"/>
      <c r="GC741" s="1551"/>
    </row>
    <row r="742" spans="1:185" ht="12.95" customHeight="1">
      <c r="B742" s="1376"/>
      <c r="C742" s="1377"/>
      <c r="D742" s="1377"/>
      <c r="E742" s="1377"/>
      <c r="F742" s="1378"/>
      <c r="G742" s="1370"/>
      <c r="H742" s="1371"/>
      <c r="I742" s="1371"/>
      <c r="J742" s="1372"/>
      <c r="K742" s="1373"/>
      <c r="L742" s="1374"/>
      <c r="M742" s="1374"/>
      <c r="N742" s="1375"/>
      <c r="O742" s="1415"/>
      <c r="P742" s="1416"/>
      <c r="Q742" s="1416"/>
      <c r="R742" s="1416"/>
      <c r="S742" s="1417"/>
      <c r="T742" s="1415"/>
      <c r="U742" s="1416"/>
      <c r="V742" s="1416"/>
      <c r="W742" s="1417"/>
      <c r="X742" s="1418">
        <f t="shared" si="10"/>
        <v>0</v>
      </c>
      <c r="Y742" s="1414"/>
      <c r="Z742" s="1414"/>
      <c r="AA742" s="1414"/>
      <c r="AB742" s="1419"/>
      <c r="AC742" s="1420"/>
      <c r="AD742" s="1421"/>
      <c r="AE742" s="1421"/>
      <c r="AF742" s="1421"/>
      <c r="AG742" s="1422"/>
      <c r="AH742" s="1438" t="str">
        <f t="shared" si="38"/>
        <v/>
      </c>
      <c r="AI742" s="1439"/>
      <c r="AJ742" s="1440"/>
      <c r="AK742" s="1376" t="s">
        <v>589</v>
      </c>
      <c r="AL742" s="1377"/>
      <c r="AM742" s="1377"/>
      <c r="AN742" s="1377"/>
      <c r="AO742" s="1378"/>
      <c r="AP742" s="3"/>
      <c r="AQ742" s="3"/>
      <c r="AR742" s="3"/>
      <c r="AS742" s="3"/>
      <c r="AY742" s="1079"/>
      <c r="AZ742" s="118" t="str">
        <f t="shared" si="11"/>
        <v>N/A</v>
      </c>
      <c r="BA742" s="3"/>
      <c r="BB742" s="3"/>
      <c r="BC742" s="3"/>
      <c r="BD742" s="3"/>
      <c r="BE742" s="204"/>
      <c r="BF742" s="293">
        <f t="shared" si="12"/>
        <v>0</v>
      </c>
      <c r="BG742" s="296">
        <f t="shared" si="13"/>
        <v>0</v>
      </c>
      <c r="BH742" s="297" t="str">
        <f t="shared" si="14"/>
        <v/>
      </c>
      <c r="BI742" s="3"/>
      <c r="BJ742" s="3"/>
      <c r="BK742" s="3"/>
      <c r="BL742" s="3"/>
      <c r="BM742" s="3"/>
      <c r="BN742" s="3"/>
      <c r="BS742" s="293">
        <f t="shared" si="15"/>
        <v>0</v>
      </c>
      <c r="BT742" s="296">
        <f t="shared" si="16"/>
        <v>0</v>
      </c>
      <c r="BU742" s="297" t="str">
        <f t="shared" si="17"/>
        <v/>
      </c>
      <c r="BV742" s="3"/>
      <c r="BW742" s="3"/>
      <c r="BX742" s="3"/>
      <c r="BY742" s="3"/>
      <c r="BZ742" s="3"/>
      <c r="CA742" s="3"/>
      <c r="CB742" s="3"/>
      <c r="CC742" s="3"/>
      <c r="CE742" s="3"/>
      <c r="CF742" s="3"/>
      <c r="CG742" s="1550">
        <f t="shared" si="39"/>
        <v>0</v>
      </c>
      <c r="CH742" s="1551"/>
      <c r="CI742" s="1552">
        <f t="shared" si="40"/>
        <v>0</v>
      </c>
      <c r="CJ742" s="1553"/>
      <c r="CK742" s="1550">
        <f t="shared" si="18"/>
        <v>0</v>
      </c>
      <c r="CL742" s="1551"/>
      <c r="CM742" s="1552">
        <f t="shared" si="19"/>
        <v>0</v>
      </c>
      <c r="CN742" s="1553"/>
      <c r="CO742" s="3"/>
      <c r="CP742" s="1545">
        <f t="shared" si="20"/>
        <v>0</v>
      </c>
      <c r="CQ742" s="1546"/>
      <c r="CR742" s="1546"/>
      <c r="CS742" s="1546"/>
      <c r="CT742" s="1547"/>
      <c r="CU742" s="1549">
        <f t="shared" si="21"/>
        <v>0</v>
      </c>
      <c r="CV742" s="1549"/>
      <c r="CW742" s="1549"/>
      <c r="CX742" s="1549"/>
      <c r="CY742" s="1549"/>
      <c r="CZ742" s="1549">
        <f t="shared" si="22"/>
        <v>0</v>
      </c>
      <c r="DA742" s="1549"/>
      <c r="DB742" s="1549"/>
      <c r="DC742" s="1549"/>
      <c r="DD742" s="1549"/>
      <c r="DE742" s="1549">
        <f t="shared" si="23"/>
        <v>0</v>
      </c>
      <c r="DF742" s="1549"/>
      <c r="DG742" s="1549"/>
      <c r="DH742" s="1549"/>
      <c r="DI742" s="1549"/>
      <c r="DJ742" s="1549">
        <f t="shared" si="24"/>
        <v>0</v>
      </c>
      <c r="DK742" s="1549"/>
      <c r="DL742" s="1549"/>
      <c r="DM742" s="1549"/>
      <c r="DN742" s="1549"/>
      <c r="DO742" s="1549">
        <f t="shared" si="25"/>
        <v>0</v>
      </c>
      <c r="DP742" s="1549"/>
      <c r="DQ742" s="1549"/>
      <c r="DR742" s="1549"/>
      <c r="DS742" s="1549"/>
      <c r="DT742" s="6"/>
      <c r="DU742" s="1554">
        <f t="shared" si="26"/>
        <v>0</v>
      </c>
      <c r="DV742" s="1554"/>
      <c r="DW742" s="1554"/>
      <c r="DX742" s="1554"/>
      <c r="DY742" s="1554"/>
      <c r="DZ742" s="1554">
        <f t="shared" si="27"/>
        <v>0</v>
      </c>
      <c r="EA742" s="1554"/>
      <c r="EB742" s="1554"/>
      <c r="EC742" s="1554"/>
      <c r="ED742" s="1554"/>
      <c r="EE742" s="1554">
        <f t="shared" si="28"/>
        <v>0</v>
      </c>
      <c r="EF742" s="1554"/>
      <c r="EG742" s="1554"/>
      <c r="EH742" s="1554"/>
      <c r="EI742" s="1554"/>
      <c r="EJ742" s="1554">
        <f t="shared" si="29"/>
        <v>0</v>
      </c>
      <c r="EK742" s="1554"/>
      <c r="EL742" s="1554"/>
      <c r="EM742" s="1554"/>
      <c r="EN742" s="1554"/>
      <c r="EO742" s="1554">
        <f t="shared" si="30"/>
        <v>0</v>
      </c>
      <c r="EP742" s="1554"/>
      <c r="EQ742" s="1554"/>
      <c r="ER742" s="1554"/>
      <c r="ES742" s="1554"/>
      <c r="ET742" s="1554">
        <f t="shared" si="31"/>
        <v>0</v>
      </c>
      <c r="EU742" s="1554"/>
      <c r="EV742" s="1554"/>
      <c r="EW742" s="1554"/>
      <c r="EX742" s="1554"/>
      <c r="EZ742" s="1550" t="str">
        <f t="shared" si="32"/>
        <v/>
      </c>
      <c r="FA742" s="1556"/>
      <c r="FB742" s="1556"/>
      <c r="FC742" s="1556"/>
      <c r="FD742" s="1551"/>
      <c r="FE742" s="1550" t="str">
        <f t="shared" si="33"/>
        <v/>
      </c>
      <c r="FF742" s="1556"/>
      <c r="FG742" s="1556"/>
      <c r="FH742" s="1556"/>
      <c r="FI742" s="1551"/>
      <c r="FJ742" s="1550" t="str">
        <f t="shared" si="34"/>
        <v/>
      </c>
      <c r="FK742" s="1556"/>
      <c r="FL742" s="1556"/>
      <c r="FM742" s="1556"/>
      <c r="FN742" s="1551"/>
      <c r="FO742" s="1550" t="str">
        <f t="shared" si="35"/>
        <v/>
      </c>
      <c r="FP742" s="1556"/>
      <c r="FQ742" s="1556"/>
      <c r="FR742" s="1556"/>
      <c r="FS742" s="1551"/>
      <c r="FT742" s="1550" t="str">
        <f t="shared" si="36"/>
        <v/>
      </c>
      <c r="FU742" s="1556"/>
      <c r="FV742" s="1556"/>
      <c r="FW742" s="1556"/>
      <c r="FX742" s="1551"/>
      <c r="FY742" s="1550" t="str">
        <f t="shared" si="37"/>
        <v/>
      </c>
      <c r="FZ742" s="1556"/>
      <c r="GA742" s="1556"/>
      <c r="GB742" s="1556"/>
      <c r="GC742" s="1551"/>
    </row>
    <row r="743" spans="1:185" ht="12.95" customHeight="1">
      <c r="B743" s="1376"/>
      <c r="C743" s="1377"/>
      <c r="D743" s="1377"/>
      <c r="E743" s="1377"/>
      <c r="F743" s="1378"/>
      <c r="G743" s="1370"/>
      <c r="H743" s="1371"/>
      <c r="I743" s="1371"/>
      <c r="J743" s="1372"/>
      <c r="K743" s="1373"/>
      <c r="L743" s="1374"/>
      <c r="M743" s="1374"/>
      <c r="N743" s="1375"/>
      <c r="O743" s="1415"/>
      <c r="P743" s="1416"/>
      <c r="Q743" s="1416"/>
      <c r="R743" s="1416"/>
      <c r="S743" s="1417"/>
      <c r="T743" s="1415"/>
      <c r="U743" s="1416"/>
      <c r="V743" s="1416"/>
      <c r="W743" s="1417"/>
      <c r="X743" s="1418">
        <f t="shared" si="10"/>
        <v>0</v>
      </c>
      <c r="Y743" s="1414"/>
      <c r="Z743" s="1414"/>
      <c r="AA743" s="1414"/>
      <c r="AB743" s="1419"/>
      <c r="AC743" s="1420"/>
      <c r="AD743" s="1421"/>
      <c r="AE743" s="1421"/>
      <c r="AF743" s="1421"/>
      <c r="AG743" s="1422"/>
      <c r="AH743" s="1438" t="str">
        <f t="shared" si="38"/>
        <v/>
      </c>
      <c r="AI743" s="1439"/>
      <c r="AJ743" s="1440"/>
      <c r="AK743" s="1376" t="s">
        <v>589</v>
      </c>
      <c r="AL743" s="1377"/>
      <c r="AM743" s="1377"/>
      <c r="AN743" s="1377"/>
      <c r="AO743" s="1378"/>
      <c r="AP743" s="3"/>
      <c r="AQ743" s="3"/>
      <c r="AR743" s="3"/>
      <c r="AS743" s="3"/>
      <c r="AY743" s="1079"/>
      <c r="AZ743" s="118" t="str">
        <f t="shared" si="11"/>
        <v>N/A</v>
      </c>
      <c r="BA743" s="3"/>
      <c r="BB743" s="3"/>
      <c r="BC743" s="3"/>
      <c r="BD743" s="3"/>
      <c r="BE743" s="204"/>
      <c r="BF743" s="293">
        <f t="shared" si="12"/>
        <v>0</v>
      </c>
      <c r="BG743" s="296">
        <f t="shared" si="13"/>
        <v>0</v>
      </c>
      <c r="BH743" s="297" t="str">
        <f t="shared" si="14"/>
        <v/>
      </c>
      <c r="BI743" s="3"/>
      <c r="BJ743" s="3"/>
      <c r="BK743" s="3"/>
      <c r="BL743" s="3"/>
      <c r="BM743" s="3"/>
      <c r="BN743" s="3"/>
      <c r="BS743" s="293">
        <f t="shared" si="15"/>
        <v>0</v>
      </c>
      <c r="BT743" s="296">
        <f t="shared" si="16"/>
        <v>0</v>
      </c>
      <c r="BU743" s="297" t="str">
        <f t="shared" si="17"/>
        <v/>
      </c>
      <c r="BV743" s="3"/>
      <c r="BW743" s="3"/>
      <c r="BX743" s="3"/>
      <c r="BY743" s="3"/>
      <c r="BZ743" s="3"/>
      <c r="CA743" s="3"/>
      <c r="CB743" s="3"/>
      <c r="CC743" s="3"/>
      <c r="CE743" s="3"/>
      <c r="CF743" s="3"/>
      <c r="CG743" s="1550">
        <f t="shared" si="39"/>
        <v>0</v>
      </c>
      <c r="CH743" s="1551"/>
      <c r="CI743" s="1552">
        <f t="shared" si="40"/>
        <v>0</v>
      </c>
      <c r="CJ743" s="1553"/>
      <c r="CK743" s="1550">
        <f t="shared" si="18"/>
        <v>0</v>
      </c>
      <c r="CL743" s="1551"/>
      <c r="CM743" s="1552">
        <f t="shared" si="19"/>
        <v>0</v>
      </c>
      <c r="CN743" s="1553"/>
      <c r="CO743" s="3"/>
      <c r="CP743" s="1545">
        <f t="shared" si="20"/>
        <v>0</v>
      </c>
      <c r="CQ743" s="1546"/>
      <c r="CR743" s="1546"/>
      <c r="CS743" s="1546"/>
      <c r="CT743" s="1547"/>
      <c r="CU743" s="1549">
        <f t="shared" si="21"/>
        <v>0</v>
      </c>
      <c r="CV743" s="1549"/>
      <c r="CW743" s="1549"/>
      <c r="CX743" s="1549"/>
      <c r="CY743" s="1549"/>
      <c r="CZ743" s="1549">
        <f t="shared" si="22"/>
        <v>0</v>
      </c>
      <c r="DA743" s="1549"/>
      <c r="DB743" s="1549"/>
      <c r="DC743" s="1549"/>
      <c r="DD743" s="1549"/>
      <c r="DE743" s="1549">
        <f t="shared" si="23"/>
        <v>0</v>
      </c>
      <c r="DF743" s="1549"/>
      <c r="DG743" s="1549"/>
      <c r="DH743" s="1549"/>
      <c r="DI743" s="1549"/>
      <c r="DJ743" s="1549">
        <f t="shared" si="24"/>
        <v>0</v>
      </c>
      <c r="DK743" s="1549"/>
      <c r="DL743" s="1549"/>
      <c r="DM743" s="1549"/>
      <c r="DN743" s="1549"/>
      <c r="DO743" s="1549">
        <f t="shared" si="25"/>
        <v>0</v>
      </c>
      <c r="DP743" s="1549"/>
      <c r="DQ743" s="1549"/>
      <c r="DR743" s="1549"/>
      <c r="DS743" s="1549"/>
      <c r="DT743" s="6"/>
      <c r="DU743" s="1554">
        <f t="shared" si="26"/>
        <v>0</v>
      </c>
      <c r="DV743" s="1554"/>
      <c r="DW743" s="1554"/>
      <c r="DX743" s="1554"/>
      <c r="DY743" s="1554"/>
      <c r="DZ743" s="1554">
        <f t="shared" si="27"/>
        <v>0</v>
      </c>
      <c r="EA743" s="1554"/>
      <c r="EB743" s="1554"/>
      <c r="EC743" s="1554"/>
      <c r="ED743" s="1554"/>
      <c r="EE743" s="1554">
        <f t="shared" si="28"/>
        <v>0</v>
      </c>
      <c r="EF743" s="1554"/>
      <c r="EG743" s="1554"/>
      <c r="EH743" s="1554"/>
      <c r="EI743" s="1554"/>
      <c r="EJ743" s="1554">
        <f t="shared" si="29"/>
        <v>0</v>
      </c>
      <c r="EK743" s="1554"/>
      <c r="EL743" s="1554"/>
      <c r="EM743" s="1554"/>
      <c r="EN743" s="1554"/>
      <c r="EO743" s="1554">
        <f t="shared" si="30"/>
        <v>0</v>
      </c>
      <c r="EP743" s="1554"/>
      <c r="EQ743" s="1554"/>
      <c r="ER743" s="1554"/>
      <c r="ES743" s="1554"/>
      <c r="ET743" s="1554">
        <f t="shared" si="31"/>
        <v>0</v>
      </c>
      <c r="EU743" s="1554"/>
      <c r="EV743" s="1554"/>
      <c r="EW743" s="1554"/>
      <c r="EX743" s="1554"/>
      <c r="EZ743" s="1550" t="str">
        <f t="shared" si="32"/>
        <v/>
      </c>
      <c r="FA743" s="1556"/>
      <c r="FB743" s="1556"/>
      <c r="FC743" s="1556"/>
      <c r="FD743" s="1551"/>
      <c r="FE743" s="1550" t="str">
        <f t="shared" si="33"/>
        <v/>
      </c>
      <c r="FF743" s="1556"/>
      <c r="FG743" s="1556"/>
      <c r="FH743" s="1556"/>
      <c r="FI743" s="1551"/>
      <c r="FJ743" s="1550" t="str">
        <f t="shared" si="34"/>
        <v/>
      </c>
      <c r="FK743" s="1556"/>
      <c r="FL743" s="1556"/>
      <c r="FM743" s="1556"/>
      <c r="FN743" s="1551"/>
      <c r="FO743" s="1550" t="str">
        <f t="shared" si="35"/>
        <v/>
      </c>
      <c r="FP743" s="1556"/>
      <c r="FQ743" s="1556"/>
      <c r="FR743" s="1556"/>
      <c r="FS743" s="1551"/>
      <c r="FT743" s="1550" t="str">
        <f t="shared" si="36"/>
        <v/>
      </c>
      <c r="FU743" s="1556"/>
      <c r="FV743" s="1556"/>
      <c r="FW743" s="1556"/>
      <c r="FX743" s="1551"/>
      <c r="FY743" s="1550" t="str">
        <f t="shared" si="37"/>
        <v/>
      </c>
      <c r="FZ743" s="1556"/>
      <c r="GA743" s="1556"/>
      <c r="GB743" s="1556"/>
      <c r="GC743" s="1551"/>
    </row>
    <row r="744" spans="1:185" ht="12.95" customHeight="1">
      <c r="B744" s="1376"/>
      <c r="C744" s="1377"/>
      <c r="D744" s="1377"/>
      <c r="E744" s="1377"/>
      <c r="F744" s="1378"/>
      <c r="G744" s="1370"/>
      <c r="H744" s="1371"/>
      <c r="I744" s="1371"/>
      <c r="J744" s="1372"/>
      <c r="K744" s="1373"/>
      <c r="L744" s="1374"/>
      <c r="M744" s="1374"/>
      <c r="N744" s="1375"/>
      <c r="O744" s="1415"/>
      <c r="P744" s="1416"/>
      <c r="Q744" s="1416"/>
      <c r="R744" s="1416"/>
      <c r="S744" s="1417"/>
      <c r="T744" s="1415"/>
      <c r="U744" s="1416"/>
      <c r="V744" s="1416"/>
      <c r="W744" s="1417"/>
      <c r="X744" s="1418">
        <f t="shared" si="10"/>
        <v>0</v>
      </c>
      <c r="Y744" s="1414"/>
      <c r="Z744" s="1414"/>
      <c r="AA744" s="1414"/>
      <c r="AB744" s="1419"/>
      <c r="AC744" s="1420"/>
      <c r="AD744" s="1421"/>
      <c r="AE744" s="1421"/>
      <c r="AF744" s="1421"/>
      <c r="AG744" s="1422"/>
      <c r="AH744" s="1438" t="str">
        <f t="shared" si="38"/>
        <v/>
      </c>
      <c r="AI744" s="1439"/>
      <c r="AJ744" s="1440"/>
      <c r="AK744" s="1376" t="s">
        <v>589</v>
      </c>
      <c r="AL744" s="1377"/>
      <c r="AM744" s="1377"/>
      <c r="AN744" s="1377"/>
      <c r="AO744" s="1378"/>
      <c r="AP744" s="3"/>
      <c r="AQ744" s="3"/>
      <c r="AR744" s="3"/>
      <c r="AS744" s="3"/>
      <c r="AY744" s="1079"/>
      <c r="AZ744" s="118" t="str">
        <f t="shared" si="11"/>
        <v>N/A</v>
      </c>
      <c r="BA744" s="3"/>
      <c r="BB744" s="3"/>
      <c r="BC744" s="3"/>
      <c r="BD744" s="3"/>
      <c r="BE744" s="204"/>
      <c r="BF744" s="293">
        <f t="shared" si="12"/>
        <v>0</v>
      </c>
      <c r="BG744" s="296">
        <f t="shared" si="13"/>
        <v>0</v>
      </c>
      <c r="BH744" s="297" t="str">
        <f t="shared" si="14"/>
        <v/>
      </c>
      <c r="BI744" s="3"/>
      <c r="BJ744" s="3"/>
      <c r="BK744" s="3"/>
      <c r="BL744" s="3"/>
      <c r="BM744" s="3"/>
      <c r="BN744" s="3"/>
      <c r="BS744" s="293">
        <f t="shared" si="15"/>
        <v>0</v>
      </c>
      <c r="BT744" s="296">
        <f t="shared" si="16"/>
        <v>0</v>
      </c>
      <c r="BU744" s="297" t="str">
        <f t="shared" si="17"/>
        <v/>
      </c>
      <c r="BV744" s="3"/>
      <c r="BW744" s="3"/>
      <c r="BX744" s="3"/>
      <c r="BY744" s="3"/>
      <c r="BZ744" s="3"/>
      <c r="CA744" s="3"/>
      <c r="CB744" s="3"/>
      <c r="CC744" s="3"/>
      <c r="CE744" s="3"/>
      <c r="CF744" s="3"/>
      <c r="CG744" s="1550">
        <f t="shared" si="39"/>
        <v>0</v>
      </c>
      <c r="CH744" s="1551"/>
      <c r="CI744" s="1552">
        <f t="shared" si="40"/>
        <v>0</v>
      </c>
      <c r="CJ744" s="1553"/>
      <c r="CK744" s="1550">
        <f t="shared" si="18"/>
        <v>0</v>
      </c>
      <c r="CL744" s="1551"/>
      <c r="CM744" s="1552">
        <f t="shared" si="19"/>
        <v>0</v>
      </c>
      <c r="CN744" s="1553"/>
      <c r="CO744" s="3"/>
      <c r="CP744" s="1545">
        <f t="shared" si="20"/>
        <v>0</v>
      </c>
      <c r="CQ744" s="1546"/>
      <c r="CR744" s="1546"/>
      <c r="CS744" s="1546"/>
      <c r="CT744" s="1547"/>
      <c r="CU744" s="1549">
        <f t="shared" si="21"/>
        <v>0</v>
      </c>
      <c r="CV744" s="1549"/>
      <c r="CW744" s="1549"/>
      <c r="CX744" s="1549"/>
      <c r="CY744" s="1549"/>
      <c r="CZ744" s="1549">
        <f t="shared" si="22"/>
        <v>0</v>
      </c>
      <c r="DA744" s="1549"/>
      <c r="DB744" s="1549"/>
      <c r="DC744" s="1549"/>
      <c r="DD744" s="1549"/>
      <c r="DE744" s="1549">
        <f t="shared" si="23"/>
        <v>0</v>
      </c>
      <c r="DF744" s="1549"/>
      <c r="DG744" s="1549"/>
      <c r="DH744" s="1549"/>
      <c r="DI744" s="1549"/>
      <c r="DJ744" s="1549">
        <f t="shared" si="24"/>
        <v>0</v>
      </c>
      <c r="DK744" s="1549"/>
      <c r="DL744" s="1549"/>
      <c r="DM744" s="1549"/>
      <c r="DN744" s="1549"/>
      <c r="DO744" s="1549">
        <f t="shared" si="25"/>
        <v>0</v>
      </c>
      <c r="DP744" s="1549"/>
      <c r="DQ744" s="1549"/>
      <c r="DR744" s="1549"/>
      <c r="DS744" s="1549"/>
      <c r="DT744" s="6"/>
      <c r="DU744" s="1554">
        <f t="shared" si="26"/>
        <v>0</v>
      </c>
      <c r="DV744" s="1554"/>
      <c r="DW744" s="1554"/>
      <c r="DX744" s="1554"/>
      <c r="DY744" s="1554"/>
      <c r="DZ744" s="1554">
        <f t="shared" si="27"/>
        <v>0</v>
      </c>
      <c r="EA744" s="1554"/>
      <c r="EB744" s="1554"/>
      <c r="EC744" s="1554"/>
      <c r="ED744" s="1554"/>
      <c r="EE744" s="1554">
        <f t="shared" si="28"/>
        <v>0</v>
      </c>
      <c r="EF744" s="1554"/>
      <c r="EG744" s="1554"/>
      <c r="EH744" s="1554"/>
      <c r="EI744" s="1554"/>
      <c r="EJ744" s="1554">
        <f t="shared" si="29"/>
        <v>0</v>
      </c>
      <c r="EK744" s="1554"/>
      <c r="EL744" s="1554"/>
      <c r="EM744" s="1554"/>
      <c r="EN744" s="1554"/>
      <c r="EO744" s="1554">
        <f t="shared" si="30"/>
        <v>0</v>
      </c>
      <c r="EP744" s="1554"/>
      <c r="EQ744" s="1554"/>
      <c r="ER744" s="1554"/>
      <c r="ES744" s="1554"/>
      <c r="ET744" s="1554">
        <f t="shared" si="31"/>
        <v>0</v>
      </c>
      <c r="EU744" s="1554"/>
      <c r="EV744" s="1554"/>
      <c r="EW744" s="1554"/>
      <c r="EX744" s="1554"/>
      <c r="EZ744" s="1550" t="str">
        <f t="shared" si="32"/>
        <v/>
      </c>
      <c r="FA744" s="1556"/>
      <c r="FB744" s="1556"/>
      <c r="FC744" s="1556"/>
      <c r="FD744" s="1551"/>
      <c r="FE744" s="1550" t="str">
        <f t="shared" si="33"/>
        <v/>
      </c>
      <c r="FF744" s="1556"/>
      <c r="FG744" s="1556"/>
      <c r="FH744" s="1556"/>
      <c r="FI744" s="1551"/>
      <c r="FJ744" s="1550" t="str">
        <f t="shared" si="34"/>
        <v/>
      </c>
      <c r="FK744" s="1556"/>
      <c r="FL744" s="1556"/>
      <c r="FM744" s="1556"/>
      <c r="FN744" s="1551"/>
      <c r="FO744" s="1550" t="str">
        <f t="shared" si="35"/>
        <v/>
      </c>
      <c r="FP744" s="1556"/>
      <c r="FQ744" s="1556"/>
      <c r="FR744" s="1556"/>
      <c r="FS744" s="1551"/>
      <c r="FT744" s="1550" t="str">
        <f t="shared" si="36"/>
        <v/>
      </c>
      <c r="FU744" s="1556"/>
      <c r="FV744" s="1556"/>
      <c r="FW744" s="1556"/>
      <c r="FX744" s="1551"/>
      <c r="FY744" s="1550" t="str">
        <f t="shared" si="37"/>
        <v/>
      </c>
      <c r="FZ744" s="1556"/>
      <c r="GA744" s="1556"/>
      <c r="GB744" s="1556"/>
      <c r="GC744" s="1551"/>
    </row>
    <row r="745" spans="1:185" ht="12.95" customHeight="1">
      <c r="B745" s="1376"/>
      <c r="C745" s="1377"/>
      <c r="D745" s="1377"/>
      <c r="E745" s="1377"/>
      <c r="F745" s="1378"/>
      <c r="G745" s="1370"/>
      <c r="H745" s="1371"/>
      <c r="I745" s="1371"/>
      <c r="J745" s="1372"/>
      <c r="K745" s="1373"/>
      <c r="L745" s="1374"/>
      <c r="M745" s="1374"/>
      <c r="N745" s="1375"/>
      <c r="O745" s="1415"/>
      <c r="P745" s="1416"/>
      <c r="Q745" s="1416"/>
      <c r="R745" s="1416"/>
      <c r="S745" s="1417"/>
      <c r="T745" s="1415"/>
      <c r="U745" s="1416"/>
      <c r="V745" s="1416"/>
      <c r="W745" s="1417"/>
      <c r="X745" s="1418">
        <f t="shared" si="10"/>
        <v>0</v>
      </c>
      <c r="Y745" s="1414"/>
      <c r="Z745" s="1414"/>
      <c r="AA745" s="1414"/>
      <c r="AB745" s="1419"/>
      <c r="AC745" s="1420"/>
      <c r="AD745" s="1421"/>
      <c r="AE745" s="1421"/>
      <c r="AF745" s="1421"/>
      <c r="AG745" s="1422"/>
      <c r="AH745" s="1438" t="str">
        <f t="shared" si="38"/>
        <v/>
      </c>
      <c r="AI745" s="1439"/>
      <c r="AJ745" s="1440"/>
      <c r="AK745" s="1376" t="s">
        <v>589</v>
      </c>
      <c r="AL745" s="1377"/>
      <c r="AM745" s="1377"/>
      <c r="AN745" s="1377"/>
      <c r="AO745" s="1378"/>
      <c r="AP745" s="3"/>
      <c r="AQ745" s="3"/>
      <c r="AR745" s="3"/>
      <c r="AS745" s="3"/>
      <c r="AY745" s="1079"/>
      <c r="AZ745" s="118" t="str">
        <f t="shared" si="11"/>
        <v>N/A</v>
      </c>
      <c r="BA745" s="3"/>
      <c r="BB745" s="3"/>
      <c r="BC745" s="3"/>
      <c r="BD745" s="3"/>
      <c r="BE745" s="204"/>
      <c r="BF745" s="293">
        <f t="shared" si="12"/>
        <v>0</v>
      </c>
      <c r="BG745" s="296">
        <f t="shared" si="13"/>
        <v>0</v>
      </c>
      <c r="BH745" s="297" t="str">
        <f t="shared" si="14"/>
        <v/>
      </c>
      <c r="BI745" s="3"/>
      <c r="BJ745" s="3"/>
      <c r="BK745" s="3"/>
      <c r="BL745" s="3"/>
      <c r="BM745" s="3"/>
      <c r="BN745" s="3"/>
      <c r="BS745" s="293">
        <f t="shared" si="15"/>
        <v>0</v>
      </c>
      <c r="BT745" s="296">
        <f t="shared" si="16"/>
        <v>0</v>
      </c>
      <c r="BU745" s="297" t="str">
        <f t="shared" si="17"/>
        <v/>
      </c>
      <c r="BV745" s="3"/>
      <c r="BW745" s="3"/>
      <c r="BX745" s="3"/>
      <c r="BY745" s="3"/>
      <c r="BZ745" s="3"/>
      <c r="CA745" s="3"/>
      <c r="CB745" s="3"/>
      <c r="CC745" s="3"/>
      <c r="CE745" s="3"/>
      <c r="CF745" s="3"/>
      <c r="CG745" s="1550">
        <f t="shared" si="39"/>
        <v>0</v>
      </c>
      <c r="CH745" s="1551"/>
      <c r="CI745" s="1552">
        <f t="shared" si="40"/>
        <v>0</v>
      </c>
      <c r="CJ745" s="1553"/>
      <c r="CK745" s="1550">
        <f t="shared" si="18"/>
        <v>0</v>
      </c>
      <c r="CL745" s="1551"/>
      <c r="CM745" s="1552">
        <f t="shared" si="19"/>
        <v>0</v>
      </c>
      <c r="CN745" s="1553"/>
      <c r="CO745" s="3"/>
      <c r="CP745" s="1545">
        <f t="shared" si="20"/>
        <v>0</v>
      </c>
      <c r="CQ745" s="1546"/>
      <c r="CR745" s="1546"/>
      <c r="CS745" s="1546"/>
      <c r="CT745" s="1547"/>
      <c r="CU745" s="1549">
        <f t="shared" si="21"/>
        <v>0</v>
      </c>
      <c r="CV745" s="1549"/>
      <c r="CW745" s="1549"/>
      <c r="CX745" s="1549"/>
      <c r="CY745" s="1549"/>
      <c r="CZ745" s="1549">
        <f t="shared" si="22"/>
        <v>0</v>
      </c>
      <c r="DA745" s="1549"/>
      <c r="DB745" s="1549"/>
      <c r="DC745" s="1549"/>
      <c r="DD745" s="1549"/>
      <c r="DE745" s="1549">
        <f t="shared" si="23"/>
        <v>0</v>
      </c>
      <c r="DF745" s="1549"/>
      <c r="DG745" s="1549"/>
      <c r="DH745" s="1549"/>
      <c r="DI745" s="1549"/>
      <c r="DJ745" s="1549">
        <f t="shared" si="24"/>
        <v>0</v>
      </c>
      <c r="DK745" s="1549"/>
      <c r="DL745" s="1549"/>
      <c r="DM745" s="1549"/>
      <c r="DN745" s="1549"/>
      <c r="DO745" s="1549">
        <f t="shared" si="25"/>
        <v>0</v>
      </c>
      <c r="DP745" s="1549"/>
      <c r="DQ745" s="1549"/>
      <c r="DR745" s="1549"/>
      <c r="DS745" s="1549"/>
      <c r="DT745" s="6"/>
      <c r="DU745" s="1554">
        <f t="shared" si="26"/>
        <v>0</v>
      </c>
      <c r="DV745" s="1554"/>
      <c r="DW745" s="1554"/>
      <c r="DX745" s="1554"/>
      <c r="DY745" s="1554"/>
      <c r="DZ745" s="1554">
        <f t="shared" si="27"/>
        <v>0</v>
      </c>
      <c r="EA745" s="1554"/>
      <c r="EB745" s="1554"/>
      <c r="EC745" s="1554"/>
      <c r="ED745" s="1554"/>
      <c r="EE745" s="1554">
        <f t="shared" si="28"/>
        <v>0</v>
      </c>
      <c r="EF745" s="1554"/>
      <c r="EG745" s="1554"/>
      <c r="EH745" s="1554"/>
      <c r="EI745" s="1554"/>
      <c r="EJ745" s="1554">
        <f t="shared" si="29"/>
        <v>0</v>
      </c>
      <c r="EK745" s="1554"/>
      <c r="EL745" s="1554"/>
      <c r="EM745" s="1554"/>
      <c r="EN745" s="1554"/>
      <c r="EO745" s="1554">
        <f t="shared" si="30"/>
        <v>0</v>
      </c>
      <c r="EP745" s="1554"/>
      <c r="EQ745" s="1554"/>
      <c r="ER745" s="1554"/>
      <c r="ES745" s="1554"/>
      <c r="ET745" s="1554">
        <f t="shared" si="31"/>
        <v>0</v>
      </c>
      <c r="EU745" s="1554"/>
      <c r="EV745" s="1554"/>
      <c r="EW745" s="1554"/>
      <c r="EX745" s="1554"/>
      <c r="EZ745" s="1550" t="str">
        <f t="shared" si="32"/>
        <v/>
      </c>
      <c r="FA745" s="1556"/>
      <c r="FB745" s="1556"/>
      <c r="FC745" s="1556"/>
      <c r="FD745" s="1551"/>
      <c r="FE745" s="1550" t="str">
        <f t="shared" si="33"/>
        <v/>
      </c>
      <c r="FF745" s="1556"/>
      <c r="FG745" s="1556"/>
      <c r="FH745" s="1556"/>
      <c r="FI745" s="1551"/>
      <c r="FJ745" s="1550" t="str">
        <f t="shared" si="34"/>
        <v/>
      </c>
      <c r="FK745" s="1556"/>
      <c r="FL745" s="1556"/>
      <c r="FM745" s="1556"/>
      <c r="FN745" s="1551"/>
      <c r="FO745" s="1550" t="str">
        <f t="shared" si="35"/>
        <v/>
      </c>
      <c r="FP745" s="1556"/>
      <c r="FQ745" s="1556"/>
      <c r="FR745" s="1556"/>
      <c r="FS745" s="1551"/>
      <c r="FT745" s="1550" t="str">
        <f t="shared" si="36"/>
        <v/>
      </c>
      <c r="FU745" s="1556"/>
      <c r="FV745" s="1556"/>
      <c r="FW745" s="1556"/>
      <c r="FX745" s="1551"/>
      <c r="FY745" s="1550" t="str">
        <f t="shared" si="37"/>
        <v/>
      </c>
      <c r="FZ745" s="1556"/>
      <c r="GA745" s="1556"/>
      <c r="GB745" s="1556"/>
      <c r="GC745" s="1551"/>
    </row>
    <row r="746" spans="1:185" ht="12.95" customHeight="1">
      <c r="B746" s="1376"/>
      <c r="C746" s="1377"/>
      <c r="D746" s="1377"/>
      <c r="E746" s="1377"/>
      <c r="F746" s="1378"/>
      <c r="G746" s="1370"/>
      <c r="H746" s="1371"/>
      <c r="I746" s="1371"/>
      <c r="J746" s="1372"/>
      <c r="K746" s="1373"/>
      <c r="L746" s="1374"/>
      <c r="M746" s="1374"/>
      <c r="N746" s="1375"/>
      <c r="O746" s="1415"/>
      <c r="P746" s="1416"/>
      <c r="Q746" s="1416"/>
      <c r="R746" s="1416"/>
      <c r="S746" s="1417"/>
      <c r="T746" s="1415"/>
      <c r="U746" s="1416"/>
      <c r="V746" s="1416"/>
      <c r="W746" s="1417"/>
      <c r="X746" s="1418">
        <f t="shared" si="10"/>
        <v>0</v>
      </c>
      <c r="Y746" s="1414"/>
      <c r="Z746" s="1414"/>
      <c r="AA746" s="1414"/>
      <c r="AB746" s="1419"/>
      <c r="AC746" s="1420"/>
      <c r="AD746" s="1421"/>
      <c r="AE746" s="1421"/>
      <c r="AF746" s="1421"/>
      <c r="AG746" s="1422"/>
      <c r="AH746" s="1438" t="str">
        <f t="shared" si="38"/>
        <v/>
      </c>
      <c r="AI746" s="1439"/>
      <c r="AJ746" s="1440"/>
      <c r="AK746" s="1376" t="s">
        <v>589</v>
      </c>
      <c r="AL746" s="1377"/>
      <c r="AM746" s="1377"/>
      <c r="AN746" s="1377"/>
      <c r="AO746" s="1378"/>
      <c r="AP746" s="3"/>
      <c r="AQ746" s="3"/>
      <c r="AR746" s="3"/>
      <c r="AS746" s="3"/>
      <c r="AY746" s="1079"/>
      <c r="AZ746" s="118" t="str">
        <f t="shared" si="11"/>
        <v>N/A</v>
      </c>
      <c r="BA746" s="3"/>
      <c r="BE746" s="204"/>
      <c r="BF746" s="293">
        <f t="shared" si="12"/>
        <v>0</v>
      </c>
      <c r="BG746" s="296">
        <f t="shared" si="13"/>
        <v>0</v>
      </c>
      <c r="BH746" s="297" t="str">
        <f t="shared" si="14"/>
        <v/>
      </c>
      <c r="BK746" s="3"/>
      <c r="BL746" s="3"/>
      <c r="BM746" s="3"/>
      <c r="BN746" s="3"/>
      <c r="BS746" s="293">
        <f t="shared" si="15"/>
        <v>0</v>
      </c>
      <c r="BT746" s="296">
        <f t="shared" si="16"/>
        <v>0</v>
      </c>
      <c r="BU746" s="297" t="str">
        <f t="shared" si="17"/>
        <v/>
      </c>
      <c r="BV746" s="3"/>
      <c r="BW746" s="3"/>
      <c r="BX746" s="3"/>
      <c r="BY746" s="3"/>
      <c r="BZ746" s="3"/>
      <c r="CA746" s="3"/>
      <c r="CB746" s="3"/>
      <c r="CC746" s="3"/>
      <c r="CE746" s="3"/>
      <c r="CF746" s="3"/>
      <c r="CG746" s="1550">
        <f t="shared" si="39"/>
        <v>0</v>
      </c>
      <c r="CH746" s="1551"/>
      <c r="CI746" s="1552">
        <f t="shared" si="40"/>
        <v>0</v>
      </c>
      <c r="CJ746" s="1553"/>
      <c r="CK746" s="1550">
        <f t="shared" si="18"/>
        <v>0</v>
      </c>
      <c r="CL746" s="1551"/>
      <c r="CM746" s="1552">
        <f t="shared" si="19"/>
        <v>0</v>
      </c>
      <c r="CN746" s="1553"/>
      <c r="CO746" s="3"/>
      <c r="CP746" s="1545">
        <f t="shared" si="20"/>
        <v>0</v>
      </c>
      <c r="CQ746" s="1546"/>
      <c r="CR746" s="1546"/>
      <c r="CS746" s="1546"/>
      <c r="CT746" s="1547"/>
      <c r="CU746" s="1549">
        <f t="shared" si="21"/>
        <v>0</v>
      </c>
      <c r="CV746" s="1549"/>
      <c r="CW746" s="1549"/>
      <c r="CX746" s="1549"/>
      <c r="CY746" s="1549"/>
      <c r="CZ746" s="1549">
        <f t="shared" si="22"/>
        <v>0</v>
      </c>
      <c r="DA746" s="1549"/>
      <c r="DB746" s="1549"/>
      <c r="DC746" s="1549"/>
      <c r="DD746" s="1549"/>
      <c r="DE746" s="1549">
        <f t="shared" si="23"/>
        <v>0</v>
      </c>
      <c r="DF746" s="1549"/>
      <c r="DG746" s="1549"/>
      <c r="DH746" s="1549"/>
      <c r="DI746" s="1549"/>
      <c r="DJ746" s="1549">
        <f t="shared" si="24"/>
        <v>0</v>
      </c>
      <c r="DK746" s="1549"/>
      <c r="DL746" s="1549"/>
      <c r="DM746" s="1549"/>
      <c r="DN746" s="1549"/>
      <c r="DO746" s="1549">
        <f t="shared" si="25"/>
        <v>0</v>
      </c>
      <c r="DP746" s="1549"/>
      <c r="DQ746" s="1549"/>
      <c r="DR746" s="1549"/>
      <c r="DS746" s="1549"/>
      <c r="DT746" s="6"/>
      <c r="DU746" s="1554">
        <f t="shared" si="26"/>
        <v>0</v>
      </c>
      <c r="DV746" s="1554"/>
      <c r="DW746" s="1554"/>
      <c r="DX746" s="1554"/>
      <c r="DY746" s="1554"/>
      <c r="DZ746" s="1554">
        <f t="shared" si="27"/>
        <v>0</v>
      </c>
      <c r="EA746" s="1554"/>
      <c r="EB746" s="1554"/>
      <c r="EC746" s="1554"/>
      <c r="ED746" s="1554"/>
      <c r="EE746" s="1554">
        <f t="shared" si="28"/>
        <v>0</v>
      </c>
      <c r="EF746" s="1554"/>
      <c r="EG746" s="1554"/>
      <c r="EH746" s="1554"/>
      <c r="EI746" s="1554"/>
      <c r="EJ746" s="1554">
        <f t="shared" si="29"/>
        <v>0</v>
      </c>
      <c r="EK746" s="1554"/>
      <c r="EL746" s="1554"/>
      <c r="EM746" s="1554"/>
      <c r="EN746" s="1554"/>
      <c r="EO746" s="1554">
        <f t="shared" si="30"/>
        <v>0</v>
      </c>
      <c r="EP746" s="1554"/>
      <c r="EQ746" s="1554"/>
      <c r="ER746" s="1554"/>
      <c r="ES746" s="1554"/>
      <c r="ET746" s="1554">
        <f t="shared" si="31"/>
        <v>0</v>
      </c>
      <c r="EU746" s="1554"/>
      <c r="EV746" s="1554"/>
      <c r="EW746" s="1554"/>
      <c r="EX746" s="1554"/>
      <c r="EZ746" s="1550" t="str">
        <f t="shared" si="32"/>
        <v/>
      </c>
      <c r="FA746" s="1556"/>
      <c r="FB746" s="1556"/>
      <c r="FC746" s="1556"/>
      <c r="FD746" s="1551"/>
      <c r="FE746" s="1550" t="str">
        <f t="shared" si="33"/>
        <v/>
      </c>
      <c r="FF746" s="1556"/>
      <c r="FG746" s="1556"/>
      <c r="FH746" s="1556"/>
      <c r="FI746" s="1551"/>
      <c r="FJ746" s="1550" t="str">
        <f t="shared" si="34"/>
        <v/>
      </c>
      <c r="FK746" s="1556"/>
      <c r="FL746" s="1556"/>
      <c r="FM746" s="1556"/>
      <c r="FN746" s="1551"/>
      <c r="FO746" s="1550" t="str">
        <f t="shared" si="35"/>
        <v/>
      </c>
      <c r="FP746" s="1556"/>
      <c r="FQ746" s="1556"/>
      <c r="FR746" s="1556"/>
      <c r="FS746" s="1551"/>
      <c r="FT746" s="1550" t="str">
        <f t="shared" si="36"/>
        <v/>
      </c>
      <c r="FU746" s="1556"/>
      <c r="FV746" s="1556"/>
      <c r="FW746" s="1556"/>
      <c r="FX746" s="1551"/>
      <c r="FY746" s="1550" t="str">
        <f t="shared" si="37"/>
        <v/>
      </c>
      <c r="FZ746" s="1556"/>
      <c r="GA746" s="1556"/>
      <c r="GB746" s="1556"/>
      <c r="GC746" s="1551"/>
    </row>
    <row r="747" spans="1:185" ht="12.95" customHeight="1">
      <c r="B747" s="1376"/>
      <c r="C747" s="1377"/>
      <c r="D747" s="1377"/>
      <c r="E747" s="1377"/>
      <c r="F747" s="1378"/>
      <c r="G747" s="1370"/>
      <c r="H747" s="1371"/>
      <c r="I747" s="1371"/>
      <c r="J747" s="1372"/>
      <c r="K747" s="1373"/>
      <c r="L747" s="1374"/>
      <c r="M747" s="1374"/>
      <c r="N747" s="1375"/>
      <c r="O747" s="1415"/>
      <c r="P747" s="1416"/>
      <c r="Q747" s="1416"/>
      <c r="R747" s="1416"/>
      <c r="S747" s="1417"/>
      <c r="T747" s="1415"/>
      <c r="U747" s="1416"/>
      <c r="V747" s="1416"/>
      <c r="W747" s="1417"/>
      <c r="X747" s="1418">
        <f t="shared" si="10"/>
        <v>0</v>
      </c>
      <c r="Y747" s="1414"/>
      <c r="Z747" s="1414"/>
      <c r="AA747" s="1414"/>
      <c r="AB747" s="1419"/>
      <c r="AC747" s="1420"/>
      <c r="AD747" s="1421"/>
      <c r="AE747" s="1421"/>
      <c r="AF747" s="1421"/>
      <c r="AG747" s="1422"/>
      <c r="AH747" s="1438" t="str">
        <f t="shared" si="38"/>
        <v/>
      </c>
      <c r="AI747" s="1439"/>
      <c r="AJ747" s="1440"/>
      <c r="AK747" s="1376" t="s">
        <v>589</v>
      </c>
      <c r="AL747" s="1377"/>
      <c r="AM747" s="1377"/>
      <c r="AN747" s="1377"/>
      <c r="AO747" s="1378"/>
      <c r="AP747" s="3"/>
      <c r="AQ747" s="3"/>
      <c r="AR747" s="3"/>
      <c r="AS747" s="3"/>
      <c r="AY747" s="1079"/>
      <c r="AZ747" s="118" t="str">
        <f t="shared" si="11"/>
        <v>N/A</v>
      </c>
      <c r="BA747" s="3"/>
      <c r="BE747" s="204"/>
      <c r="BF747" s="293">
        <f t="shared" si="12"/>
        <v>0</v>
      </c>
      <c r="BG747" s="296">
        <f t="shared" si="13"/>
        <v>0</v>
      </c>
      <c r="BH747" s="297" t="str">
        <f t="shared" si="14"/>
        <v/>
      </c>
      <c r="BK747" s="3"/>
      <c r="BL747" s="3"/>
      <c r="BM747" s="3"/>
      <c r="BN747" s="3"/>
      <c r="BS747" s="293">
        <f t="shared" si="15"/>
        <v>0</v>
      </c>
      <c r="BT747" s="296">
        <f t="shared" si="16"/>
        <v>0</v>
      </c>
      <c r="BU747" s="297" t="str">
        <f t="shared" si="17"/>
        <v/>
      </c>
      <c r="BV747" s="3"/>
      <c r="BW747" s="3"/>
      <c r="BX747" s="3"/>
      <c r="BY747" s="3"/>
      <c r="BZ747" s="3"/>
      <c r="CA747" s="3"/>
      <c r="CB747" s="3"/>
      <c r="CC747" s="3"/>
      <c r="CE747" s="3"/>
      <c r="CF747" s="3"/>
      <c r="CG747" s="1550">
        <f t="shared" si="39"/>
        <v>0</v>
      </c>
      <c r="CH747" s="1551"/>
      <c r="CI747" s="1552">
        <f t="shared" si="40"/>
        <v>0</v>
      </c>
      <c r="CJ747" s="1553"/>
      <c r="CK747" s="1550">
        <f t="shared" si="18"/>
        <v>0</v>
      </c>
      <c r="CL747" s="1551"/>
      <c r="CM747" s="1552">
        <f t="shared" si="19"/>
        <v>0</v>
      </c>
      <c r="CN747" s="1553"/>
      <c r="CO747" s="3"/>
      <c r="CP747" s="1545">
        <f t="shared" si="20"/>
        <v>0</v>
      </c>
      <c r="CQ747" s="1546"/>
      <c r="CR747" s="1546"/>
      <c r="CS747" s="1546"/>
      <c r="CT747" s="1547"/>
      <c r="CU747" s="1549">
        <f t="shared" si="21"/>
        <v>0</v>
      </c>
      <c r="CV747" s="1549"/>
      <c r="CW747" s="1549"/>
      <c r="CX747" s="1549"/>
      <c r="CY747" s="1549"/>
      <c r="CZ747" s="1549">
        <f t="shared" si="22"/>
        <v>0</v>
      </c>
      <c r="DA747" s="1549"/>
      <c r="DB747" s="1549"/>
      <c r="DC747" s="1549"/>
      <c r="DD747" s="1549"/>
      <c r="DE747" s="1549">
        <f t="shared" si="23"/>
        <v>0</v>
      </c>
      <c r="DF747" s="1549"/>
      <c r="DG747" s="1549"/>
      <c r="DH747" s="1549"/>
      <c r="DI747" s="1549"/>
      <c r="DJ747" s="1549">
        <f t="shared" si="24"/>
        <v>0</v>
      </c>
      <c r="DK747" s="1549"/>
      <c r="DL747" s="1549"/>
      <c r="DM747" s="1549"/>
      <c r="DN747" s="1549"/>
      <c r="DO747" s="1549">
        <f t="shared" si="25"/>
        <v>0</v>
      </c>
      <c r="DP747" s="1549"/>
      <c r="DQ747" s="1549"/>
      <c r="DR747" s="1549"/>
      <c r="DS747" s="1549"/>
      <c r="DT747" s="6"/>
      <c r="DU747" s="1554">
        <f t="shared" si="26"/>
        <v>0</v>
      </c>
      <c r="DV747" s="1554"/>
      <c r="DW747" s="1554"/>
      <c r="DX747" s="1554"/>
      <c r="DY747" s="1554"/>
      <c r="DZ747" s="1554">
        <f t="shared" si="27"/>
        <v>0</v>
      </c>
      <c r="EA747" s="1554"/>
      <c r="EB747" s="1554"/>
      <c r="EC747" s="1554"/>
      <c r="ED747" s="1554"/>
      <c r="EE747" s="1554">
        <f t="shared" si="28"/>
        <v>0</v>
      </c>
      <c r="EF747" s="1554"/>
      <c r="EG747" s="1554"/>
      <c r="EH747" s="1554"/>
      <c r="EI747" s="1554"/>
      <c r="EJ747" s="1554">
        <f t="shared" si="29"/>
        <v>0</v>
      </c>
      <c r="EK747" s="1554"/>
      <c r="EL747" s="1554"/>
      <c r="EM747" s="1554"/>
      <c r="EN747" s="1554"/>
      <c r="EO747" s="1554">
        <f t="shared" si="30"/>
        <v>0</v>
      </c>
      <c r="EP747" s="1554"/>
      <c r="EQ747" s="1554"/>
      <c r="ER747" s="1554"/>
      <c r="ES747" s="1554"/>
      <c r="ET747" s="1554">
        <f t="shared" si="31"/>
        <v>0</v>
      </c>
      <c r="EU747" s="1554"/>
      <c r="EV747" s="1554"/>
      <c r="EW747" s="1554"/>
      <c r="EX747" s="1554"/>
      <c r="EZ747" s="1550" t="str">
        <f t="shared" si="32"/>
        <v/>
      </c>
      <c r="FA747" s="1556"/>
      <c r="FB747" s="1556"/>
      <c r="FC747" s="1556"/>
      <c r="FD747" s="1551"/>
      <c r="FE747" s="1550" t="str">
        <f t="shared" si="33"/>
        <v/>
      </c>
      <c r="FF747" s="1556"/>
      <c r="FG747" s="1556"/>
      <c r="FH747" s="1556"/>
      <c r="FI747" s="1551"/>
      <c r="FJ747" s="1550" t="str">
        <f t="shared" si="34"/>
        <v/>
      </c>
      <c r="FK747" s="1556"/>
      <c r="FL747" s="1556"/>
      <c r="FM747" s="1556"/>
      <c r="FN747" s="1551"/>
      <c r="FO747" s="1550" t="str">
        <f t="shared" si="35"/>
        <v/>
      </c>
      <c r="FP747" s="1556"/>
      <c r="FQ747" s="1556"/>
      <c r="FR747" s="1556"/>
      <c r="FS747" s="1551"/>
      <c r="FT747" s="1550" t="str">
        <f t="shared" si="36"/>
        <v/>
      </c>
      <c r="FU747" s="1556"/>
      <c r="FV747" s="1556"/>
      <c r="FW747" s="1556"/>
      <c r="FX747" s="1551"/>
      <c r="FY747" s="1550" t="str">
        <f t="shared" si="37"/>
        <v/>
      </c>
      <c r="FZ747" s="1556"/>
      <c r="GA747" s="1556"/>
      <c r="GB747" s="1556"/>
      <c r="GC747" s="1551"/>
    </row>
    <row r="748" spans="1:185" ht="12.95" customHeight="1">
      <c r="B748" s="1376"/>
      <c r="C748" s="1377"/>
      <c r="D748" s="1377"/>
      <c r="E748" s="1377"/>
      <c r="F748" s="1378"/>
      <c r="G748" s="1370"/>
      <c r="H748" s="1371"/>
      <c r="I748" s="1371"/>
      <c r="J748" s="1372"/>
      <c r="K748" s="1373"/>
      <c r="L748" s="1374"/>
      <c r="M748" s="1374"/>
      <c r="N748" s="1375"/>
      <c r="O748" s="1415"/>
      <c r="P748" s="1416"/>
      <c r="Q748" s="1416"/>
      <c r="R748" s="1416"/>
      <c r="S748" s="1417"/>
      <c r="T748" s="1415"/>
      <c r="U748" s="1416"/>
      <c r="V748" s="1416"/>
      <c r="W748" s="1417"/>
      <c r="X748" s="1418">
        <f t="shared" si="10"/>
        <v>0</v>
      </c>
      <c r="Y748" s="1414"/>
      <c r="Z748" s="1414"/>
      <c r="AA748" s="1414"/>
      <c r="AB748" s="1419"/>
      <c r="AC748" s="1420"/>
      <c r="AD748" s="1421"/>
      <c r="AE748" s="1421"/>
      <c r="AF748" s="1421"/>
      <c r="AG748" s="1422"/>
      <c r="AH748" s="1438" t="str">
        <f t="shared" si="38"/>
        <v/>
      </c>
      <c r="AI748" s="1439"/>
      <c r="AJ748" s="1440"/>
      <c r="AK748" s="1376" t="s">
        <v>589</v>
      </c>
      <c r="AL748" s="1377"/>
      <c r="AM748" s="1377"/>
      <c r="AN748" s="1377"/>
      <c r="AO748" s="1378"/>
      <c r="AP748" s="3"/>
      <c r="AQ748" s="3"/>
      <c r="AR748" s="3"/>
      <c r="AS748" s="3"/>
      <c r="AY748" s="1079"/>
      <c r="AZ748" s="118" t="str">
        <f t="shared" si="11"/>
        <v>N/A</v>
      </c>
      <c r="BA748" s="3"/>
      <c r="BE748" s="204"/>
      <c r="BF748" s="293">
        <f t="shared" si="12"/>
        <v>0</v>
      </c>
      <c r="BG748" s="296">
        <f t="shared" si="13"/>
        <v>0</v>
      </c>
      <c r="BH748" s="297" t="str">
        <f t="shared" si="14"/>
        <v/>
      </c>
      <c r="BK748" s="3"/>
      <c r="BL748" s="3"/>
      <c r="BM748" s="3"/>
      <c r="BN748" s="3"/>
      <c r="BS748" s="293">
        <f t="shared" si="15"/>
        <v>0</v>
      </c>
      <c r="BT748" s="296">
        <f t="shared" si="16"/>
        <v>0</v>
      </c>
      <c r="BU748" s="297" t="str">
        <f t="shared" si="17"/>
        <v/>
      </c>
      <c r="BV748" s="3"/>
      <c r="BW748" s="3"/>
      <c r="BX748" s="3"/>
      <c r="BY748" s="3"/>
      <c r="BZ748" s="3"/>
      <c r="CA748" s="3"/>
      <c r="CB748" s="3"/>
      <c r="CC748" s="3"/>
      <c r="CE748" s="3"/>
      <c r="CF748" s="3"/>
      <c r="CG748" s="1550">
        <f t="shared" si="39"/>
        <v>0</v>
      </c>
      <c r="CH748" s="1551"/>
      <c r="CI748" s="1552">
        <f t="shared" si="40"/>
        <v>0</v>
      </c>
      <c r="CJ748" s="1553"/>
      <c r="CK748" s="1550">
        <f t="shared" si="18"/>
        <v>0</v>
      </c>
      <c r="CL748" s="1551"/>
      <c r="CM748" s="1552">
        <f t="shared" si="19"/>
        <v>0</v>
      </c>
      <c r="CN748" s="1553"/>
      <c r="CO748" s="3"/>
      <c r="CP748" s="1545">
        <f t="shared" si="20"/>
        <v>0</v>
      </c>
      <c r="CQ748" s="1546"/>
      <c r="CR748" s="1546"/>
      <c r="CS748" s="1546"/>
      <c r="CT748" s="1547"/>
      <c r="CU748" s="1549">
        <f t="shared" si="21"/>
        <v>0</v>
      </c>
      <c r="CV748" s="1549"/>
      <c r="CW748" s="1549"/>
      <c r="CX748" s="1549"/>
      <c r="CY748" s="1549"/>
      <c r="CZ748" s="1549">
        <f t="shared" si="22"/>
        <v>0</v>
      </c>
      <c r="DA748" s="1549"/>
      <c r="DB748" s="1549"/>
      <c r="DC748" s="1549"/>
      <c r="DD748" s="1549"/>
      <c r="DE748" s="1549">
        <f t="shared" si="23"/>
        <v>0</v>
      </c>
      <c r="DF748" s="1549"/>
      <c r="DG748" s="1549"/>
      <c r="DH748" s="1549"/>
      <c r="DI748" s="1549"/>
      <c r="DJ748" s="1549">
        <f t="shared" si="24"/>
        <v>0</v>
      </c>
      <c r="DK748" s="1549"/>
      <c r="DL748" s="1549"/>
      <c r="DM748" s="1549"/>
      <c r="DN748" s="1549"/>
      <c r="DO748" s="1549">
        <f t="shared" si="25"/>
        <v>0</v>
      </c>
      <c r="DP748" s="1549"/>
      <c r="DQ748" s="1549"/>
      <c r="DR748" s="1549"/>
      <c r="DS748" s="1549"/>
      <c r="DT748" s="6"/>
      <c r="DU748" s="1554">
        <f t="shared" si="26"/>
        <v>0</v>
      </c>
      <c r="DV748" s="1554"/>
      <c r="DW748" s="1554"/>
      <c r="DX748" s="1554"/>
      <c r="DY748" s="1554"/>
      <c r="DZ748" s="1554">
        <f t="shared" si="27"/>
        <v>0</v>
      </c>
      <c r="EA748" s="1554"/>
      <c r="EB748" s="1554"/>
      <c r="EC748" s="1554"/>
      <c r="ED748" s="1554"/>
      <c r="EE748" s="1554">
        <f t="shared" si="28"/>
        <v>0</v>
      </c>
      <c r="EF748" s="1554"/>
      <c r="EG748" s="1554"/>
      <c r="EH748" s="1554"/>
      <c r="EI748" s="1554"/>
      <c r="EJ748" s="1554">
        <f t="shared" si="29"/>
        <v>0</v>
      </c>
      <c r="EK748" s="1554"/>
      <c r="EL748" s="1554"/>
      <c r="EM748" s="1554"/>
      <c r="EN748" s="1554"/>
      <c r="EO748" s="1554">
        <f t="shared" si="30"/>
        <v>0</v>
      </c>
      <c r="EP748" s="1554"/>
      <c r="EQ748" s="1554"/>
      <c r="ER748" s="1554"/>
      <c r="ES748" s="1554"/>
      <c r="ET748" s="1554">
        <f t="shared" si="31"/>
        <v>0</v>
      </c>
      <c r="EU748" s="1554"/>
      <c r="EV748" s="1554"/>
      <c r="EW748" s="1554"/>
      <c r="EX748" s="1554"/>
      <c r="EZ748" s="1550" t="str">
        <f t="shared" si="32"/>
        <v/>
      </c>
      <c r="FA748" s="1556"/>
      <c r="FB748" s="1556"/>
      <c r="FC748" s="1556"/>
      <c r="FD748" s="1551"/>
      <c r="FE748" s="1550" t="str">
        <f t="shared" si="33"/>
        <v/>
      </c>
      <c r="FF748" s="1556"/>
      <c r="FG748" s="1556"/>
      <c r="FH748" s="1556"/>
      <c r="FI748" s="1551"/>
      <c r="FJ748" s="1550" t="str">
        <f t="shared" si="34"/>
        <v/>
      </c>
      <c r="FK748" s="1556"/>
      <c r="FL748" s="1556"/>
      <c r="FM748" s="1556"/>
      <c r="FN748" s="1551"/>
      <c r="FO748" s="1550" t="str">
        <f t="shared" si="35"/>
        <v/>
      </c>
      <c r="FP748" s="1556"/>
      <c r="FQ748" s="1556"/>
      <c r="FR748" s="1556"/>
      <c r="FS748" s="1551"/>
      <c r="FT748" s="1550" t="str">
        <f t="shared" si="36"/>
        <v/>
      </c>
      <c r="FU748" s="1556"/>
      <c r="FV748" s="1556"/>
      <c r="FW748" s="1556"/>
      <c r="FX748" s="1551"/>
      <c r="FY748" s="1550" t="str">
        <f t="shared" si="37"/>
        <v/>
      </c>
      <c r="FZ748" s="1556"/>
      <c r="GA748" s="1556"/>
      <c r="GB748" s="1556"/>
      <c r="GC748" s="1551"/>
    </row>
    <row r="749" spans="1:185" ht="12.95" customHeight="1">
      <c r="B749" s="1376"/>
      <c r="C749" s="1377"/>
      <c r="D749" s="1377"/>
      <c r="E749" s="1377"/>
      <c r="F749" s="1378"/>
      <c r="G749" s="1370"/>
      <c r="H749" s="1371"/>
      <c r="I749" s="1371"/>
      <c r="J749" s="1372"/>
      <c r="K749" s="1373"/>
      <c r="L749" s="1374"/>
      <c r="M749" s="1374"/>
      <c r="N749" s="1375"/>
      <c r="O749" s="1415"/>
      <c r="P749" s="1416"/>
      <c r="Q749" s="1416"/>
      <c r="R749" s="1416"/>
      <c r="S749" s="1417"/>
      <c r="T749" s="1415"/>
      <c r="U749" s="1416"/>
      <c r="V749" s="1416"/>
      <c r="W749" s="1417"/>
      <c r="X749" s="1418">
        <f t="shared" si="10"/>
        <v>0</v>
      </c>
      <c r="Y749" s="1414"/>
      <c r="Z749" s="1414"/>
      <c r="AA749" s="1414"/>
      <c r="AB749" s="1419"/>
      <c r="AC749" s="1420"/>
      <c r="AD749" s="1421"/>
      <c r="AE749" s="1421"/>
      <c r="AF749" s="1421"/>
      <c r="AG749" s="1422"/>
      <c r="AH749" s="1438" t="str">
        <f t="shared" si="38"/>
        <v/>
      </c>
      <c r="AI749" s="1439"/>
      <c r="AJ749" s="1440"/>
      <c r="AK749" s="1376" t="s">
        <v>589</v>
      </c>
      <c r="AL749" s="1377"/>
      <c r="AM749" s="1377"/>
      <c r="AN749" s="1377"/>
      <c r="AO749" s="1378"/>
      <c r="AP749" s="3"/>
      <c r="AQ749" s="3"/>
      <c r="AR749" s="3"/>
      <c r="AS749" s="3"/>
      <c r="AY749" s="1079"/>
      <c r="AZ749" s="118" t="str">
        <f t="shared" si="11"/>
        <v>N/A</v>
      </c>
      <c r="BA749" s="3"/>
      <c r="BE749" s="204"/>
      <c r="BF749" s="293">
        <f t="shared" si="12"/>
        <v>0</v>
      </c>
      <c r="BG749" s="296">
        <f t="shared" si="13"/>
        <v>0</v>
      </c>
      <c r="BH749" s="297" t="str">
        <f t="shared" si="14"/>
        <v/>
      </c>
      <c r="BK749" s="3"/>
      <c r="BL749" s="3"/>
      <c r="BM749" s="3"/>
      <c r="BN749" s="3"/>
      <c r="BS749" s="293">
        <f t="shared" si="15"/>
        <v>0</v>
      </c>
      <c r="BT749" s="296">
        <f t="shared" si="16"/>
        <v>0</v>
      </c>
      <c r="BU749" s="297" t="str">
        <f t="shared" si="17"/>
        <v/>
      </c>
      <c r="BV749" s="3"/>
      <c r="BW749" s="3"/>
      <c r="BX749" s="3"/>
      <c r="BY749" s="3"/>
      <c r="BZ749" s="3"/>
      <c r="CA749" s="3"/>
      <c r="CB749" s="3"/>
      <c r="CC749" s="3"/>
      <c r="CE749" s="3"/>
      <c r="CF749" s="3"/>
      <c r="CG749" s="1550">
        <f t="shared" si="39"/>
        <v>0</v>
      </c>
      <c r="CH749" s="1551"/>
      <c r="CI749" s="1552">
        <f t="shared" si="40"/>
        <v>0</v>
      </c>
      <c r="CJ749" s="1553"/>
      <c r="CK749" s="1550">
        <f t="shared" si="18"/>
        <v>0</v>
      </c>
      <c r="CL749" s="1551"/>
      <c r="CM749" s="1552">
        <f t="shared" si="19"/>
        <v>0</v>
      </c>
      <c r="CN749" s="1553"/>
      <c r="CO749" s="3"/>
      <c r="CP749" s="1545">
        <f t="shared" si="20"/>
        <v>0</v>
      </c>
      <c r="CQ749" s="1546"/>
      <c r="CR749" s="1546"/>
      <c r="CS749" s="1546"/>
      <c r="CT749" s="1547"/>
      <c r="CU749" s="1549">
        <f t="shared" si="21"/>
        <v>0</v>
      </c>
      <c r="CV749" s="1549"/>
      <c r="CW749" s="1549"/>
      <c r="CX749" s="1549"/>
      <c r="CY749" s="1549"/>
      <c r="CZ749" s="1549">
        <f t="shared" si="22"/>
        <v>0</v>
      </c>
      <c r="DA749" s="1549"/>
      <c r="DB749" s="1549"/>
      <c r="DC749" s="1549"/>
      <c r="DD749" s="1549"/>
      <c r="DE749" s="1549">
        <f t="shared" si="23"/>
        <v>0</v>
      </c>
      <c r="DF749" s="1549"/>
      <c r="DG749" s="1549"/>
      <c r="DH749" s="1549"/>
      <c r="DI749" s="1549"/>
      <c r="DJ749" s="1549">
        <f t="shared" si="24"/>
        <v>0</v>
      </c>
      <c r="DK749" s="1549"/>
      <c r="DL749" s="1549"/>
      <c r="DM749" s="1549"/>
      <c r="DN749" s="1549"/>
      <c r="DO749" s="1549">
        <f t="shared" si="25"/>
        <v>0</v>
      </c>
      <c r="DP749" s="1549"/>
      <c r="DQ749" s="1549"/>
      <c r="DR749" s="1549"/>
      <c r="DS749" s="1549"/>
      <c r="DT749" s="6"/>
      <c r="DU749" s="1554">
        <f t="shared" si="26"/>
        <v>0</v>
      </c>
      <c r="DV749" s="1554"/>
      <c r="DW749" s="1554"/>
      <c r="DX749" s="1554"/>
      <c r="DY749" s="1554"/>
      <c r="DZ749" s="1554">
        <f t="shared" si="27"/>
        <v>0</v>
      </c>
      <c r="EA749" s="1554"/>
      <c r="EB749" s="1554"/>
      <c r="EC749" s="1554"/>
      <c r="ED749" s="1554"/>
      <c r="EE749" s="1554">
        <f t="shared" si="28"/>
        <v>0</v>
      </c>
      <c r="EF749" s="1554"/>
      <c r="EG749" s="1554"/>
      <c r="EH749" s="1554"/>
      <c r="EI749" s="1554"/>
      <c r="EJ749" s="1554">
        <f t="shared" si="29"/>
        <v>0</v>
      </c>
      <c r="EK749" s="1554"/>
      <c r="EL749" s="1554"/>
      <c r="EM749" s="1554"/>
      <c r="EN749" s="1554"/>
      <c r="EO749" s="1554">
        <f t="shared" si="30"/>
        <v>0</v>
      </c>
      <c r="EP749" s="1554"/>
      <c r="EQ749" s="1554"/>
      <c r="ER749" s="1554"/>
      <c r="ES749" s="1554"/>
      <c r="ET749" s="1554">
        <f t="shared" si="31"/>
        <v>0</v>
      </c>
      <c r="EU749" s="1554"/>
      <c r="EV749" s="1554"/>
      <c r="EW749" s="1554"/>
      <c r="EX749" s="1554"/>
      <c r="EZ749" s="1550" t="str">
        <f t="shared" si="32"/>
        <v/>
      </c>
      <c r="FA749" s="1556"/>
      <c r="FB749" s="1556"/>
      <c r="FC749" s="1556"/>
      <c r="FD749" s="1551"/>
      <c r="FE749" s="1550" t="str">
        <f t="shared" si="33"/>
        <v/>
      </c>
      <c r="FF749" s="1556"/>
      <c r="FG749" s="1556"/>
      <c r="FH749" s="1556"/>
      <c r="FI749" s="1551"/>
      <c r="FJ749" s="1550" t="str">
        <f t="shared" si="34"/>
        <v/>
      </c>
      <c r="FK749" s="1556"/>
      <c r="FL749" s="1556"/>
      <c r="FM749" s="1556"/>
      <c r="FN749" s="1551"/>
      <c r="FO749" s="1550" t="str">
        <f t="shared" si="35"/>
        <v/>
      </c>
      <c r="FP749" s="1556"/>
      <c r="FQ749" s="1556"/>
      <c r="FR749" s="1556"/>
      <c r="FS749" s="1551"/>
      <c r="FT749" s="1550" t="str">
        <f t="shared" si="36"/>
        <v/>
      </c>
      <c r="FU749" s="1556"/>
      <c r="FV749" s="1556"/>
      <c r="FW749" s="1556"/>
      <c r="FX749" s="1551"/>
      <c r="FY749" s="1550" t="str">
        <f t="shared" si="37"/>
        <v/>
      </c>
      <c r="FZ749" s="1556"/>
      <c r="GA749" s="1556"/>
      <c r="GB749" s="1556"/>
      <c r="GC749" s="1551"/>
    </row>
    <row r="750" spans="1:185" ht="12.95" customHeight="1">
      <c r="B750" s="1376"/>
      <c r="C750" s="1377"/>
      <c r="D750" s="1377"/>
      <c r="E750" s="1377"/>
      <c r="F750" s="1378"/>
      <c r="G750" s="1370"/>
      <c r="H750" s="1371"/>
      <c r="I750" s="1371"/>
      <c r="J750" s="1372"/>
      <c r="K750" s="1373"/>
      <c r="L750" s="1374"/>
      <c r="M750" s="1374"/>
      <c r="N750" s="1375"/>
      <c r="O750" s="1415"/>
      <c r="P750" s="1416"/>
      <c r="Q750" s="1416"/>
      <c r="R750" s="1416"/>
      <c r="S750" s="1417"/>
      <c r="T750" s="1415"/>
      <c r="U750" s="1416"/>
      <c r="V750" s="1416"/>
      <c r="W750" s="1417"/>
      <c r="X750" s="1418">
        <f t="shared" ref="X750:X759" si="41">O750+T750</f>
        <v>0</v>
      </c>
      <c r="Y750" s="1414"/>
      <c r="Z750" s="1414"/>
      <c r="AA750" s="1414"/>
      <c r="AB750" s="1419"/>
      <c r="AC750" s="1420"/>
      <c r="AD750" s="1421"/>
      <c r="AE750" s="1421"/>
      <c r="AF750" s="1421"/>
      <c r="AG750" s="1422"/>
      <c r="AH750" s="1438" t="str">
        <f t="shared" si="38"/>
        <v/>
      </c>
      <c r="AI750" s="1439"/>
      <c r="AJ750" s="1440"/>
      <c r="AK750" s="1376" t="s">
        <v>589</v>
      </c>
      <c r="AL750" s="1377"/>
      <c r="AM750" s="1377"/>
      <c r="AN750" s="1377"/>
      <c r="AO750" s="1378"/>
      <c r="AP750" s="3"/>
      <c r="AQ750" s="3"/>
      <c r="AR750" s="3"/>
      <c r="AS750" s="3"/>
      <c r="AY750" s="1079"/>
      <c r="AZ750" s="118" t="str">
        <f t="shared" si="11"/>
        <v>N/A</v>
      </c>
      <c r="BA750" s="3"/>
      <c r="BB750" s="3"/>
      <c r="BE750" s="204"/>
      <c r="BF750" s="293">
        <f t="shared" si="12"/>
        <v>0</v>
      </c>
      <c r="BG750" s="296">
        <f t="shared" si="13"/>
        <v>0</v>
      </c>
      <c r="BH750" s="297" t="str">
        <f t="shared" si="14"/>
        <v/>
      </c>
      <c r="BL750" s="3"/>
      <c r="BM750" s="3"/>
      <c r="BN750" s="3"/>
      <c r="BS750" s="293">
        <f t="shared" si="15"/>
        <v>0</v>
      </c>
      <c r="BT750" s="296">
        <f t="shared" si="16"/>
        <v>0</v>
      </c>
      <c r="BU750" s="297" t="str">
        <f t="shared" si="17"/>
        <v/>
      </c>
      <c r="BV750" s="3"/>
      <c r="BW750" s="3"/>
      <c r="BX750" s="3"/>
      <c r="BY750" s="3"/>
      <c r="BZ750" s="3"/>
      <c r="CA750" s="3"/>
      <c r="CB750" s="3"/>
      <c r="CC750" s="3"/>
      <c r="CE750" s="3"/>
      <c r="CF750" s="3"/>
      <c r="CG750" s="1550">
        <f t="shared" si="39"/>
        <v>0</v>
      </c>
      <c r="CH750" s="1551"/>
      <c r="CI750" s="1552">
        <f t="shared" si="40"/>
        <v>0</v>
      </c>
      <c r="CJ750" s="1553"/>
      <c r="CK750" s="1550">
        <f t="shared" si="18"/>
        <v>0</v>
      </c>
      <c r="CL750" s="1551"/>
      <c r="CM750" s="1552">
        <f t="shared" si="19"/>
        <v>0</v>
      </c>
      <c r="CN750" s="1553"/>
      <c r="CO750" s="3"/>
      <c r="CP750" s="1545">
        <f t="shared" si="20"/>
        <v>0</v>
      </c>
      <c r="CQ750" s="1546"/>
      <c r="CR750" s="1546"/>
      <c r="CS750" s="1546"/>
      <c r="CT750" s="1547"/>
      <c r="CU750" s="1549">
        <f t="shared" si="21"/>
        <v>0</v>
      </c>
      <c r="CV750" s="1549"/>
      <c r="CW750" s="1549"/>
      <c r="CX750" s="1549"/>
      <c r="CY750" s="1549"/>
      <c r="CZ750" s="1549">
        <f t="shared" si="22"/>
        <v>0</v>
      </c>
      <c r="DA750" s="1549"/>
      <c r="DB750" s="1549"/>
      <c r="DC750" s="1549"/>
      <c r="DD750" s="1549"/>
      <c r="DE750" s="1549">
        <f t="shared" si="23"/>
        <v>0</v>
      </c>
      <c r="DF750" s="1549"/>
      <c r="DG750" s="1549"/>
      <c r="DH750" s="1549"/>
      <c r="DI750" s="1549"/>
      <c r="DJ750" s="1549">
        <f t="shared" si="24"/>
        <v>0</v>
      </c>
      <c r="DK750" s="1549"/>
      <c r="DL750" s="1549"/>
      <c r="DM750" s="1549"/>
      <c r="DN750" s="1549"/>
      <c r="DO750" s="1549">
        <f t="shared" si="25"/>
        <v>0</v>
      </c>
      <c r="DP750" s="1549"/>
      <c r="DQ750" s="1549"/>
      <c r="DR750" s="1549"/>
      <c r="DS750" s="1549"/>
      <c r="DT750" s="6"/>
      <c r="DU750" s="1554">
        <f t="shared" si="26"/>
        <v>0</v>
      </c>
      <c r="DV750" s="1554"/>
      <c r="DW750" s="1554"/>
      <c r="DX750" s="1554"/>
      <c r="DY750" s="1554"/>
      <c r="DZ750" s="1554">
        <f t="shared" si="27"/>
        <v>0</v>
      </c>
      <c r="EA750" s="1554"/>
      <c r="EB750" s="1554"/>
      <c r="EC750" s="1554"/>
      <c r="ED750" s="1554"/>
      <c r="EE750" s="1554">
        <f t="shared" si="28"/>
        <v>0</v>
      </c>
      <c r="EF750" s="1554"/>
      <c r="EG750" s="1554"/>
      <c r="EH750" s="1554"/>
      <c r="EI750" s="1554"/>
      <c r="EJ750" s="1554">
        <f t="shared" si="29"/>
        <v>0</v>
      </c>
      <c r="EK750" s="1554"/>
      <c r="EL750" s="1554"/>
      <c r="EM750" s="1554"/>
      <c r="EN750" s="1554"/>
      <c r="EO750" s="1554">
        <f t="shared" si="30"/>
        <v>0</v>
      </c>
      <c r="EP750" s="1554"/>
      <c r="EQ750" s="1554"/>
      <c r="ER750" s="1554"/>
      <c r="ES750" s="1554"/>
      <c r="ET750" s="1554">
        <f t="shared" si="31"/>
        <v>0</v>
      </c>
      <c r="EU750" s="1554"/>
      <c r="EV750" s="1554"/>
      <c r="EW750" s="1554"/>
      <c r="EX750" s="1554"/>
      <c r="EZ750" s="1550" t="str">
        <f t="shared" si="32"/>
        <v/>
      </c>
      <c r="FA750" s="1556"/>
      <c r="FB750" s="1556"/>
      <c r="FC750" s="1556"/>
      <c r="FD750" s="1551"/>
      <c r="FE750" s="1550" t="str">
        <f t="shared" si="33"/>
        <v/>
      </c>
      <c r="FF750" s="1556"/>
      <c r="FG750" s="1556"/>
      <c r="FH750" s="1556"/>
      <c r="FI750" s="1551"/>
      <c r="FJ750" s="1550" t="str">
        <f t="shared" si="34"/>
        <v/>
      </c>
      <c r="FK750" s="1556"/>
      <c r="FL750" s="1556"/>
      <c r="FM750" s="1556"/>
      <c r="FN750" s="1551"/>
      <c r="FO750" s="1550" t="str">
        <f t="shared" si="35"/>
        <v/>
      </c>
      <c r="FP750" s="1556"/>
      <c r="FQ750" s="1556"/>
      <c r="FR750" s="1556"/>
      <c r="FS750" s="1551"/>
      <c r="FT750" s="1550" t="str">
        <f t="shared" si="36"/>
        <v/>
      </c>
      <c r="FU750" s="1556"/>
      <c r="FV750" s="1556"/>
      <c r="FW750" s="1556"/>
      <c r="FX750" s="1551"/>
      <c r="FY750" s="1550" t="str">
        <f t="shared" si="37"/>
        <v/>
      </c>
      <c r="FZ750" s="1556"/>
      <c r="GA750" s="1556"/>
      <c r="GB750" s="1556"/>
      <c r="GC750" s="1551"/>
    </row>
    <row r="751" spans="1:185" s="3" customFormat="1" ht="12.95" customHeight="1">
      <c r="A751"/>
      <c r="B751" s="1376"/>
      <c r="C751" s="1377"/>
      <c r="D751" s="1377"/>
      <c r="E751" s="1377"/>
      <c r="F751" s="1378"/>
      <c r="G751" s="1370"/>
      <c r="H751" s="1371"/>
      <c r="I751" s="1371"/>
      <c r="J751" s="1372"/>
      <c r="K751" s="1373"/>
      <c r="L751" s="1374"/>
      <c r="M751" s="1374"/>
      <c r="N751" s="1375"/>
      <c r="O751" s="1415"/>
      <c r="P751" s="1416"/>
      <c r="Q751" s="1416"/>
      <c r="R751" s="1416"/>
      <c r="S751" s="1417"/>
      <c r="T751" s="1415"/>
      <c r="U751" s="1416"/>
      <c r="V751" s="1416"/>
      <c r="W751" s="1417"/>
      <c r="X751" s="1418">
        <f t="shared" si="41"/>
        <v>0</v>
      </c>
      <c r="Y751" s="1414"/>
      <c r="Z751" s="1414"/>
      <c r="AA751" s="1414"/>
      <c r="AB751" s="1419"/>
      <c r="AC751" s="1420"/>
      <c r="AD751" s="1421"/>
      <c r="AE751" s="1421"/>
      <c r="AF751" s="1421"/>
      <c r="AG751" s="1422"/>
      <c r="AH751" s="1438" t="str">
        <f t="shared" si="38"/>
        <v/>
      </c>
      <c r="AI751" s="1439"/>
      <c r="AJ751" s="1440"/>
      <c r="AK751" s="1376" t="s">
        <v>589</v>
      </c>
      <c r="AL751" s="1377"/>
      <c r="AM751" s="1377"/>
      <c r="AN751" s="1377"/>
      <c r="AO751" s="1378"/>
      <c r="AT751"/>
      <c r="AU751"/>
      <c r="AV751"/>
      <c r="AW751"/>
      <c r="AX751"/>
      <c r="AY751" s="1079"/>
      <c r="AZ751" s="118" t="str">
        <f t="shared" si="11"/>
        <v>N/A</v>
      </c>
      <c r="BD751"/>
      <c r="BE751"/>
      <c r="BF751" s="293">
        <f t="shared" si="12"/>
        <v>0</v>
      </c>
      <c r="BG751" s="296">
        <f t="shared" si="13"/>
        <v>0</v>
      </c>
      <c r="BH751" s="297" t="str">
        <f t="shared" si="14"/>
        <v/>
      </c>
      <c r="BI751"/>
      <c r="BJ751"/>
      <c r="BK751"/>
      <c r="BL751"/>
      <c r="BM751"/>
      <c r="BN751"/>
      <c r="BO751"/>
      <c r="BP751"/>
      <c r="BQ751"/>
      <c r="BR751"/>
      <c r="BS751" s="293">
        <f t="shared" si="15"/>
        <v>0</v>
      </c>
      <c r="BT751" s="296">
        <f t="shared" si="16"/>
        <v>0</v>
      </c>
      <c r="BU751" s="297" t="str">
        <f t="shared" si="17"/>
        <v/>
      </c>
      <c r="CD751"/>
      <c r="CG751" s="1550">
        <f t="shared" si="39"/>
        <v>0</v>
      </c>
      <c r="CH751" s="1551"/>
      <c r="CI751" s="1552">
        <f t="shared" si="40"/>
        <v>0</v>
      </c>
      <c r="CJ751" s="1553"/>
      <c r="CK751" s="1550">
        <f t="shared" si="18"/>
        <v>0</v>
      </c>
      <c r="CL751" s="1551"/>
      <c r="CM751" s="1552">
        <f t="shared" si="19"/>
        <v>0</v>
      </c>
      <c r="CN751" s="1553"/>
      <c r="CP751" s="1545">
        <f t="shared" si="20"/>
        <v>0</v>
      </c>
      <c r="CQ751" s="1546"/>
      <c r="CR751" s="1546"/>
      <c r="CS751" s="1546"/>
      <c r="CT751" s="1547"/>
      <c r="CU751" s="1549">
        <f t="shared" si="21"/>
        <v>0</v>
      </c>
      <c r="CV751" s="1549"/>
      <c r="CW751" s="1549"/>
      <c r="CX751" s="1549"/>
      <c r="CY751" s="1549"/>
      <c r="CZ751" s="1549">
        <f t="shared" si="22"/>
        <v>0</v>
      </c>
      <c r="DA751" s="1549"/>
      <c r="DB751" s="1549"/>
      <c r="DC751" s="1549"/>
      <c r="DD751" s="1549"/>
      <c r="DE751" s="1549">
        <f t="shared" si="23"/>
        <v>0</v>
      </c>
      <c r="DF751" s="1549"/>
      <c r="DG751" s="1549"/>
      <c r="DH751" s="1549"/>
      <c r="DI751" s="1549"/>
      <c r="DJ751" s="1549">
        <f t="shared" si="24"/>
        <v>0</v>
      </c>
      <c r="DK751" s="1549"/>
      <c r="DL751" s="1549"/>
      <c r="DM751" s="1549"/>
      <c r="DN751" s="1549"/>
      <c r="DO751" s="1549">
        <f t="shared" si="25"/>
        <v>0</v>
      </c>
      <c r="DP751" s="1549"/>
      <c r="DQ751" s="1549"/>
      <c r="DR751" s="1549"/>
      <c r="DS751" s="1549"/>
      <c r="DT751" s="6"/>
      <c r="DU751" s="1554">
        <f t="shared" si="26"/>
        <v>0</v>
      </c>
      <c r="DV751" s="1554"/>
      <c r="DW751" s="1554"/>
      <c r="DX751" s="1554"/>
      <c r="DY751" s="1554"/>
      <c r="DZ751" s="1554">
        <f t="shared" si="27"/>
        <v>0</v>
      </c>
      <c r="EA751" s="1554"/>
      <c r="EB751" s="1554"/>
      <c r="EC751" s="1554"/>
      <c r="ED751" s="1554"/>
      <c r="EE751" s="1554">
        <f t="shared" si="28"/>
        <v>0</v>
      </c>
      <c r="EF751" s="1554"/>
      <c r="EG751" s="1554"/>
      <c r="EH751" s="1554"/>
      <c r="EI751" s="1554"/>
      <c r="EJ751" s="1554">
        <f t="shared" si="29"/>
        <v>0</v>
      </c>
      <c r="EK751" s="1554"/>
      <c r="EL751" s="1554"/>
      <c r="EM751" s="1554"/>
      <c r="EN751" s="1554"/>
      <c r="EO751" s="1554">
        <f t="shared" si="30"/>
        <v>0</v>
      </c>
      <c r="EP751" s="1554"/>
      <c r="EQ751" s="1554"/>
      <c r="ER751" s="1554"/>
      <c r="ES751" s="1554"/>
      <c r="ET751" s="1554">
        <f t="shared" si="31"/>
        <v>0</v>
      </c>
      <c r="EU751" s="1554"/>
      <c r="EV751" s="1554"/>
      <c r="EW751" s="1554"/>
      <c r="EX751" s="1554"/>
      <c r="EY751"/>
      <c r="EZ751" s="1550" t="str">
        <f t="shared" si="32"/>
        <v/>
      </c>
      <c r="FA751" s="1556"/>
      <c r="FB751" s="1556"/>
      <c r="FC751" s="1556"/>
      <c r="FD751" s="1551"/>
      <c r="FE751" s="1550" t="str">
        <f t="shared" si="33"/>
        <v/>
      </c>
      <c r="FF751" s="1556"/>
      <c r="FG751" s="1556"/>
      <c r="FH751" s="1556"/>
      <c r="FI751" s="1551"/>
      <c r="FJ751" s="1550" t="str">
        <f t="shared" si="34"/>
        <v/>
      </c>
      <c r="FK751" s="1556"/>
      <c r="FL751" s="1556"/>
      <c r="FM751" s="1556"/>
      <c r="FN751" s="1551"/>
      <c r="FO751" s="1550" t="str">
        <f t="shared" si="35"/>
        <v/>
      </c>
      <c r="FP751" s="1556"/>
      <c r="FQ751" s="1556"/>
      <c r="FR751" s="1556"/>
      <c r="FS751" s="1551"/>
      <c r="FT751" s="1550" t="str">
        <f t="shared" si="36"/>
        <v/>
      </c>
      <c r="FU751" s="1556"/>
      <c r="FV751" s="1556"/>
      <c r="FW751" s="1556"/>
      <c r="FX751" s="1551"/>
      <c r="FY751" s="1550" t="str">
        <f t="shared" si="37"/>
        <v/>
      </c>
      <c r="FZ751" s="1556"/>
      <c r="GA751" s="1556"/>
      <c r="GB751" s="1556"/>
      <c r="GC751" s="1551"/>
    </row>
    <row r="752" spans="1:185" ht="12.95" customHeight="1">
      <c r="B752" s="1376"/>
      <c r="C752" s="1377"/>
      <c r="D752" s="1377"/>
      <c r="E752" s="1377"/>
      <c r="F752" s="1378"/>
      <c r="G752" s="1370"/>
      <c r="H752" s="1371"/>
      <c r="I752" s="1371"/>
      <c r="J752" s="1372"/>
      <c r="K752" s="1373"/>
      <c r="L752" s="1374"/>
      <c r="M752" s="1374"/>
      <c r="N752" s="1375"/>
      <c r="O752" s="1415"/>
      <c r="P752" s="1416"/>
      <c r="Q752" s="1416"/>
      <c r="R752" s="1416"/>
      <c r="S752" s="1417"/>
      <c r="T752" s="1415"/>
      <c r="U752" s="1416"/>
      <c r="V752" s="1416"/>
      <c r="W752" s="1417"/>
      <c r="X752" s="1418">
        <f t="shared" si="41"/>
        <v>0</v>
      </c>
      <c r="Y752" s="1414"/>
      <c r="Z752" s="1414"/>
      <c r="AA752" s="1414"/>
      <c r="AB752" s="1419"/>
      <c r="AC752" s="1420"/>
      <c r="AD752" s="1421"/>
      <c r="AE752" s="1421"/>
      <c r="AF752" s="1421"/>
      <c r="AG752" s="1422"/>
      <c r="AH752" s="1438" t="str">
        <f t="shared" si="38"/>
        <v/>
      </c>
      <c r="AI752" s="1439"/>
      <c r="AJ752" s="1440"/>
      <c r="AK752" s="1376" t="s">
        <v>589</v>
      </c>
      <c r="AL752" s="1377"/>
      <c r="AM752" s="1377"/>
      <c r="AN752" s="1377"/>
      <c r="AO752" s="1378"/>
      <c r="AP752" s="3"/>
      <c r="AQ752" s="3"/>
      <c r="AR752" s="3"/>
      <c r="AS752" s="3"/>
      <c r="AY752" s="1079"/>
      <c r="AZ752" s="118" t="str">
        <f t="shared" si="11"/>
        <v>N/A</v>
      </c>
      <c r="BA752" s="3"/>
      <c r="BB752" s="3"/>
      <c r="BC752" s="3"/>
      <c r="BD752" s="3"/>
      <c r="BE752" s="3"/>
      <c r="BF752" s="293">
        <f t="shared" si="12"/>
        <v>0</v>
      </c>
      <c r="BG752" s="296">
        <f t="shared" si="13"/>
        <v>0</v>
      </c>
      <c r="BH752" s="297" t="str">
        <f t="shared" si="14"/>
        <v/>
      </c>
      <c r="BI752" s="3"/>
      <c r="BJ752" s="3"/>
      <c r="BK752" s="3"/>
      <c r="BL752" s="3"/>
      <c r="BM752" s="3"/>
      <c r="BN752" s="3"/>
      <c r="BS752" s="293">
        <f t="shared" si="15"/>
        <v>0</v>
      </c>
      <c r="BT752" s="296">
        <f t="shared" si="16"/>
        <v>0</v>
      </c>
      <c r="BU752" s="297" t="str">
        <f t="shared" si="17"/>
        <v/>
      </c>
      <c r="BV752" s="3"/>
      <c r="BW752" s="3"/>
      <c r="BX752" s="3"/>
      <c r="BY752" s="3"/>
      <c r="BZ752" s="3"/>
      <c r="CA752" s="3"/>
      <c r="CB752" s="3"/>
      <c r="CC752" s="3"/>
      <c r="CE752" s="3"/>
      <c r="CF752" s="3"/>
      <c r="CG752" s="1550">
        <f t="shared" si="39"/>
        <v>0</v>
      </c>
      <c r="CH752" s="1551"/>
      <c r="CI752" s="1552">
        <f t="shared" si="40"/>
        <v>0</v>
      </c>
      <c r="CJ752" s="1553"/>
      <c r="CK752" s="1550">
        <f t="shared" si="18"/>
        <v>0</v>
      </c>
      <c r="CL752" s="1551"/>
      <c r="CM752" s="1552">
        <f t="shared" si="19"/>
        <v>0</v>
      </c>
      <c r="CN752" s="1553"/>
      <c r="CO752" s="3"/>
      <c r="CP752" s="1545">
        <f t="shared" si="20"/>
        <v>0</v>
      </c>
      <c r="CQ752" s="1546"/>
      <c r="CR752" s="1546"/>
      <c r="CS752" s="1546"/>
      <c r="CT752" s="1547"/>
      <c r="CU752" s="1549">
        <f t="shared" si="21"/>
        <v>0</v>
      </c>
      <c r="CV752" s="1549"/>
      <c r="CW752" s="1549"/>
      <c r="CX752" s="1549"/>
      <c r="CY752" s="1549"/>
      <c r="CZ752" s="1549">
        <f t="shared" si="22"/>
        <v>0</v>
      </c>
      <c r="DA752" s="1549"/>
      <c r="DB752" s="1549"/>
      <c r="DC752" s="1549"/>
      <c r="DD752" s="1549"/>
      <c r="DE752" s="1549">
        <f t="shared" si="23"/>
        <v>0</v>
      </c>
      <c r="DF752" s="1549"/>
      <c r="DG752" s="1549"/>
      <c r="DH752" s="1549"/>
      <c r="DI752" s="1549"/>
      <c r="DJ752" s="1549">
        <f t="shared" si="24"/>
        <v>0</v>
      </c>
      <c r="DK752" s="1549"/>
      <c r="DL752" s="1549"/>
      <c r="DM752" s="1549"/>
      <c r="DN752" s="1549"/>
      <c r="DO752" s="1549">
        <f t="shared" si="25"/>
        <v>0</v>
      </c>
      <c r="DP752" s="1549"/>
      <c r="DQ752" s="1549"/>
      <c r="DR752" s="1549"/>
      <c r="DS752" s="1549"/>
      <c r="DT752" s="6"/>
      <c r="DU752" s="1554">
        <f t="shared" si="26"/>
        <v>0</v>
      </c>
      <c r="DV752" s="1554"/>
      <c r="DW752" s="1554"/>
      <c r="DX752" s="1554"/>
      <c r="DY752" s="1554"/>
      <c r="DZ752" s="1554">
        <f t="shared" si="27"/>
        <v>0</v>
      </c>
      <c r="EA752" s="1554"/>
      <c r="EB752" s="1554"/>
      <c r="EC752" s="1554"/>
      <c r="ED752" s="1554"/>
      <c r="EE752" s="1554">
        <f t="shared" si="28"/>
        <v>0</v>
      </c>
      <c r="EF752" s="1554"/>
      <c r="EG752" s="1554"/>
      <c r="EH752" s="1554"/>
      <c r="EI752" s="1554"/>
      <c r="EJ752" s="1554">
        <f t="shared" si="29"/>
        <v>0</v>
      </c>
      <c r="EK752" s="1554"/>
      <c r="EL752" s="1554"/>
      <c r="EM752" s="1554"/>
      <c r="EN752" s="1554"/>
      <c r="EO752" s="1554">
        <f t="shared" si="30"/>
        <v>0</v>
      </c>
      <c r="EP752" s="1554"/>
      <c r="EQ752" s="1554"/>
      <c r="ER752" s="1554"/>
      <c r="ES752" s="1554"/>
      <c r="ET752" s="1554">
        <f t="shared" si="31"/>
        <v>0</v>
      </c>
      <c r="EU752" s="1554"/>
      <c r="EV752" s="1554"/>
      <c r="EW752" s="1554"/>
      <c r="EX752" s="1554"/>
      <c r="EZ752" s="1550" t="str">
        <f t="shared" si="32"/>
        <v/>
      </c>
      <c r="FA752" s="1556"/>
      <c r="FB752" s="1556"/>
      <c r="FC752" s="1556"/>
      <c r="FD752" s="1551"/>
      <c r="FE752" s="1550" t="str">
        <f t="shared" si="33"/>
        <v/>
      </c>
      <c r="FF752" s="1556"/>
      <c r="FG752" s="1556"/>
      <c r="FH752" s="1556"/>
      <c r="FI752" s="1551"/>
      <c r="FJ752" s="1550" t="str">
        <f t="shared" si="34"/>
        <v/>
      </c>
      <c r="FK752" s="1556"/>
      <c r="FL752" s="1556"/>
      <c r="FM752" s="1556"/>
      <c r="FN752" s="1551"/>
      <c r="FO752" s="1550" t="str">
        <f t="shared" si="35"/>
        <v/>
      </c>
      <c r="FP752" s="1556"/>
      <c r="FQ752" s="1556"/>
      <c r="FR752" s="1556"/>
      <c r="FS752" s="1551"/>
      <c r="FT752" s="1550" t="str">
        <f t="shared" si="36"/>
        <v/>
      </c>
      <c r="FU752" s="1556"/>
      <c r="FV752" s="1556"/>
      <c r="FW752" s="1556"/>
      <c r="FX752" s="1551"/>
      <c r="FY752" s="1550" t="str">
        <f t="shared" si="37"/>
        <v/>
      </c>
      <c r="FZ752" s="1556"/>
      <c r="GA752" s="1556"/>
      <c r="GB752" s="1556"/>
      <c r="GC752" s="1551"/>
    </row>
    <row r="753" spans="1:185" ht="12.95" customHeight="1">
      <c r="B753" s="1376"/>
      <c r="C753" s="1377"/>
      <c r="D753" s="1377"/>
      <c r="E753" s="1377"/>
      <c r="F753" s="1378"/>
      <c r="G753" s="1370"/>
      <c r="H753" s="1371"/>
      <c r="I753" s="1371"/>
      <c r="J753" s="1372"/>
      <c r="K753" s="1373"/>
      <c r="L753" s="1374"/>
      <c r="M753" s="1374"/>
      <c r="N753" s="1375"/>
      <c r="O753" s="1415"/>
      <c r="P753" s="1416"/>
      <c r="Q753" s="1416"/>
      <c r="R753" s="1416"/>
      <c r="S753" s="1417"/>
      <c r="T753" s="1415"/>
      <c r="U753" s="1416"/>
      <c r="V753" s="1416"/>
      <c r="W753" s="1417"/>
      <c r="X753" s="1418">
        <f t="shared" si="41"/>
        <v>0</v>
      </c>
      <c r="Y753" s="1414"/>
      <c r="Z753" s="1414"/>
      <c r="AA753" s="1414"/>
      <c r="AB753" s="1419"/>
      <c r="AC753" s="1420"/>
      <c r="AD753" s="1421"/>
      <c r="AE753" s="1421"/>
      <c r="AF753" s="1421"/>
      <c r="AG753" s="1422"/>
      <c r="AH753" s="1438" t="str">
        <f t="shared" si="38"/>
        <v/>
      </c>
      <c r="AI753" s="1439"/>
      <c r="AJ753" s="1440"/>
      <c r="AK753" s="1376" t="s">
        <v>589</v>
      </c>
      <c r="AL753" s="1377"/>
      <c r="AM753" s="1377"/>
      <c r="AN753" s="1377"/>
      <c r="AO753" s="1378"/>
      <c r="AP753" s="3"/>
      <c r="AQ753" s="3"/>
      <c r="AR753" s="3"/>
      <c r="AS753" s="3"/>
      <c r="AY753" s="1079"/>
      <c r="AZ753" s="118" t="str">
        <f t="shared" si="11"/>
        <v>N/A</v>
      </c>
      <c r="BA753" s="3"/>
      <c r="BB753" s="3"/>
      <c r="BC753" s="3"/>
      <c r="BD753" s="3"/>
      <c r="BE753" s="3"/>
      <c r="BF753" s="293">
        <f t="shared" si="12"/>
        <v>0</v>
      </c>
      <c r="BG753" s="296">
        <f t="shared" si="13"/>
        <v>0</v>
      </c>
      <c r="BH753" s="297" t="str">
        <f t="shared" si="14"/>
        <v/>
      </c>
      <c r="BI753" s="3"/>
      <c r="BJ753" s="3"/>
      <c r="BK753" s="3"/>
      <c r="BL753" s="3"/>
      <c r="BM753" s="3"/>
      <c r="BN753" s="3"/>
      <c r="BS753" s="293">
        <f t="shared" si="15"/>
        <v>0</v>
      </c>
      <c r="BT753" s="296">
        <f t="shared" si="16"/>
        <v>0</v>
      </c>
      <c r="BU753" s="297" t="str">
        <f t="shared" si="17"/>
        <v/>
      </c>
      <c r="BV753" s="3"/>
      <c r="BW753" s="3"/>
      <c r="BX753" s="3"/>
      <c r="BY753" s="3"/>
      <c r="BZ753" s="3"/>
      <c r="CA753" s="3"/>
      <c r="CB753" s="3"/>
      <c r="CC753" s="3"/>
      <c r="CE753" s="3"/>
      <c r="CF753" s="3"/>
      <c r="CG753" s="1550">
        <f t="shared" si="39"/>
        <v>0</v>
      </c>
      <c r="CH753" s="1551"/>
      <c r="CI753" s="1552">
        <f t="shared" si="40"/>
        <v>0</v>
      </c>
      <c r="CJ753" s="1553"/>
      <c r="CK753" s="1550">
        <f t="shared" si="18"/>
        <v>0</v>
      </c>
      <c r="CL753" s="1551"/>
      <c r="CM753" s="1552">
        <f t="shared" si="19"/>
        <v>0</v>
      </c>
      <c r="CN753" s="1553"/>
      <c r="CO753" s="3"/>
      <c r="CP753" s="1545">
        <f t="shared" si="20"/>
        <v>0</v>
      </c>
      <c r="CQ753" s="1546"/>
      <c r="CR753" s="1546"/>
      <c r="CS753" s="1546"/>
      <c r="CT753" s="1547"/>
      <c r="CU753" s="1549">
        <f t="shared" si="21"/>
        <v>0</v>
      </c>
      <c r="CV753" s="1549"/>
      <c r="CW753" s="1549"/>
      <c r="CX753" s="1549"/>
      <c r="CY753" s="1549"/>
      <c r="CZ753" s="1549">
        <f t="shared" si="22"/>
        <v>0</v>
      </c>
      <c r="DA753" s="1549"/>
      <c r="DB753" s="1549"/>
      <c r="DC753" s="1549"/>
      <c r="DD753" s="1549"/>
      <c r="DE753" s="1549">
        <f t="shared" si="23"/>
        <v>0</v>
      </c>
      <c r="DF753" s="1549"/>
      <c r="DG753" s="1549"/>
      <c r="DH753" s="1549"/>
      <c r="DI753" s="1549"/>
      <c r="DJ753" s="1549">
        <f t="shared" si="24"/>
        <v>0</v>
      </c>
      <c r="DK753" s="1549"/>
      <c r="DL753" s="1549"/>
      <c r="DM753" s="1549"/>
      <c r="DN753" s="1549"/>
      <c r="DO753" s="1549">
        <f t="shared" si="25"/>
        <v>0</v>
      </c>
      <c r="DP753" s="1549"/>
      <c r="DQ753" s="1549"/>
      <c r="DR753" s="1549"/>
      <c r="DS753" s="1549"/>
      <c r="DT753" s="6"/>
      <c r="DU753" s="1554">
        <f t="shared" si="26"/>
        <v>0</v>
      </c>
      <c r="DV753" s="1554"/>
      <c r="DW753" s="1554"/>
      <c r="DX753" s="1554"/>
      <c r="DY753" s="1554"/>
      <c r="DZ753" s="1554">
        <f t="shared" si="27"/>
        <v>0</v>
      </c>
      <c r="EA753" s="1554"/>
      <c r="EB753" s="1554"/>
      <c r="EC753" s="1554"/>
      <c r="ED753" s="1554"/>
      <c r="EE753" s="1554">
        <f t="shared" si="28"/>
        <v>0</v>
      </c>
      <c r="EF753" s="1554"/>
      <c r="EG753" s="1554"/>
      <c r="EH753" s="1554"/>
      <c r="EI753" s="1554"/>
      <c r="EJ753" s="1554">
        <f t="shared" si="29"/>
        <v>0</v>
      </c>
      <c r="EK753" s="1554"/>
      <c r="EL753" s="1554"/>
      <c r="EM753" s="1554"/>
      <c r="EN753" s="1554"/>
      <c r="EO753" s="1554">
        <f t="shared" si="30"/>
        <v>0</v>
      </c>
      <c r="EP753" s="1554"/>
      <c r="EQ753" s="1554"/>
      <c r="ER753" s="1554"/>
      <c r="ES753" s="1554"/>
      <c r="ET753" s="1554">
        <f t="shared" si="31"/>
        <v>0</v>
      </c>
      <c r="EU753" s="1554"/>
      <c r="EV753" s="1554"/>
      <c r="EW753" s="1554"/>
      <c r="EX753" s="1554"/>
      <c r="EZ753" s="1550" t="str">
        <f t="shared" si="32"/>
        <v/>
      </c>
      <c r="FA753" s="1556"/>
      <c r="FB753" s="1556"/>
      <c r="FC753" s="1556"/>
      <c r="FD753" s="1551"/>
      <c r="FE753" s="1550" t="str">
        <f t="shared" si="33"/>
        <v/>
      </c>
      <c r="FF753" s="1556"/>
      <c r="FG753" s="1556"/>
      <c r="FH753" s="1556"/>
      <c r="FI753" s="1551"/>
      <c r="FJ753" s="1550" t="str">
        <f t="shared" si="34"/>
        <v/>
      </c>
      <c r="FK753" s="1556"/>
      <c r="FL753" s="1556"/>
      <c r="FM753" s="1556"/>
      <c r="FN753" s="1551"/>
      <c r="FO753" s="1550" t="str">
        <f t="shared" si="35"/>
        <v/>
      </c>
      <c r="FP753" s="1556"/>
      <c r="FQ753" s="1556"/>
      <c r="FR753" s="1556"/>
      <c r="FS753" s="1551"/>
      <c r="FT753" s="1550" t="str">
        <f t="shared" si="36"/>
        <v/>
      </c>
      <c r="FU753" s="1556"/>
      <c r="FV753" s="1556"/>
      <c r="FW753" s="1556"/>
      <c r="FX753" s="1551"/>
      <c r="FY753" s="1550" t="str">
        <f t="shared" si="37"/>
        <v/>
      </c>
      <c r="FZ753" s="1556"/>
      <c r="GA753" s="1556"/>
      <c r="GB753" s="1556"/>
      <c r="GC753" s="1551"/>
    </row>
    <row r="754" spans="1:185" ht="12.95" customHeight="1">
      <c r="B754" s="1376"/>
      <c r="C754" s="1377"/>
      <c r="D754" s="1377"/>
      <c r="E754" s="1377"/>
      <c r="F754" s="1378"/>
      <c r="G754" s="1370"/>
      <c r="H754" s="1371"/>
      <c r="I754" s="1371"/>
      <c r="J754" s="1372"/>
      <c r="K754" s="1373"/>
      <c r="L754" s="1374"/>
      <c r="M754" s="1374"/>
      <c r="N754" s="1375"/>
      <c r="O754" s="1415"/>
      <c r="P754" s="1416"/>
      <c r="Q754" s="1416"/>
      <c r="R754" s="1416"/>
      <c r="S754" s="1417"/>
      <c r="T754" s="1415"/>
      <c r="U754" s="1416"/>
      <c r="V754" s="1416"/>
      <c r="W754" s="1417"/>
      <c r="X754" s="1418">
        <f t="shared" si="41"/>
        <v>0</v>
      </c>
      <c r="Y754" s="1414"/>
      <c r="Z754" s="1414"/>
      <c r="AA754" s="1414"/>
      <c r="AB754" s="1419"/>
      <c r="AC754" s="1420"/>
      <c r="AD754" s="1421"/>
      <c r="AE754" s="1421"/>
      <c r="AF754" s="1421"/>
      <c r="AG754" s="1422"/>
      <c r="AH754" s="1438" t="str">
        <f t="shared" si="38"/>
        <v/>
      </c>
      <c r="AI754" s="1439"/>
      <c r="AJ754" s="1440"/>
      <c r="AK754" s="1376" t="s">
        <v>589</v>
      </c>
      <c r="AL754" s="1377"/>
      <c r="AM754" s="1377"/>
      <c r="AN754" s="1377"/>
      <c r="AO754" s="1378"/>
      <c r="AP754" s="3"/>
      <c r="AQ754" s="3"/>
      <c r="AR754" s="3"/>
      <c r="AS754" s="3"/>
      <c r="AY754" s="1079"/>
      <c r="AZ754" s="118" t="str">
        <f t="shared" si="11"/>
        <v>N/A</v>
      </c>
      <c r="BA754" s="34"/>
      <c r="BB754" s="34"/>
      <c r="BC754" s="34"/>
      <c r="BD754" s="34"/>
      <c r="BE754" s="34"/>
      <c r="BF754" s="293">
        <f t="shared" si="12"/>
        <v>0</v>
      </c>
      <c r="BG754" s="296">
        <f t="shared" si="13"/>
        <v>0</v>
      </c>
      <c r="BH754" s="297" t="str">
        <f t="shared" si="14"/>
        <v/>
      </c>
      <c r="BI754" s="34"/>
      <c r="BJ754" s="34"/>
      <c r="BK754" s="34"/>
      <c r="BL754" s="34"/>
      <c r="BM754" s="34"/>
      <c r="BN754" s="34"/>
      <c r="BS754" s="293">
        <f t="shared" si="15"/>
        <v>0</v>
      </c>
      <c r="BT754" s="296">
        <f t="shared" si="16"/>
        <v>0</v>
      </c>
      <c r="BU754" s="297" t="str">
        <f t="shared" si="17"/>
        <v/>
      </c>
      <c r="BV754" s="3"/>
      <c r="BW754" s="3"/>
      <c r="BX754" s="3"/>
      <c r="BY754" s="3"/>
      <c r="BZ754" s="3"/>
      <c r="CA754" s="3"/>
      <c r="CB754" s="3"/>
      <c r="CC754" s="3"/>
      <c r="CE754" s="3"/>
      <c r="CF754" s="3"/>
      <c r="CG754" s="1550">
        <f t="shared" si="39"/>
        <v>0</v>
      </c>
      <c r="CH754" s="1551"/>
      <c r="CI754" s="1552">
        <f t="shared" si="40"/>
        <v>0</v>
      </c>
      <c r="CJ754" s="1553"/>
      <c r="CK754" s="1550">
        <f t="shared" si="18"/>
        <v>0</v>
      </c>
      <c r="CL754" s="1551"/>
      <c r="CM754" s="1552">
        <f t="shared" si="19"/>
        <v>0</v>
      </c>
      <c r="CN754" s="1553"/>
      <c r="CO754" s="3"/>
      <c r="CP754" s="1545">
        <f t="shared" si="20"/>
        <v>0</v>
      </c>
      <c r="CQ754" s="1546"/>
      <c r="CR754" s="1546"/>
      <c r="CS754" s="1546"/>
      <c r="CT754" s="1547"/>
      <c r="CU754" s="1549">
        <f t="shared" si="21"/>
        <v>0</v>
      </c>
      <c r="CV754" s="1549"/>
      <c r="CW754" s="1549"/>
      <c r="CX754" s="1549"/>
      <c r="CY754" s="1549"/>
      <c r="CZ754" s="1549">
        <f t="shared" si="22"/>
        <v>0</v>
      </c>
      <c r="DA754" s="1549"/>
      <c r="DB754" s="1549"/>
      <c r="DC754" s="1549"/>
      <c r="DD754" s="1549"/>
      <c r="DE754" s="1549">
        <f t="shared" si="23"/>
        <v>0</v>
      </c>
      <c r="DF754" s="1549"/>
      <c r="DG754" s="1549"/>
      <c r="DH754" s="1549"/>
      <c r="DI754" s="1549"/>
      <c r="DJ754" s="1549">
        <f t="shared" si="24"/>
        <v>0</v>
      </c>
      <c r="DK754" s="1549"/>
      <c r="DL754" s="1549"/>
      <c r="DM754" s="1549"/>
      <c r="DN754" s="1549"/>
      <c r="DO754" s="1549">
        <f t="shared" si="25"/>
        <v>0</v>
      </c>
      <c r="DP754" s="1549"/>
      <c r="DQ754" s="1549"/>
      <c r="DR754" s="1549"/>
      <c r="DS754" s="1549"/>
      <c r="DT754" s="6"/>
      <c r="DU754" s="1554">
        <f t="shared" si="26"/>
        <v>0</v>
      </c>
      <c r="DV754" s="1554"/>
      <c r="DW754" s="1554"/>
      <c r="DX754" s="1554"/>
      <c r="DY754" s="1554"/>
      <c r="DZ754" s="1554">
        <f t="shared" si="27"/>
        <v>0</v>
      </c>
      <c r="EA754" s="1554"/>
      <c r="EB754" s="1554"/>
      <c r="EC754" s="1554"/>
      <c r="ED754" s="1554"/>
      <c r="EE754" s="1554">
        <f t="shared" si="28"/>
        <v>0</v>
      </c>
      <c r="EF754" s="1554"/>
      <c r="EG754" s="1554"/>
      <c r="EH754" s="1554"/>
      <c r="EI754" s="1554"/>
      <c r="EJ754" s="1554">
        <f t="shared" si="29"/>
        <v>0</v>
      </c>
      <c r="EK754" s="1554"/>
      <c r="EL754" s="1554"/>
      <c r="EM754" s="1554"/>
      <c r="EN754" s="1554"/>
      <c r="EO754" s="1554">
        <f t="shared" si="30"/>
        <v>0</v>
      </c>
      <c r="EP754" s="1554"/>
      <c r="EQ754" s="1554"/>
      <c r="ER754" s="1554"/>
      <c r="ES754" s="1554"/>
      <c r="ET754" s="1554">
        <f t="shared" si="31"/>
        <v>0</v>
      </c>
      <c r="EU754" s="1554"/>
      <c r="EV754" s="1554"/>
      <c r="EW754" s="1554"/>
      <c r="EX754" s="1554"/>
      <c r="EZ754" s="1550" t="str">
        <f t="shared" si="32"/>
        <v/>
      </c>
      <c r="FA754" s="1556"/>
      <c r="FB754" s="1556"/>
      <c r="FC754" s="1556"/>
      <c r="FD754" s="1551"/>
      <c r="FE754" s="1550" t="str">
        <f t="shared" si="33"/>
        <v/>
      </c>
      <c r="FF754" s="1556"/>
      <c r="FG754" s="1556"/>
      <c r="FH754" s="1556"/>
      <c r="FI754" s="1551"/>
      <c r="FJ754" s="1550" t="str">
        <f t="shared" si="34"/>
        <v/>
      </c>
      <c r="FK754" s="1556"/>
      <c r="FL754" s="1556"/>
      <c r="FM754" s="1556"/>
      <c r="FN754" s="1551"/>
      <c r="FO754" s="1550" t="str">
        <f t="shared" si="35"/>
        <v/>
      </c>
      <c r="FP754" s="1556"/>
      <c r="FQ754" s="1556"/>
      <c r="FR754" s="1556"/>
      <c r="FS754" s="1551"/>
      <c r="FT754" s="1550" t="str">
        <f t="shared" si="36"/>
        <v/>
      </c>
      <c r="FU754" s="1556"/>
      <c r="FV754" s="1556"/>
      <c r="FW754" s="1556"/>
      <c r="FX754" s="1551"/>
      <c r="FY754" s="1550" t="str">
        <f t="shared" si="37"/>
        <v/>
      </c>
      <c r="FZ754" s="1556"/>
      <c r="GA754" s="1556"/>
      <c r="GB754" s="1556"/>
      <c r="GC754" s="1551"/>
    </row>
    <row r="755" spans="1:185" ht="12.95" customHeight="1">
      <c r="B755" s="1376"/>
      <c r="C755" s="1377"/>
      <c r="D755" s="1377"/>
      <c r="E755" s="1377"/>
      <c r="F755" s="1378"/>
      <c r="G755" s="1370"/>
      <c r="H755" s="1371"/>
      <c r="I755" s="1371"/>
      <c r="J755" s="1372"/>
      <c r="K755" s="1373"/>
      <c r="L755" s="1374"/>
      <c r="M755" s="1374"/>
      <c r="N755" s="1375"/>
      <c r="O755" s="1415"/>
      <c r="P755" s="1416"/>
      <c r="Q755" s="1416"/>
      <c r="R755" s="1416"/>
      <c r="S755" s="1417"/>
      <c r="T755" s="1415"/>
      <c r="U755" s="1416"/>
      <c r="V755" s="1416"/>
      <c r="W755" s="1417"/>
      <c r="X755" s="1418">
        <f t="shared" si="41"/>
        <v>0</v>
      </c>
      <c r="Y755" s="1414"/>
      <c r="Z755" s="1414"/>
      <c r="AA755" s="1414"/>
      <c r="AB755" s="1419"/>
      <c r="AC755" s="1420"/>
      <c r="AD755" s="1421"/>
      <c r="AE755" s="1421"/>
      <c r="AF755" s="1421"/>
      <c r="AG755" s="1422"/>
      <c r="AH755" s="1438" t="str">
        <f t="shared" si="38"/>
        <v/>
      </c>
      <c r="AI755" s="1439"/>
      <c r="AJ755" s="1440"/>
      <c r="AK755" s="1376" t="s">
        <v>589</v>
      </c>
      <c r="AL755" s="1377"/>
      <c r="AM755" s="1377"/>
      <c r="AN755" s="1377"/>
      <c r="AO755" s="1378"/>
      <c r="AP755" s="3"/>
      <c r="AQ755" s="3"/>
      <c r="AR755" s="3"/>
      <c r="AS755" s="3"/>
      <c r="AY755" s="1079"/>
      <c r="AZ755" s="118" t="str">
        <f t="shared" si="11"/>
        <v>N/A</v>
      </c>
      <c r="BA755" s="34"/>
      <c r="BB755" s="34"/>
      <c r="BC755" s="34"/>
      <c r="BD755" s="34"/>
      <c r="BE755" s="34"/>
      <c r="BF755" s="293">
        <f t="shared" si="12"/>
        <v>0</v>
      </c>
      <c r="BG755" s="296">
        <f t="shared" si="13"/>
        <v>0</v>
      </c>
      <c r="BH755" s="297" t="str">
        <f t="shared" si="14"/>
        <v/>
      </c>
      <c r="BI755" s="34"/>
      <c r="BJ755" s="34"/>
      <c r="BK755" s="34"/>
      <c r="BL755" s="34"/>
      <c r="BM755" s="34"/>
      <c r="BN755" s="34"/>
      <c r="BS755" s="293">
        <f t="shared" si="15"/>
        <v>0</v>
      </c>
      <c r="BT755" s="296">
        <f t="shared" si="16"/>
        <v>0</v>
      </c>
      <c r="BU755" s="297" t="str">
        <f t="shared" si="17"/>
        <v/>
      </c>
      <c r="BV755" s="3"/>
      <c r="BW755" s="3"/>
      <c r="BX755" s="3"/>
      <c r="BY755" s="3"/>
      <c r="BZ755" s="3"/>
      <c r="CA755" s="3"/>
      <c r="CB755" s="3"/>
      <c r="CC755" s="3"/>
      <c r="CE755" s="3"/>
      <c r="CF755" s="3"/>
      <c r="CG755" s="1550">
        <f t="shared" si="39"/>
        <v>0</v>
      </c>
      <c r="CH755" s="1551"/>
      <c r="CI755" s="1552">
        <f t="shared" si="40"/>
        <v>0</v>
      </c>
      <c r="CJ755" s="1553"/>
      <c r="CK755" s="1550">
        <f t="shared" si="18"/>
        <v>0</v>
      </c>
      <c r="CL755" s="1551"/>
      <c r="CM755" s="1552">
        <f t="shared" si="19"/>
        <v>0</v>
      </c>
      <c r="CN755" s="1553"/>
      <c r="CO755" s="3"/>
      <c r="CP755" s="1545">
        <f t="shared" si="20"/>
        <v>0</v>
      </c>
      <c r="CQ755" s="1546"/>
      <c r="CR755" s="1546"/>
      <c r="CS755" s="1546"/>
      <c r="CT755" s="1547"/>
      <c r="CU755" s="1549">
        <f t="shared" si="21"/>
        <v>0</v>
      </c>
      <c r="CV755" s="1549"/>
      <c r="CW755" s="1549"/>
      <c r="CX755" s="1549"/>
      <c r="CY755" s="1549"/>
      <c r="CZ755" s="1549">
        <f t="shared" si="22"/>
        <v>0</v>
      </c>
      <c r="DA755" s="1549"/>
      <c r="DB755" s="1549"/>
      <c r="DC755" s="1549"/>
      <c r="DD755" s="1549"/>
      <c r="DE755" s="1549">
        <f t="shared" si="23"/>
        <v>0</v>
      </c>
      <c r="DF755" s="1549"/>
      <c r="DG755" s="1549"/>
      <c r="DH755" s="1549"/>
      <c r="DI755" s="1549"/>
      <c r="DJ755" s="1549">
        <f t="shared" si="24"/>
        <v>0</v>
      </c>
      <c r="DK755" s="1549"/>
      <c r="DL755" s="1549"/>
      <c r="DM755" s="1549"/>
      <c r="DN755" s="1549"/>
      <c r="DO755" s="1549">
        <f t="shared" si="25"/>
        <v>0</v>
      </c>
      <c r="DP755" s="1549"/>
      <c r="DQ755" s="1549"/>
      <c r="DR755" s="1549"/>
      <c r="DS755" s="1549"/>
      <c r="DT755" s="6"/>
      <c r="DU755" s="1554">
        <f t="shared" si="26"/>
        <v>0</v>
      </c>
      <c r="DV755" s="1554"/>
      <c r="DW755" s="1554"/>
      <c r="DX755" s="1554"/>
      <c r="DY755" s="1554"/>
      <c r="DZ755" s="1554">
        <f t="shared" si="27"/>
        <v>0</v>
      </c>
      <c r="EA755" s="1554"/>
      <c r="EB755" s="1554"/>
      <c r="EC755" s="1554"/>
      <c r="ED755" s="1554"/>
      <c r="EE755" s="1554">
        <f t="shared" si="28"/>
        <v>0</v>
      </c>
      <c r="EF755" s="1554"/>
      <c r="EG755" s="1554"/>
      <c r="EH755" s="1554"/>
      <c r="EI755" s="1554"/>
      <c r="EJ755" s="1554">
        <f t="shared" si="29"/>
        <v>0</v>
      </c>
      <c r="EK755" s="1554"/>
      <c r="EL755" s="1554"/>
      <c r="EM755" s="1554"/>
      <c r="EN755" s="1554"/>
      <c r="EO755" s="1554">
        <f t="shared" si="30"/>
        <v>0</v>
      </c>
      <c r="EP755" s="1554"/>
      <c r="EQ755" s="1554"/>
      <c r="ER755" s="1554"/>
      <c r="ES755" s="1554"/>
      <c r="ET755" s="1554">
        <f t="shared" si="31"/>
        <v>0</v>
      </c>
      <c r="EU755" s="1554"/>
      <c r="EV755" s="1554"/>
      <c r="EW755" s="1554"/>
      <c r="EX755" s="1554"/>
      <c r="EZ755" s="1550" t="str">
        <f t="shared" si="32"/>
        <v/>
      </c>
      <c r="FA755" s="1556"/>
      <c r="FB755" s="1556"/>
      <c r="FC755" s="1556"/>
      <c r="FD755" s="1551"/>
      <c r="FE755" s="1550" t="str">
        <f t="shared" si="33"/>
        <v/>
      </c>
      <c r="FF755" s="1556"/>
      <c r="FG755" s="1556"/>
      <c r="FH755" s="1556"/>
      <c r="FI755" s="1551"/>
      <c r="FJ755" s="1550" t="str">
        <f t="shared" si="34"/>
        <v/>
      </c>
      <c r="FK755" s="1556"/>
      <c r="FL755" s="1556"/>
      <c r="FM755" s="1556"/>
      <c r="FN755" s="1551"/>
      <c r="FO755" s="1550" t="str">
        <f t="shared" si="35"/>
        <v/>
      </c>
      <c r="FP755" s="1556"/>
      <c r="FQ755" s="1556"/>
      <c r="FR755" s="1556"/>
      <c r="FS755" s="1551"/>
      <c r="FT755" s="1550" t="str">
        <f t="shared" si="36"/>
        <v/>
      </c>
      <c r="FU755" s="1556"/>
      <c r="FV755" s="1556"/>
      <c r="FW755" s="1556"/>
      <c r="FX755" s="1551"/>
      <c r="FY755" s="1550" t="str">
        <f t="shared" si="37"/>
        <v/>
      </c>
      <c r="FZ755" s="1556"/>
      <c r="GA755" s="1556"/>
      <c r="GB755" s="1556"/>
      <c r="GC755" s="1551"/>
    </row>
    <row r="756" spans="1:185" s="3" customFormat="1" ht="12.95" customHeight="1">
      <c r="A756"/>
      <c r="B756" s="1376"/>
      <c r="C756" s="1377"/>
      <c r="D756" s="1377"/>
      <c r="E756" s="1377"/>
      <c r="F756" s="1378"/>
      <c r="G756" s="1370"/>
      <c r="H756" s="1371"/>
      <c r="I756" s="1371"/>
      <c r="J756" s="1372"/>
      <c r="K756" s="1373"/>
      <c r="L756" s="1374"/>
      <c r="M756" s="1374"/>
      <c r="N756" s="1375"/>
      <c r="O756" s="1415"/>
      <c r="P756" s="1416"/>
      <c r="Q756" s="1416"/>
      <c r="R756" s="1416"/>
      <c r="S756" s="1417"/>
      <c r="T756" s="1415"/>
      <c r="U756" s="1416"/>
      <c r="V756" s="1416"/>
      <c r="W756" s="1417"/>
      <c r="X756" s="1418">
        <f t="shared" si="41"/>
        <v>0</v>
      </c>
      <c r="Y756" s="1414"/>
      <c r="Z756" s="1414"/>
      <c r="AA756" s="1414"/>
      <c r="AB756" s="1419"/>
      <c r="AC756" s="1420"/>
      <c r="AD756" s="1421"/>
      <c r="AE756" s="1421"/>
      <c r="AF756" s="1421"/>
      <c r="AG756" s="1422"/>
      <c r="AH756" s="1438" t="str">
        <f t="shared" si="38"/>
        <v/>
      </c>
      <c r="AI756" s="1439"/>
      <c r="AJ756" s="1440"/>
      <c r="AK756" s="1376" t="s">
        <v>589</v>
      </c>
      <c r="AL756" s="1377"/>
      <c r="AM756" s="1377"/>
      <c r="AN756" s="1377"/>
      <c r="AO756" s="1378"/>
      <c r="AT756"/>
      <c r="AU756"/>
      <c r="AV756"/>
      <c r="AW756"/>
      <c r="AX756"/>
      <c r="AY756" s="1079"/>
      <c r="AZ756" s="118" t="str">
        <f t="shared" si="11"/>
        <v>N/A</v>
      </c>
      <c r="BA756" s="34"/>
      <c r="BB756" s="34"/>
      <c r="BC756" s="34"/>
      <c r="BD756" s="34"/>
      <c r="BE756" s="34"/>
      <c r="BF756" s="293">
        <f t="shared" si="12"/>
        <v>0</v>
      </c>
      <c r="BG756" s="296">
        <f t="shared" si="13"/>
        <v>0</v>
      </c>
      <c r="BH756" s="297" t="str">
        <f t="shared" si="14"/>
        <v/>
      </c>
      <c r="BJ756" s="34"/>
      <c r="BK756" s="34"/>
      <c r="BL756" s="34"/>
      <c r="BM756" s="34"/>
      <c r="BN756" s="34"/>
      <c r="BO756"/>
      <c r="BP756"/>
      <c r="BQ756"/>
      <c r="BR756"/>
      <c r="BS756" s="293">
        <f t="shared" si="15"/>
        <v>0</v>
      </c>
      <c r="BT756" s="296">
        <f t="shared" si="16"/>
        <v>0</v>
      </c>
      <c r="BU756" s="297" t="str">
        <f t="shared" si="17"/>
        <v/>
      </c>
      <c r="CD756"/>
      <c r="CG756" s="1550">
        <f t="shared" si="39"/>
        <v>0</v>
      </c>
      <c r="CH756" s="1551"/>
      <c r="CI756" s="1552">
        <f t="shared" si="40"/>
        <v>0</v>
      </c>
      <c r="CJ756" s="1553"/>
      <c r="CK756" s="1550">
        <f t="shared" si="18"/>
        <v>0</v>
      </c>
      <c r="CL756" s="1551"/>
      <c r="CM756" s="1552">
        <f t="shared" si="19"/>
        <v>0</v>
      </c>
      <c r="CN756" s="1553"/>
      <c r="CP756" s="1545">
        <f t="shared" si="20"/>
        <v>0</v>
      </c>
      <c r="CQ756" s="1546"/>
      <c r="CR756" s="1546"/>
      <c r="CS756" s="1546"/>
      <c r="CT756" s="1547"/>
      <c r="CU756" s="1549">
        <f t="shared" si="21"/>
        <v>0</v>
      </c>
      <c r="CV756" s="1549"/>
      <c r="CW756" s="1549"/>
      <c r="CX756" s="1549"/>
      <c r="CY756" s="1549"/>
      <c r="CZ756" s="1549">
        <f t="shared" si="22"/>
        <v>0</v>
      </c>
      <c r="DA756" s="1549"/>
      <c r="DB756" s="1549"/>
      <c r="DC756" s="1549"/>
      <c r="DD756" s="1549"/>
      <c r="DE756" s="1549">
        <f t="shared" si="23"/>
        <v>0</v>
      </c>
      <c r="DF756" s="1549"/>
      <c r="DG756" s="1549"/>
      <c r="DH756" s="1549"/>
      <c r="DI756" s="1549"/>
      <c r="DJ756" s="1549">
        <f t="shared" si="24"/>
        <v>0</v>
      </c>
      <c r="DK756" s="1549"/>
      <c r="DL756" s="1549"/>
      <c r="DM756" s="1549"/>
      <c r="DN756" s="1549"/>
      <c r="DO756" s="1549">
        <f t="shared" si="25"/>
        <v>0</v>
      </c>
      <c r="DP756" s="1549"/>
      <c r="DQ756" s="1549"/>
      <c r="DR756" s="1549"/>
      <c r="DS756" s="1549"/>
      <c r="DT756" s="6"/>
      <c r="DU756" s="1554">
        <f t="shared" si="26"/>
        <v>0</v>
      </c>
      <c r="DV756" s="1554"/>
      <c r="DW756" s="1554"/>
      <c r="DX756" s="1554"/>
      <c r="DY756" s="1554"/>
      <c r="DZ756" s="1554">
        <f t="shared" si="27"/>
        <v>0</v>
      </c>
      <c r="EA756" s="1554"/>
      <c r="EB756" s="1554"/>
      <c r="EC756" s="1554"/>
      <c r="ED756" s="1554"/>
      <c r="EE756" s="1554">
        <f t="shared" si="28"/>
        <v>0</v>
      </c>
      <c r="EF756" s="1554"/>
      <c r="EG756" s="1554"/>
      <c r="EH756" s="1554"/>
      <c r="EI756" s="1554"/>
      <c r="EJ756" s="1554">
        <f t="shared" si="29"/>
        <v>0</v>
      </c>
      <c r="EK756" s="1554"/>
      <c r="EL756" s="1554"/>
      <c r="EM756" s="1554"/>
      <c r="EN756" s="1554"/>
      <c r="EO756" s="1554">
        <f t="shared" si="30"/>
        <v>0</v>
      </c>
      <c r="EP756" s="1554"/>
      <c r="EQ756" s="1554"/>
      <c r="ER756" s="1554"/>
      <c r="ES756" s="1554"/>
      <c r="ET756" s="1554">
        <f t="shared" si="31"/>
        <v>0</v>
      </c>
      <c r="EU756" s="1554"/>
      <c r="EV756" s="1554"/>
      <c r="EW756" s="1554"/>
      <c r="EX756" s="1554"/>
      <c r="EY756"/>
      <c r="EZ756" s="1550" t="str">
        <f t="shared" si="32"/>
        <v/>
      </c>
      <c r="FA756" s="1556"/>
      <c r="FB756" s="1556"/>
      <c r="FC756" s="1556"/>
      <c r="FD756" s="1551"/>
      <c r="FE756" s="1550" t="str">
        <f t="shared" si="33"/>
        <v/>
      </c>
      <c r="FF756" s="1556"/>
      <c r="FG756" s="1556"/>
      <c r="FH756" s="1556"/>
      <c r="FI756" s="1551"/>
      <c r="FJ756" s="1550" t="str">
        <f t="shared" si="34"/>
        <v/>
      </c>
      <c r="FK756" s="1556"/>
      <c r="FL756" s="1556"/>
      <c r="FM756" s="1556"/>
      <c r="FN756" s="1551"/>
      <c r="FO756" s="1550" t="str">
        <f t="shared" si="35"/>
        <v/>
      </c>
      <c r="FP756" s="1556"/>
      <c r="FQ756" s="1556"/>
      <c r="FR756" s="1556"/>
      <c r="FS756" s="1551"/>
      <c r="FT756" s="1550" t="str">
        <f t="shared" si="36"/>
        <v/>
      </c>
      <c r="FU756" s="1556"/>
      <c r="FV756" s="1556"/>
      <c r="FW756" s="1556"/>
      <c r="FX756" s="1551"/>
      <c r="FY756" s="1550" t="str">
        <f t="shared" si="37"/>
        <v/>
      </c>
      <c r="FZ756" s="1556"/>
      <c r="GA756" s="1556"/>
      <c r="GB756" s="1556"/>
      <c r="GC756" s="1551"/>
    </row>
    <row r="757" spans="1:185" s="3" customFormat="1" ht="12.95" customHeight="1">
      <c r="A757"/>
      <c r="B757" s="1376"/>
      <c r="C757" s="1377"/>
      <c r="D757" s="1377"/>
      <c r="E757" s="1377"/>
      <c r="F757" s="1378"/>
      <c r="G757" s="1370"/>
      <c r="H757" s="1371"/>
      <c r="I757" s="1371"/>
      <c r="J757" s="1372"/>
      <c r="K757" s="1373"/>
      <c r="L757" s="1374"/>
      <c r="M757" s="1374"/>
      <c r="N757" s="1375"/>
      <c r="O757" s="1415"/>
      <c r="P757" s="1416"/>
      <c r="Q757" s="1416"/>
      <c r="R757" s="1416"/>
      <c r="S757" s="1417"/>
      <c r="T757" s="1415"/>
      <c r="U757" s="1416"/>
      <c r="V757" s="1416"/>
      <c r="W757" s="1417"/>
      <c r="X757" s="1418">
        <f t="shared" si="41"/>
        <v>0</v>
      </c>
      <c r="Y757" s="1414"/>
      <c r="Z757" s="1414"/>
      <c r="AA757" s="1414"/>
      <c r="AB757" s="1419"/>
      <c r="AC757" s="1420"/>
      <c r="AD757" s="1421"/>
      <c r="AE757" s="1421"/>
      <c r="AF757" s="1421"/>
      <c r="AG757" s="1422"/>
      <c r="AH757" s="1438" t="str">
        <f t="shared" si="38"/>
        <v/>
      </c>
      <c r="AI757" s="1439"/>
      <c r="AJ757" s="1440"/>
      <c r="AK757" s="1376" t="s">
        <v>589</v>
      </c>
      <c r="AL757" s="1377"/>
      <c r="AM757" s="1377"/>
      <c r="AN757" s="1377"/>
      <c r="AO757" s="1378"/>
      <c r="AT757"/>
      <c r="AU757"/>
      <c r="AV757"/>
      <c r="AW757"/>
      <c r="AX757"/>
      <c r="AY757" s="1079"/>
      <c r="AZ757" s="118" t="str">
        <f t="shared" si="11"/>
        <v>N/A</v>
      </c>
      <c r="BA757" s="34"/>
      <c r="BB757" s="34"/>
      <c r="BC757" s="34"/>
      <c r="BD757" s="34"/>
      <c r="BE757" s="34"/>
      <c r="BF757" s="293">
        <f t="shared" si="12"/>
        <v>0</v>
      </c>
      <c r="BG757" s="296">
        <f t="shared" si="13"/>
        <v>0</v>
      </c>
      <c r="BH757" s="297" t="str">
        <f t="shared" si="14"/>
        <v/>
      </c>
      <c r="BJ757" s="34"/>
      <c r="BK757" s="34"/>
      <c r="BL757" s="34"/>
      <c r="BM757" s="34"/>
      <c r="BN757" s="34"/>
      <c r="BO757"/>
      <c r="BP757"/>
      <c r="BQ757"/>
      <c r="BR757"/>
      <c r="BS757" s="293">
        <f t="shared" si="15"/>
        <v>0</v>
      </c>
      <c r="BT757" s="296">
        <f t="shared" si="16"/>
        <v>0</v>
      </c>
      <c r="BU757" s="297" t="str">
        <f t="shared" si="17"/>
        <v/>
      </c>
      <c r="CD757"/>
      <c r="CG757" s="1550">
        <f t="shared" si="39"/>
        <v>0</v>
      </c>
      <c r="CH757" s="1551"/>
      <c r="CI757" s="1552">
        <f t="shared" si="40"/>
        <v>0</v>
      </c>
      <c r="CJ757" s="1553"/>
      <c r="CK757" s="1550">
        <f t="shared" si="18"/>
        <v>0</v>
      </c>
      <c r="CL757" s="1551"/>
      <c r="CM757" s="1552">
        <f t="shared" si="19"/>
        <v>0</v>
      </c>
      <c r="CN757" s="1553"/>
      <c r="CP757" s="1545">
        <f t="shared" si="20"/>
        <v>0</v>
      </c>
      <c r="CQ757" s="1546"/>
      <c r="CR757" s="1546"/>
      <c r="CS757" s="1546"/>
      <c r="CT757" s="1547"/>
      <c r="CU757" s="1549">
        <f t="shared" si="21"/>
        <v>0</v>
      </c>
      <c r="CV757" s="1549"/>
      <c r="CW757" s="1549"/>
      <c r="CX757" s="1549"/>
      <c r="CY757" s="1549"/>
      <c r="CZ757" s="1549">
        <f t="shared" si="22"/>
        <v>0</v>
      </c>
      <c r="DA757" s="1549"/>
      <c r="DB757" s="1549"/>
      <c r="DC757" s="1549"/>
      <c r="DD757" s="1549"/>
      <c r="DE757" s="1549">
        <f t="shared" si="23"/>
        <v>0</v>
      </c>
      <c r="DF757" s="1549"/>
      <c r="DG757" s="1549"/>
      <c r="DH757" s="1549"/>
      <c r="DI757" s="1549"/>
      <c r="DJ757" s="1549">
        <f t="shared" si="24"/>
        <v>0</v>
      </c>
      <c r="DK757" s="1549"/>
      <c r="DL757" s="1549"/>
      <c r="DM757" s="1549"/>
      <c r="DN757" s="1549"/>
      <c r="DO757" s="1549">
        <f t="shared" si="25"/>
        <v>0</v>
      </c>
      <c r="DP757" s="1549"/>
      <c r="DQ757" s="1549"/>
      <c r="DR757" s="1549"/>
      <c r="DS757" s="1549"/>
      <c r="DT757" s="6"/>
      <c r="DU757" s="1554">
        <f t="shared" si="26"/>
        <v>0</v>
      </c>
      <c r="DV757" s="1554"/>
      <c r="DW757" s="1554"/>
      <c r="DX757" s="1554"/>
      <c r="DY757" s="1554"/>
      <c r="DZ757" s="1554">
        <f t="shared" si="27"/>
        <v>0</v>
      </c>
      <c r="EA757" s="1554"/>
      <c r="EB757" s="1554"/>
      <c r="EC757" s="1554"/>
      <c r="ED757" s="1554"/>
      <c r="EE757" s="1554">
        <f t="shared" si="28"/>
        <v>0</v>
      </c>
      <c r="EF757" s="1554"/>
      <c r="EG757" s="1554"/>
      <c r="EH757" s="1554"/>
      <c r="EI757" s="1554"/>
      <c r="EJ757" s="1554">
        <f t="shared" si="29"/>
        <v>0</v>
      </c>
      <c r="EK757" s="1554"/>
      <c r="EL757" s="1554"/>
      <c r="EM757" s="1554"/>
      <c r="EN757" s="1554"/>
      <c r="EO757" s="1554">
        <f t="shared" si="30"/>
        <v>0</v>
      </c>
      <c r="EP757" s="1554"/>
      <c r="EQ757" s="1554"/>
      <c r="ER757" s="1554"/>
      <c r="ES757" s="1554"/>
      <c r="ET757" s="1554">
        <f t="shared" si="31"/>
        <v>0</v>
      </c>
      <c r="EU757" s="1554"/>
      <c r="EV757" s="1554"/>
      <c r="EW757" s="1554"/>
      <c r="EX757" s="1554"/>
      <c r="EY757"/>
      <c r="EZ757" s="1550" t="str">
        <f t="shared" si="32"/>
        <v/>
      </c>
      <c r="FA757" s="1556"/>
      <c r="FB757" s="1556"/>
      <c r="FC757" s="1556"/>
      <c r="FD757" s="1551"/>
      <c r="FE757" s="1550" t="str">
        <f t="shared" si="33"/>
        <v/>
      </c>
      <c r="FF757" s="1556"/>
      <c r="FG757" s="1556"/>
      <c r="FH757" s="1556"/>
      <c r="FI757" s="1551"/>
      <c r="FJ757" s="1550" t="str">
        <f t="shared" si="34"/>
        <v/>
      </c>
      <c r="FK757" s="1556"/>
      <c r="FL757" s="1556"/>
      <c r="FM757" s="1556"/>
      <c r="FN757" s="1551"/>
      <c r="FO757" s="1550" t="str">
        <f t="shared" si="35"/>
        <v/>
      </c>
      <c r="FP757" s="1556"/>
      <c r="FQ757" s="1556"/>
      <c r="FR757" s="1556"/>
      <c r="FS757" s="1551"/>
      <c r="FT757" s="1550" t="str">
        <f t="shared" si="36"/>
        <v/>
      </c>
      <c r="FU757" s="1556"/>
      <c r="FV757" s="1556"/>
      <c r="FW757" s="1556"/>
      <c r="FX757" s="1551"/>
      <c r="FY757" s="1550" t="str">
        <f t="shared" si="37"/>
        <v/>
      </c>
      <c r="FZ757" s="1556"/>
      <c r="GA757" s="1556"/>
      <c r="GB757" s="1556"/>
      <c r="GC757" s="1551"/>
    </row>
    <row r="758" spans="1:185" s="3" customFormat="1" ht="12.95" customHeight="1">
      <c r="A758"/>
      <c r="B758" s="1376"/>
      <c r="C758" s="1377"/>
      <c r="D758" s="1377"/>
      <c r="E758" s="1377"/>
      <c r="F758" s="1378"/>
      <c r="G758" s="1370"/>
      <c r="H758" s="1371"/>
      <c r="I758" s="1371"/>
      <c r="J758" s="1372"/>
      <c r="K758" s="1373"/>
      <c r="L758" s="1374"/>
      <c r="M758" s="1374"/>
      <c r="N758" s="1375"/>
      <c r="O758" s="1415"/>
      <c r="P758" s="1416"/>
      <c r="Q758" s="1416"/>
      <c r="R758" s="1416"/>
      <c r="S758" s="1417"/>
      <c r="T758" s="1415"/>
      <c r="U758" s="1416"/>
      <c r="V758" s="1416"/>
      <c r="W758" s="1417"/>
      <c r="X758" s="1418">
        <f t="shared" si="41"/>
        <v>0</v>
      </c>
      <c r="Y758" s="1414"/>
      <c r="Z758" s="1414"/>
      <c r="AA758" s="1414"/>
      <c r="AB758" s="1419"/>
      <c r="AC758" s="1420"/>
      <c r="AD758" s="1421"/>
      <c r="AE758" s="1421"/>
      <c r="AF758" s="1421"/>
      <c r="AG758" s="1422"/>
      <c r="AH758" s="1438" t="str">
        <f t="shared" si="38"/>
        <v/>
      </c>
      <c r="AI758" s="1439"/>
      <c r="AJ758" s="1440"/>
      <c r="AK758" s="1376" t="s">
        <v>589</v>
      </c>
      <c r="AL758" s="1377"/>
      <c r="AM758" s="1377"/>
      <c r="AN758" s="1377"/>
      <c r="AO758" s="1378"/>
      <c r="AT758"/>
      <c r="AU758"/>
      <c r="AV758"/>
      <c r="AW758"/>
      <c r="AX758"/>
      <c r="AY758"/>
      <c r="AZ758" s="118" t="str">
        <f t="shared" si="11"/>
        <v>N/A</v>
      </c>
      <c r="BA758" s="34"/>
      <c r="BB758" s="34"/>
      <c r="BC758" s="34"/>
      <c r="BD758" s="34"/>
      <c r="BE758" s="34"/>
      <c r="BF758" s="293">
        <f t="shared" si="12"/>
        <v>0</v>
      </c>
      <c r="BG758" s="296">
        <f t="shared" si="13"/>
        <v>0</v>
      </c>
      <c r="BH758" s="297" t="str">
        <f t="shared" si="14"/>
        <v/>
      </c>
      <c r="BJ758" s="34"/>
      <c r="BK758" s="34"/>
      <c r="BL758" s="34"/>
      <c r="BM758" s="34"/>
      <c r="BN758" s="34"/>
      <c r="BO758"/>
      <c r="BP758"/>
      <c r="BQ758"/>
      <c r="BR758"/>
      <c r="BS758" s="293">
        <f t="shared" si="15"/>
        <v>0</v>
      </c>
      <c r="BT758" s="296">
        <f t="shared" si="16"/>
        <v>0</v>
      </c>
      <c r="BU758" s="297" t="str">
        <f t="shared" si="17"/>
        <v/>
      </c>
      <c r="CD758"/>
      <c r="CG758" s="1550">
        <f t="shared" si="39"/>
        <v>0</v>
      </c>
      <c r="CH758" s="1551"/>
      <c r="CI758" s="1552">
        <f t="shared" si="40"/>
        <v>0</v>
      </c>
      <c r="CJ758" s="1553"/>
      <c r="CK758" s="1550">
        <f t="shared" si="18"/>
        <v>0</v>
      </c>
      <c r="CL758" s="1551"/>
      <c r="CM758" s="1552">
        <f t="shared" si="19"/>
        <v>0</v>
      </c>
      <c r="CN758" s="1553"/>
      <c r="CP758" s="1545">
        <f t="shared" si="20"/>
        <v>0</v>
      </c>
      <c r="CQ758" s="1546"/>
      <c r="CR758" s="1546"/>
      <c r="CS758" s="1546"/>
      <c r="CT758" s="1547"/>
      <c r="CU758" s="1549">
        <f t="shared" si="21"/>
        <v>0</v>
      </c>
      <c r="CV758" s="1549"/>
      <c r="CW758" s="1549"/>
      <c r="CX758" s="1549"/>
      <c r="CY758" s="1549"/>
      <c r="CZ758" s="1549">
        <f t="shared" si="22"/>
        <v>0</v>
      </c>
      <c r="DA758" s="1549"/>
      <c r="DB758" s="1549"/>
      <c r="DC758" s="1549"/>
      <c r="DD758" s="1549"/>
      <c r="DE758" s="1549">
        <f t="shared" si="23"/>
        <v>0</v>
      </c>
      <c r="DF758" s="1549"/>
      <c r="DG758" s="1549"/>
      <c r="DH758" s="1549"/>
      <c r="DI758" s="1549"/>
      <c r="DJ758" s="1549">
        <f t="shared" si="24"/>
        <v>0</v>
      </c>
      <c r="DK758" s="1549"/>
      <c r="DL758" s="1549"/>
      <c r="DM758" s="1549"/>
      <c r="DN758" s="1549"/>
      <c r="DO758" s="1549">
        <f t="shared" si="25"/>
        <v>0</v>
      </c>
      <c r="DP758" s="1549"/>
      <c r="DQ758" s="1549"/>
      <c r="DR758" s="1549"/>
      <c r="DS758" s="1549"/>
      <c r="DT758" s="6"/>
      <c r="DU758" s="1554">
        <f t="shared" si="26"/>
        <v>0</v>
      </c>
      <c r="DV758" s="1554"/>
      <c r="DW758" s="1554"/>
      <c r="DX758" s="1554"/>
      <c r="DY758" s="1554"/>
      <c r="DZ758" s="1554">
        <f t="shared" si="27"/>
        <v>0</v>
      </c>
      <c r="EA758" s="1554"/>
      <c r="EB758" s="1554"/>
      <c r="EC758" s="1554"/>
      <c r="ED758" s="1554"/>
      <c r="EE758" s="1554">
        <f t="shared" si="28"/>
        <v>0</v>
      </c>
      <c r="EF758" s="1554"/>
      <c r="EG758" s="1554"/>
      <c r="EH758" s="1554"/>
      <c r="EI758" s="1554"/>
      <c r="EJ758" s="1554">
        <f t="shared" si="29"/>
        <v>0</v>
      </c>
      <c r="EK758" s="1554"/>
      <c r="EL758" s="1554"/>
      <c r="EM758" s="1554"/>
      <c r="EN758" s="1554"/>
      <c r="EO758" s="1554">
        <f t="shared" si="30"/>
        <v>0</v>
      </c>
      <c r="EP758" s="1554"/>
      <c r="EQ758" s="1554"/>
      <c r="ER758" s="1554"/>
      <c r="ES758" s="1554"/>
      <c r="ET758" s="1554">
        <f t="shared" si="31"/>
        <v>0</v>
      </c>
      <c r="EU758" s="1554"/>
      <c r="EV758" s="1554"/>
      <c r="EW758" s="1554"/>
      <c r="EX758" s="1554"/>
      <c r="EY758"/>
      <c r="EZ758" s="1550" t="str">
        <f t="shared" si="32"/>
        <v/>
      </c>
      <c r="FA758" s="1556"/>
      <c r="FB758" s="1556"/>
      <c r="FC758" s="1556"/>
      <c r="FD758" s="1551"/>
      <c r="FE758" s="1550" t="str">
        <f t="shared" si="33"/>
        <v/>
      </c>
      <c r="FF758" s="1556"/>
      <c r="FG758" s="1556"/>
      <c r="FH758" s="1556"/>
      <c r="FI758" s="1551"/>
      <c r="FJ758" s="1550" t="str">
        <f t="shared" si="34"/>
        <v/>
      </c>
      <c r="FK758" s="1556"/>
      <c r="FL758" s="1556"/>
      <c r="FM758" s="1556"/>
      <c r="FN758" s="1551"/>
      <c r="FO758" s="1550" t="str">
        <f t="shared" si="35"/>
        <v/>
      </c>
      <c r="FP758" s="1556"/>
      <c r="FQ758" s="1556"/>
      <c r="FR758" s="1556"/>
      <c r="FS758" s="1551"/>
      <c r="FT758" s="1550" t="str">
        <f t="shared" si="36"/>
        <v/>
      </c>
      <c r="FU758" s="1556"/>
      <c r="FV758" s="1556"/>
      <c r="FW758" s="1556"/>
      <c r="FX758" s="1551"/>
      <c r="FY758" s="1550" t="str">
        <f t="shared" si="37"/>
        <v/>
      </c>
      <c r="FZ758" s="1556"/>
      <c r="GA758" s="1556"/>
      <c r="GB758" s="1556"/>
      <c r="GC758" s="1551"/>
    </row>
    <row r="759" spans="1:185" s="3" customFormat="1" ht="12.95" customHeight="1">
      <c r="A759"/>
      <c r="B759" s="1376"/>
      <c r="C759" s="1377"/>
      <c r="D759" s="1377"/>
      <c r="E759" s="1377"/>
      <c r="F759" s="1378"/>
      <c r="G759" s="1370"/>
      <c r="H759" s="1371"/>
      <c r="I759" s="1371"/>
      <c r="J759" s="1372"/>
      <c r="K759" s="1373"/>
      <c r="L759" s="1374"/>
      <c r="M759" s="1374"/>
      <c r="N759" s="1375"/>
      <c r="O759" s="1415"/>
      <c r="P759" s="1416"/>
      <c r="Q759" s="1416"/>
      <c r="R759" s="1416"/>
      <c r="S759" s="1417"/>
      <c r="T759" s="1415"/>
      <c r="U759" s="1416"/>
      <c r="V759" s="1416"/>
      <c r="W759" s="1417"/>
      <c r="X759" s="1418">
        <f t="shared" si="41"/>
        <v>0</v>
      </c>
      <c r="Y759" s="1414"/>
      <c r="Z759" s="1414"/>
      <c r="AA759" s="1414"/>
      <c r="AB759" s="1419"/>
      <c r="AC759" s="1420"/>
      <c r="AD759" s="1421"/>
      <c r="AE759" s="1421"/>
      <c r="AF759" s="1421"/>
      <c r="AG759" s="1422"/>
      <c r="AH759" s="1438" t="str">
        <f t="shared" si="38"/>
        <v/>
      </c>
      <c r="AI759" s="1439"/>
      <c r="AJ759" s="1440"/>
      <c r="AK759" s="1376" t="s">
        <v>589</v>
      </c>
      <c r="AL759" s="1377"/>
      <c r="AM759" s="1377"/>
      <c r="AN759" s="1377"/>
      <c r="AO759" s="1378"/>
      <c r="AT759"/>
      <c r="AU759"/>
      <c r="AV759"/>
      <c r="AW759"/>
      <c r="AX759"/>
      <c r="AY759"/>
      <c r="AZ759" s="118" t="str">
        <f t="shared" si="11"/>
        <v>N/A</v>
      </c>
      <c r="BA759" s="34"/>
      <c r="BB759" s="34"/>
      <c r="BC759" s="34"/>
      <c r="BD759" s="34"/>
      <c r="BE759" s="34"/>
      <c r="BF759" s="293">
        <f t="shared" si="12"/>
        <v>0</v>
      </c>
      <c r="BG759" s="296">
        <f t="shared" si="13"/>
        <v>0</v>
      </c>
      <c r="BH759" s="297" t="str">
        <f t="shared" si="14"/>
        <v/>
      </c>
      <c r="BJ759" s="34"/>
      <c r="BK759" s="34"/>
      <c r="BL759" s="34"/>
      <c r="BM759" s="34"/>
      <c r="BN759" s="34"/>
      <c r="BO759"/>
      <c r="BP759"/>
      <c r="BQ759"/>
      <c r="BR759"/>
      <c r="BS759" s="293">
        <f t="shared" si="15"/>
        <v>0</v>
      </c>
      <c r="BT759" s="296">
        <f t="shared" si="16"/>
        <v>0</v>
      </c>
      <c r="BU759" s="297" t="str">
        <f t="shared" si="17"/>
        <v/>
      </c>
      <c r="CD759"/>
      <c r="CG759" s="1550">
        <f t="shared" si="39"/>
        <v>0</v>
      </c>
      <c r="CH759" s="1551"/>
      <c r="CI759" s="1552">
        <f t="shared" si="40"/>
        <v>0</v>
      </c>
      <c r="CJ759" s="1553"/>
      <c r="CK759" s="1550">
        <f t="shared" si="18"/>
        <v>0</v>
      </c>
      <c r="CL759" s="1551"/>
      <c r="CM759" s="1552">
        <f t="shared" si="19"/>
        <v>0</v>
      </c>
      <c r="CN759" s="1553"/>
      <c r="CP759" s="1545">
        <f t="shared" si="20"/>
        <v>0</v>
      </c>
      <c r="CQ759" s="1546"/>
      <c r="CR759" s="1546"/>
      <c r="CS759" s="1546"/>
      <c r="CT759" s="1547"/>
      <c r="CU759" s="1549">
        <f t="shared" si="21"/>
        <v>0</v>
      </c>
      <c r="CV759" s="1549"/>
      <c r="CW759" s="1549"/>
      <c r="CX759" s="1549"/>
      <c r="CY759" s="1549"/>
      <c r="CZ759" s="1549">
        <f t="shared" si="22"/>
        <v>0</v>
      </c>
      <c r="DA759" s="1549"/>
      <c r="DB759" s="1549"/>
      <c r="DC759" s="1549"/>
      <c r="DD759" s="1549"/>
      <c r="DE759" s="1549">
        <f t="shared" si="23"/>
        <v>0</v>
      </c>
      <c r="DF759" s="1549"/>
      <c r="DG759" s="1549"/>
      <c r="DH759" s="1549"/>
      <c r="DI759" s="1549"/>
      <c r="DJ759" s="1549">
        <f t="shared" si="24"/>
        <v>0</v>
      </c>
      <c r="DK759" s="1549"/>
      <c r="DL759" s="1549"/>
      <c r="DM759" s="1549"/>
      <c r="DN759" s="1549"/>
      <c r="DO759" s="1549">
        <f t="shared" si="25"/>
        <v>0</v>
      </c>
      <c r="DP759" s="1549"/>
      <c r="DQ759" s="1549"/>
      <c r="DR759" s="1549"/>
      <c r="DS759" s="1549"/>
      <c r="DT759" s="6"/>
      <c r="DU759" s="1554">
        <f t="shared" si="26"/>
        <v>0</v>
      </c>
      <c r="DV759" s="1554"/>
      <c r="DW759" s="1554"/>
      <c r="DX759" s="1554"/>
      <c r="DY759" s="1554"/>
      <c r="DZ759" s="1554">
        <f t="shared" si="27"/>
        <v>0</v>
      </c>
      <c r="EA759" s="1554"/>
      <c r="EB759" s="1554"/>
      <c r="EC759" s="1554"/>
      <c r="ED759" s="1554"/>
      <c r="EE759" s="1554">
        <f t="shared" si="28"/>
        <v>0</v>
      </c>
      <c r="EF759" s="1554"/>
      <c r="EG759" s="1554"/>
      <c r="EH759" s="1554"/>
      <c r="EI759" s="1554"/>
      <c r="EJ759" s="1554">
        <f t="shared" si="29"/>
        <v>0</v>
      </c>
      <c r="EK759" s="1554"/>
      <c r="EL759" s="1554"/>
      <c r="EM759" s="1554"/>
      <c r="EN759" s="1554"/>
      <c r="EO759" s="1554">
        <f t="shared" si="30"/>
        <v>0</v>
      </c>
      <c r="EP759" s="1554"/>
      <c r="EQ759" s="1554"/>
      <c r="ER759" s="1554"/>
      <c r="ES759" s="1554"/>
      <c r="ET759" s="1554">
        <f t="shared" si="31"/>
        <v>0</v>
      </c>
      <c r="EU759" s="1554"/>
      <c r="EV759" s="1554"/>
      <c r="EW759" s="1554"/>
      <c r="EX759" s="1554"/>
      <c r="EY759"/>
      <c r="EZ759" s="1550" t="str">
        <f t="shared" si="32"/>
        <v/>
      </c>
      <c r="FA759" s="1556"/>
      <c r="FB759" s="1556"/>
      <c r="FC759" s="1556"/>
      <c r="FD759" s="1551"/>
      <c r="FE759" s="1550" t="str">
        <f t="shared" si="33"/>
        <v/>
      </c>
      <c r="FF759" s="1556"/>
      <c r="FG759" s="1556"/>
      <c r="FH759" s="1556"/>
      <c r="FI759" s="1551"/>
      <c r="FJ759" s="1550" t="str">
        <f t="shared" si="34"/>
        <v/>
      </c>
      <c r="FK759" s="1556"/>
      <c r="FL759" s="1556"/>
      <c r="FM759" s="1556"/>
      <c r="FN759" s="1551"/>
      <c r="FO759" s="1550" t="str">
        <f t="shared" si="35"/>
        <v/>
      </c>
      <c r="FP759" s="1556"/>
      <c r="FQ759" s="1556"/>
      <c r="FR759" s="1556"/>
      <c r="FS759" s="1551"/>
      <c r="FT759" s="1550" t="str">
        <f t="shared" si="36"/>
        <v/>
      </c>
      <c r="FU759" s="1556"/>
      <c r="FV759" s="1556"/>
      <c r="FW759" s="1556"/>
      <c r="FX759" s="1551"/>
      <c r="FY759" s="1550" t="str">
        <f t="shared" si="37"/>
        <v/>
      </c>
      <c r="FZ759" s="1556"/>
      <c r="GA759" s="1556"/>
      <c r="GB759" s="1556"/>
      <c r="GC759" s="1551"/>
    </row>
    <row r="760" spans="1:185" s="3" customFormat="1" ht="12.95" customHeight="1">
      <c r="A760"/>
      <c r="B760" s="1376"/>
      <c r="C760" s="1377"/>
      <c r="D760" s="1377"/>
      <c r="E760" s="1377"/>
      <c r="F760" s="1378"/>
      <c r="G760" s="1370"/>
      <c r="H760" s="1371"/>
      <c r="I760" s="1371"/>
      <c r="J760" s="1372"/>
      <c r="K760" s="1373"/>
      <c r="L760" s="1374"/>
      <c r="M760" s="1374"/>
      <c r="N760" s="1375"/>
      <c r="O760" s="1415"/>
      <c r="P760" s="1416"/>
      <c r="Q760" s="1416"/>
      <c r="R760" s="1416"/>
      <c r="S760" s="1417"/>
      <c r="T760" s="1415"/>
      <c r="U760" s="1416"/>
      <c r="V760" s="1416"/>
      <c r="W760" s="1417"/>
      <c r="X760" s="1418">
        <f>O760+T760</f>
        <v>0</v>
      </c>
      <c r="Y760" s="1414"/>
      <c r="Z760" s="1414"/>
      <c r="AA760" s="1414"/>
      <c r="AB760" s="1419"/>
      <c r="AC760" s="1420"/>
      <c r="AD760" s="1421"/>
      <c r="AE760" s="1421"/>
      <c r="AF760" s="1421"/>
      <c r="AG760" s="1422"/>
      <c r="AH760" s="1438" t="str">
        <f t="shared" si="38"/>
        <v/>
      </c>
      <c r="AI760" s="1439"/>
      <c r="AJ760" s="1440"/>
      <c r="AK760" s="1376" t="s">
        <v>589</v>
      </c>
      <c r="AL760" s="1377"/>
      <c r="AM760" s="1377"/>
      <c r="AN760" s="1377"/>
      <c r="AO760" s="1378"/>
      <c r="AT760"/>
      <c r="AU760"/>
      <c r="AV760"/>
      <c r="AW760"/>
      <c r="AX760"/>
      <c r="AY760"/>
      <c r="AZ760" s="118" t="str">
        <f t="shared" si="11"/>
        <v>N/A</v>
      </c>
      <c r="BA760" s="34"/>
      <c r="BB760" s="34"/>
      <c r="BC760" s="34"/>
      <c r="BE760"/>
      <c r="BF760" s="293">
        <f t="shared" si="12"/>
        <v>0</v>
      </c>
      <c r="BG760" s="296">
        <f t="shared" si="13"/>
        <v>0</v>
      </c>
      <c r="BH760" s="297" t="str">
        <f t="shared" si="14"/>
        <v/>
      </c>
      <c r="BJ760" s="34"/>
      <c r="BK760" s="34"/>
      <c r="BL760" s="34"/>
      <c r="BM760" s="34"/>
      <c r="BN760" s="34"/>
      <c r="BO760"/>
      <c r="BP760"/>
      <c r="BQ760"/>
      <c r="BR760"/>
      <c r="BS760" s="855">
        <f t="shared" si="15"/>
        <v>0</v>
      </c>
      <c r="BT760" s="296">
        <f t="shared" si="16"/>
        <v>0</v>
      </c>
      <c r="BU760" s="297" t="str">
        <f t="shared" si="17"/>
        <v/>
      </c>
      <c r="CD760"/>
      <c r="CG760" s="1550">
        <f t="shared" si="39"/>
        <v>0</v>
      </c>
      <c r="CH760" s="1551"/>
      <c r="CI760" s="1552">
        <f t="shared" si="40"/>
        <v>0</v>
      </c>
      <c r="CJ760" s="1553"/>
      <c r="CK760" s="1550">
        <f t="shared" si="18"/>
        <v>0</v>
      </c>
      <c r="CL760" s="1551"/>
      <c r="CM760" s="1552">
        <f t="shared" si="19"/>
        <v>0</v>
      </c>
      <c r="CN760" s="1553"/>
      <c r="CP760" s="1545">
        <f t="shared" si="20"/>
        <v>0</v>
      </c>
      <c r="CQ760" s="1546"/>
      <c r="CR760" s="1546"/>
      <c r="CS760" s="1546"/>
      <c r="CT760" s="1547"/>
      <c r="CU760" s="1549">
        <f t="shared" si="21"/>
        <v>0</v>
      </c>
      <c r="CV760" s="1549"/>
      <c r="CW760" s="1549"/>
      <c r="CX760" s="1549"/>
      <c r="CY760" s="1549"/>
      <c r="CZ760" s="1549">
        <f t="shared" si="22"/>
        <v>0</v>
      </c>
      <c r="DA760" s="1549"/>
      <c r="DB760" s="1549"/>
      <c r="DC760" s="1549"/>
      <c r="DD760" s="1549"/>
      <c r="DE760" s="1549">
        <f t="shared" si="23"/>
        <v>0</v>
      </c>
      <c r="DF760" s="1549"/>
      <c r="DG760" s="1549"/>
      <c r="DH760" s="1549"/>
      <c r="DI760" s="1549"/>
      <c r="DJ760" s="1549">
        <f t="shared" si="24"/>
        <v>0</v>
      </c>
      <c r="DK760" s="1549"/>
      <c r="DL760" s="1549"/>
      <c r="DM760" s="1549"/>
      <c r="DN760" s="1549"/>
      <c r="DO760" s="1549">
        <f t="shared" si="25"/>
        <v>0</v>
      </c>
      <c r="DP760" s="1549"/>
      <c r="DQ760" s="1549"/>
      <c r="DR760" s="1549"/>
      <c r="DS760" s="1549"/>
      <c r="DT760" s="6"/>
      <c r="DU760" s="1554">
        <f t="shared" si="26"/>
        <v>0</v>
      </c>
      <c r="DV760" s="1554"/>
      <c r="DW760" s="1554"/>
      <c r="DX760" s="1554"/>
      <c r="DY760" s="1554"/>
      <c r="DZ760" s="1554">
        <f t="shared" si="27"/>
        <v>0</v>
      </c>
      <c r="EA760" s="1554"/>
      <c r="EB760" s="1554"/>
      <c r="EC760" s="1554"/>
      <c r="ED760" s="1554"/>
      <c r="EE760" s="1554">
        <f t="shared" si="28"/>
        <v>0</v>
      </c>
      <c r="EF760" s="1554"/>
      <c r="EG760" s="1554"/>
      <c r="EH760" s="1554"/>
      <c r="EI760" s="1554"/>
      <c r="EJ760" s="1554">
        <f t="shared" si="29"/>
        <v>0</v>
      </c>
      <c r="EK760" s="1554"/>
      <c r="EL760" s="1554"/>
      <c r="EM760" s="1554"/>
      <c r="EN760" s="1554"/>
      <c r="EO760" s="1554">
        <f t="shared" si="30"/>
        <v>0</v>
      </c>
      <c r="EP760" s="1554"/>
      <c r="EQ760" s="1554"/>
      <c r="ER760" s="1554"/>
      <c r="ES760" s="1554"/>
      <c r="ET760" s="1554">
        <f t="shared" si="31"/>
        <v>0</v>
      </c>
      <c r="EU760" s="1554"/>
      <c r="EV760" s="1554"/>
      <c r="EW760" s="1554"/>
      <c r="EX760" s="1554"/>
      <c r="EY760"/>
      <c r="EZ760" s="1550" t="str">
        <f t="shared" si="32"/>
        <v/>
      </c>
      <c r="FA760" s="1556"/>
      <c r="FB760" s="1556"/>
      <c r="FC760" s="1556"/>
      <c r="FD760" s="1551"/>
      <c r="FE760" s="1550" t="str">
        <f t="shared" si="33"/>
        <v/>
      </c>
      <c r="FF760" s="1556"/>
      <c r="FG760" s="1556"/>
      <c r="FH760" s="1556"/>
      <c r="FI760" s="1551"/>
      <c r="FJ760" s="1550" t="str">
        <f t="shared" si="34"/>
        <v/>
      </c>
      <c r="FK760" s="1556"/>
      <c r="FL760" s="1556"/>
      <c r="FM760" s="1556"/>
      <c r="FN760" s="1551"/>
      <c r="FO760" s="1550" t="str">
        <f t="shared" si="35"/>
        <v/>
      </c>
      <c r="FP760" s="1556"/>
      <c r="FQ760" s="1556"/>
      <c r="FR760" s="1556"/>
      <c r="FS760" s="1551"/>
      <c r="FT760" s="1550" t="str">
        <f t="shared" si="36"/>
        <v/>
      </c>
      <c r="FU760" s="1556"/>
      <c r="FV760" s="1556"/>
      <c r="FW760" s="1556"/>
      <c r="FX760" s="1551"/>
      <c r="FY760" s="1550" t="str">
        <f t="shared" si="37"/>
        <v/>
      </c>
      <c r="FZ760" s="1556"/>
      <c r="GA760" s="1556"/>
      <c r="GB760" s="1556"/>
      <c r="GC760" s="1551"/>
    </row>
    <row r="761" spans="1:185" s="3" customFormat="1" ht="12.95" customHeight="1">
      <c r="A761"/>
      <c r="B761" s="1539" t="s">
        <v>125</v>
      </c>
      <c r="C761" s="1540"/>
      <c r="D761" s="1540"/>
      <c r="E761" s="1540"/>
      <c r="F761" s="1541"/>
      <c r="G761" s="1669">
        <f>SUM(G726:G760)</f>
        <v>122</v>
      </c>
      <c r="H761" s="1670"/>
      <c r="I761" s="1670"/>
      <c r="J761" s="1671"/>
      <c r="K761" s="897" t="s">
        <v>124</v>
      </c>
      <c r="L761" s="5"/>
      <c r="M761" s="5"/>
      <c r="N761" s="46"/>
      <c r="O761" s="1418">
        <f>SUMPRODUCT(G726:G760,O726:O760)</f>
        <v>187272</v>
      </c>
      <c r="P761" s="1414"/>
      <c r="Q761" s="1414"/>
      <c r="R761" s="1414"/>
      <c r="S761" s="1419"/>
      <c r="T761"/>
      <c r="U761"/>
      <c r="V761"/>
      <c r="W761"/>
      <c r="X761" s="899" t="s">
        <v>898</v>
      </c>
      <c r="Y761" s="898"/>
      <c r="Z761" s="898"/>
      <c r="AA761" s="898"/>
      <c r="AB761" s="900"/>
      <c r="AC761" s="1663">
        <f>BH761</f>
        <v>0.49918032786885241</v>
      </c>
      <c r="AD761" s="1664"/>
      <c r="AE761" s="1664"/>
      <c r="AF761" s="1664"/>
      <c r="AG761" s="1665"/>
      <c r="AH761" s="1663">
        <f>IFERROR(BU761,"")</f>
        <v>0.48401034090515932</v>
      </c>
      <c r="AI761" s="1664"/>
      <c r="AJ761" s="1665"/>
      <c r="AK761"/>
      <c r="AL761"/>
      <c r="AM761"/>
      <c r="AN761"/>
      <c r="AO761"/>
      <c r="AP761" s="205"/>
      <c r="AQ761" s="205"/>
      <c r="AR761" s="205"/>
      <c r="AS761" s="205"/>
      <c r="AT761"/>
      <c r="AU761"/>
      <c r="AV761"/>
      <c r="AW761"/>
      <c r="AX761"/>
      <c r="AY761"/>
      <c r="AZ761" s="34"/>
      <c r="BA761" s="34"/>
      <c r="BB761" s="34"/>
      <c r="BC761" s="34"/>
      <c r="BE761" s="289" t="s">
        <v>897</v>
      </c>
      <c r="BF761" s="298">
        <f>SUM(BF726:BF760)</f>
        <v>122</v>
      </c>
      <c r="BG761" s="299">
        <f>SUM(BG726:BG760)</f>
        <v>1</v>
      </c>
      <c r="BH761" s="299">
        <f>SUM(BH726:BH760)</f>
        <v>0.49918032786885241</v>
      </c>
      <c r="BI761"/>
      <c r="BJ761"/>
      <c r="BK761"/>
      <c r="BL761"/>
      <c r="BO761"/>
      <c r="BP761"/>
      <c r="BQ761"/>
      <c r="BR761"/>
      <c r="BS761" s="854">
        <f>SUM(BS726:BS760)</f>
        <v>122</v>
      </c>
      <c r="BT761" s="299">
        <f>SUM(BT726:BT760)</f>
        <v>1</v>
      </c>
      <c r="BU761" s="299">
        <f>SUM(BU726:BU760)</f>
        <v>0.48401034090515932</v>
      </c>
      <c r="CI761" s="1550">
        <f>SUM(CI726:CJ760)</f>
        <v>30</v>
      </c>
      <c r="CJ761" s="1551"/>
      <c r="CM761" s="1550">
        <f>SUM(CM726:CN760)</f>
        <v>31</v>
      </c>
      <c r="CN761" s="1551"/>
      <c r="CP761" s="1550">
        <f>SUM(CP726:CT760)</f>
        <v>0</v>
      </c>
      <c r="CQ761" s="1556"/>
      <c r="CR761" s="1556"/>
      <c r="CS761" s="1556"/>
      <c r="CT761" s="1551"/>
      <c r="CU761" s="1548">
        <f>SUM(CU726:CY760)</f>
        <v>58</v>
      </c>
      <c r="CV761" s="1548"/>
      <c r="CW761" s="1548"/>
      <c r="CX761" s="1548"/>
      <c r="CY761" s="1548"/>
      <c r="CZ761" s="1548">
        <f>SUM(CZ726:DD760)</f>
        <v>31</v>
      </c>
      <c r="DA761" s="1548"/>
      <c r="DB761" s="1548"/>
      <c r="DC761" s="1548"/>
      <c r="DD761" s="1548"/>
      <c r="DE761" s="1548">
        <f>SUM(DE726:DI760)</f>
        <v>33</v>
      </c>
      <c r="DF761" s="1548"/>
      <c r="DG761" s="1548"/>
      <c r="DH761" s="1548"/>
      <c r="DI761" s="1548"/>
      <c r="DJ761" s="1548">
        <f>SUM(DJ726:DN760)</f>
        <v>0</v>
      </c>
      <c r="DK761" s="1548"/>
      <c r="DL761" s="1548"/>
      <c r="DM761" s="1548"/>
      <c r="DN761" s="1548"/>
      <c r="DO761" s="1548">
        <f>SUM(DO726:DS760)</f>
        <v>0</v>
      </c>
      <c r="DP761" s="1548"/>
      <c r="DQ761" s="1548"/>
      <c r="DR761" s="1548"/>
      <c r="DS761" s="1548"/>
      <c r="DT761" s="353"/>
      <c r="DU761" s="1548">
        <f>SUM(DU726:DY760)</f>
        <v>0</v>
      </c>
      <c r="DV761" s="1548"/>
      <c r="DW761" s="1548"/>
      <c r="DX761" s="1548"/>
      <c r="DY761" s="1548"/>
      <c r="DZ761" s="1548">
        <f>SUM(DZ726:ED760)</f>
        <v>23</v>
      </c>
      <c r="EA761" s="1548"/>
      <c r="EB761" s="1548"/>
      <c r="EC761" s="1548"/>
      <c r="ED761" s="1548"/>
      <c r="EE761" s="1548">
        <f>SUM(EE726:EI760)</f>
        <v>4</v>
      </c>
      <c r="EF761" s="1548"/>
      <c r="EG761" s="1548"/>
      <c r="EH761" s="1548"/>
      <c r="EI761" s="1548"/>
      <c r="EJ761" s="1548">
        <f>SUM(EJ726:EN760)</f>
        <v>4</v>
      </c>
      <c r="EK761" s="1548"/>
      <c r="EL761" s="1548"/>
      <c r="EM761" s="1548"/>
      <c r="EN761" s="1548"/>
      <c r="EO761" s="1548">
        <f>SUM(EO726:ES760)</f>
        <v>0</v>
      </c>
      <c r="EP761" s="1548"/>
      <c r="EQ761" s="1548"/>
      <c r="ER761" s="1548"/>
      <c r="ES761" s="1548"/>
      <c r="ET761" s="1548">
        <f>SUM(ET726:EX760)</f>
        <v>0</v>
      </c>
      <c r="EU761" s="1548"/>
      <c r="EV761" s="1548"/>
      <c r="EW761" s="1548"/>
      <c r="EX761" s="1548"/>
      <c r="EY761"/>
      <c r="EZ761" s="1548">
        <f>SUM(EZ726:FD760)</f>
        <v>0</v>
      </c>
      <c r="FA761" s="1548"/>
      <c r="FB761" s="1548"/>
      <c r="FC761" s="1548"/>
      <c r="FD761" s="1548"/>
      <c r="FE761" s="1548">
        <f>SUM(FE726:FI760)</f>
        <v>4066</v>
      </c>
      <c r="FF761" s="1548"/>
      <c r="FG761" s="1548"/>
      <c r="FH761" s="1548"/>
      <c r="FI761" s="1548"/>
      <c r="FJ761" s="1548">
        <f>SUM(FJ726:FN760)</f>
        <v>2922</v>
      </c>
      <c r="FK761" s="1548"/>
      <c r="FL761" s="1548"/>
      <c r="FM761" s="1548"/>
      <c r="FN761" s="1548"/>
      <c r="FO761" s="1548">
        <f>SUM(FO726:FS760)</f>
        <v>5263</v>
      </c>
      <c r="FP761" s="1548"/>
      <c r="FQ761" s="1548"/>
      <c r="FR761" s="1548"/>
      <c r="FS761" s="1548"/>
      <c r="FT761" s="1548">
        <f>SUM(FT726:FX760)</f>
        <v>0</v>
      </c>
      <c r="FU761" s="1548"/>
      <c r="FV761" s="1548"/>
      <c r="FW761" s="1548"/>
      <c r="FX761" s="1548"/>
      <c r="FY761" s="1548">
        <f>SUM(FY726:GC760)</f>
        <v>0</v>
      </c>
      <c r="FZ761" s="1548"/>
      <c r="GA761" s="1548"/>
      <c r="GB761" s="1548"/>
      <c r="GC761" s="1548"/>
    </row>
    <row r="762" spans="1:185" s="3" customFormat="1" ht="12.95" customHeight="1">
      <c r="A762"/>
      <c r="B762" s="1741" t="s">
        <v>1865</v>
      </c>
      <c r="C762" s="1741"/>
      <c r="D762" s="1741"/>
      <c r="E762" s="1741"/>
      <c r="F762" s="1741"/>
      <c r="G762" s="1741"/>
      <c r="H762" s="1741"/>
      <c r="I762" s="1741"/>
      <c r="J762" s="1741"/>
      <c r="K762" s="1741"/>
      <c r="L762" s="1741"/>
      <c r="M762" s="1741"/>
      <c r="N762" s="1741"/>
      <c r="O762" s="1741"/>
      <c r="P762" s="1741"/>
      <c r="Q762" s="1741"/>
      <c r="R762" s="1741"/>
      <c r="S762" s="1741"/>
      <c r="T762" s="1741"/>
      <c r="U762" s="1741"/>
      <c r="V762" s="1741"/>
      <c r="W762" s="1741"/>
      <c r="X762" s="1741"/>
      <c r="Y762" s="1741"/>
      <c r="Z762" s="1741"/>
      <c r="AA762" s="1741"/>
      <c r="AB762" s="1741"/>
      <c r="AC762" s="1741"/>
      <c r="AD762" s="1741"/>
      <c r="AE762" s="1741"/>
      <c r="AF762" s="1741"/>
      <c r="AG762" s="1741"/>
      <c r="AH762" s="1741"/>
      <c r="AI762"/>
      <c r="AJ762"/>
      <c r="AK762"/>
      <c r="AT762"/>
      <c r="AU762"/>
      <c r="AV762"/>
      <c r="AW762"/>
      <c r="AX762"/>
      <c r="AY762"/>
      <c r="CD762"/>
      <c r="DN762" s="56" t="s">
        <v>1833</v>
      </c>
      <c r="DO762" s="1550">
        <f>CP761+CU761+CZ761+DE761+DJ761+DO761</f>
        <v>122</v>
      </c>
      <c r="DP762" s="1556"/>
      <c r="DQ762" s="1556"/>
      <c r="DR762" s="1556"/>
      <c r="DS762" s="1551"/>
      <c r="DT762" s="353"/>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1"/>
      <c r="C763" s="1741"/>
      <c r="D763" s="1741"/>
      <c r="E763" s="1741"/>
      <c r="F763" s="1741"/>
      <c r="G763" s="1741"/>
      <c r="H763" s="1741"/>
      <c r="I763" s="1741"/>
      <c r="J763" s="1741"/>
      <c r="K763" s="1741"/>
      <c r="L763" s="1741"/>
      <c r="M763" s="1741"/>
      <c r="N763" s="1741"/>
      <c r="O763" s="1741"/>
      <c r="P763" s="1741"/>
      <c r="Q763" s="1741"/>
      <c r="R763" s="1741"/>
      <c r="S763" s="1741"/>
      <c r="T763" s="1741"/>
      <c r="U763" s="1741"/>
      <c r="V763" s="1741"/>
      <c r="W763" s="1741"/>
      <c r="X763" s="1741"/>
      <c r="Y763" s="1741"/>
      <c r="Z763" s="1741"/>
      <c r="AA763" s="1741"/>
      <c r="AB763" s="1741"/>
      <c r="AC763" s="1741"/>
      <c r="AD763" s="1741"/>
      <c r="AE763" s="1741"/>
      <c r="AF763" s="1741"/>
      <c r="AG763" s="1741"/>
      <c r="AH763" s="174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6">
        <f>CP761*1</f>
        <v>0</v>
      </c>
      <c r="CU763" s="3"/>
      <c r="CV763" s="3"/>
      <c r="CW763" s="3"/>
      <c r="CX763" s="3"/>
      <c r="CY763" s="856">
        <f>CU761*1</f>
        <v>58</v>
      </c>
      <c r="CZ763" s="3"/>
      <c r="DA763" s="3"/>
      <c r="DB763" s="3"/>
      <c r="DC763" s="3"/>
      <c r="DD763" s="856">
        <f>CZ761*2</f>
        <v>62</v>
      </c>
      <c r="DE763" s="3"/>
      <c r="DF763" s="3"/>
      <c r="DG763" s="3"/>
      <c r="DH763" s="3"/>
      <c r="DI763" s="856">
        <f>DE761*3</f>
        <v>99</v>
      </c>
      <c r="DJ763" s="3"/>
      <c r="DK763" s="3"/>
      <c r="DL763" s="3"/>
      <c r="DM763" s="3"/>
      <c r="DN763" s="856">
        <f>DJ761*4</f>
        <v>0</v>
      </c>
      <c r="DO763" s="3"/>
      <c r="DP763" s="3"/>
      <c r="DQ763" s="3"/>
      <c r="DR763" s="3"/>
      <c r="DS763" s="856">
        <f>DO761*5</f>
        <v>0</v>
      </c>
      <c r="DU763" s="856">
        <f>CT763+CY763+DD763+DI763+DN763+DS763</f>
        <v>219</v>
      </c>
      <c r="DV763" s="57" t="s">
        <v>1835</v>
      </c>
      <c r="DW763" s="3"/>
      <c r="DX763" s="3"/>
      <c r="DY763" s="3"/>
      <c r="DZ763" s="3"/>
      <c r="EA763" s="3"/>
      <c r="EB763" s="3"/>
      <c r="EC763" s="3"/>
      <c r="ED763" s="3"/>
      <c r="EE763" s="3"/>
      <c r="EF763" s="3"/>
      <c r="EG763" s="3"/>
      <c r="EH763" s="3"/>
    </row>
    <row r="764" spans="1:185" ht="12.95" customHeight="1">
      <c r="A764" s="3"/>
      <c r="B764" s="3"/>
      <c r="C764" s="118" t="s">
        <v>1863</v>
      </c>
      <c r="D764" s="1026"/>
      <c r="E764" s="1026"/>
      <c r="F764" s="1026"/>
      <c r="G764" s="1027"/>
      <c r="H764" s="1027"/>
      <c r="I764" s="1027"/>
      <c r="J764" s="1027"/>
      <c r="K764" s="1026"/>
      <c r="L764" s="1026"/>
      <c r="M764" s="1026"/>
      <c r="N764" s="1026"/>
      <c r="O764" s="1548">
        <f>DU763</f>
        <v>219</v>
      </c>
      <c r="P764" s="1548"/>
      <c r="Q764" s="1548"/>
      <c r="R764" s="1548"/>
      <c r="S764" s="964"/>
      <c r="T764" s="964"/>
      <c r="U764" s="118" t="s">
        <v>1864</v>
      </c>
      <c r="V764" s="1026"/>
      <c r="W764" s="1026"/>
      <c r="X764" s="1026"/>
      <c r="Y764" s="1027"/>
      <c r="Z764" s="1027"/>
      <c r="AA764" s="1027"/>
      <c r="AB764" s="1027"/>
      <c r="AC764" s="1026"/>
      <c r="AD764" s="1026"/>
      <c r="AE764" s="1026"/>
      <c r="AF764" s="1026"/>
      <c r="AG764" s="1441">
        <v>10</v>
      </c>
      <c r="AH764" s="1441"/>
      <c r="AI764" s="1441"/>
      <c r="AJ764" s="1441"/>
      <c r="AK764" s="3"/>
      <c r="AL764" s="3"/>
      <c r="AM764" s="3"/>
      <c r="AN764" s="3"/>
      <c r="AO764" s="3"/>
      <c r="AP764" s="3"/>
      <c r="AQ764" s="3"/>
      <c r="AR764" s="3"/>
      <c r="AS764" s="3"/>
      <c r="AZ764" s="3"/>
      <c r="BA764" s="3"/>
      <c r="BB764" s="289"/>
      <c r="BC764" s="289"/>
      <c r="BD764" s="289"/>
      <c r="BE764" s="289"/>
      <c r="BF764" s="289"/>
      <c r="BG764" s="289"/>
      <c r="BH764" s="289"/>
      <c r="BI764" s="289"/>
      <c r="BJ764" s="289"/>
      <c r="BK764" s="289"/>
      <c r="BL764" s="289"/>
      <c r="BM764" s="289"/>
      <c r="BN764" s="289"/>
      <c r="BO764" s="289"/>
      <c r="BP764" s="289"/>
      <c r="BQ764" s="289"/>
      <c r="BR764" s="289"/>
      <c r="BS764" s="289"/>
      <c r="BT764" s="289"/>
      <c r="BU764" s="289"/>
      <c r="BV764" s="289"/>
      <c r="BW764" s="289"/>
      <c r="BX764" s="289"/>
      <c r="BY764" s="289"/>
      <c r="BZ764" s="289"/>
      <c r="CA764" s="289"/>
      <c r="CB764" s="289"/>
      <c r="CC764" s="289"/>
      <c r="CE764" s="3"/>
      <c r="CF764" s="289"/>
      <c r="CG764" s="289"/>
      <c r="CH764" s="289"/>
      <c r="CI764" s="289"/>
      <c r="CJ764" s="289"/>
      <c r="CK764" s="289"/>
      <c r="CL764" s="289"/>
      <c r="CM764" s="289"/>
      <c r="CN764" s="289"/>
      <c r="CO764" s="289"/>
      <c r="CP764" s="289"/>
      <c r="CQ764" s="289"/>
      <c r="CR764" s="289"/>
      <c r="CS764" s="289"/>
      <c r="CT764" s="289"/>
      <c r="CU764" s="289"/>
      <c r="CV764" s="289"/>
      <c r="CW764" s="289"/>
      <c r="CX764" s="289"/>
      <c r="CY764" s="289"/>
      <c r="CZ764" s="289"/>
      <c r="DA764" s="289"/>
      <c r="DB764" s="289"/>
      <c r="DC764" s="289"/>
      <c r="DD764" s="289"/>
      <c r="DE764" s="289"/>
      <c r="DF764" s="289"/>
      <c r="DG764" s="289"/>
      <c r="DH764" s="289"/>
      <c r="DI764" s="289"/>
      <c r="DJ764" s="289"/>
      <c r="DK764" s="289"/>
      <c r="DL764" s="289"/>
      <c r="DM764" s="289"/>
      <c r="DN764" s="289"/>
      <c r="DO764" s="289"/>
      <c r="DP764" s="289"/>
      <c r="DQ764" s="289"/>
      <c r="DR764" s="289"/>
      <c r="DS764" s="289"/>
      <c r="DT764" s="289"/>
      <c r="DU764" s="289"/>
      <c r="DV764" s="289"/>
      <c r="DW764" s="289"/>
      <c r="FB764" s="289"/>
      <c r="FC764" s="289"/>
    </row>
    <row r="765" spans="1:185" ht="12.95" customHeight="1">
      <c r="B765" s="57"/>
      <c r="C765" s="1369" t="str">
        <f>IF(G761&lt;&gt;AG449,"! Total Low-Income Units in the Unit Mix Table above does not match the number of Total Low-Income Units on row #"&amp;TEXT(ROW(D449),"#"),"")</f>
        <v/>
      </c>
      <c r="D765" s="1369"/>
      <c r="E765" s="1369"/>
      <c r="F765" s="1369"/>
      <c r="G765" s="1369"/>
      <c r="H765" s="1369"/>
      <c r="I765" s="1369"/>
      <c r="J765" s="1369"/>
      <c r="K765" s="1369"/>
      <c r="L765" s="1369"/>
      <c r="M765" s="1369"/>
      <c r="N765" s="1369"/>
      <c r="O765" s="1369"/>
      <c r="P765" s="1369"/>
      <c r="Q765" s="1369"/>
      <c r="R765" s="1369"/>
      <c r="S765" s="1369"/>
      <c r="T765" s="1369"/>
      <c r="U765" s="1369"/>
      <c r="V765" s="1369"/>
      <c r="W765" s="1369"/>
      <c r="X765" s="1369"/>
      <c r="Y765" s="1369"/>
      <c r="Z765" s="1369"/>
      <c r="AA765" s="1369"/>
      <c r="AB765" s="1369"/>
      <c r="AC765" s="1369"/>
      <c r="AD765" s="1369"/>
      <c r="AE765" s="1369"/>
      <c r="AF765" s="1369"/>
      <c r="AG765" s="1369"/>
      <c r="AH765" s="1369"/>
      <c r="AI765" s="1369"/>
      <c r="AJ765" s="1369"/>
      <c r="AK765" s="1369"/>
      <c r="AL765" s="1369"/>
      <c r="AM765" s="1369"/>
      <c r="AP765" s="289"/>
      <c r="AQ765" s="289"/>
      <c r="AR765" s="289"/>
      <c r="AS765" s="28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69"/>
      <c r="D766" s="1369"/>
      <c r="E766" s="1369"/>
      <c r="F766" s="1369"/>
      <c r="G766" s="1369"/>
      <c r="H766" s="1369"/>
      <c r="I766" s="1369"/>
      <c r="J766" s="1369"/>
      <c r="K766" s="1369"/>
      <c r="L766" s="1369"/>
      <c r="M766" s="1369"/>
      <c r="N766" s="1369"/>
      <c r="O766" s="1369"/>
      <c r="P766" s="1369"/>
      <c r="Q766" s="1369"/>
      <c r="R766" s="1369"/>
      <c r="S766" s="1369"/>
      <c r="T766" s="1369"/>
      <c r="U766" s="1369"/>
      <c r="V766" s="1369"/>
      <c r="W766" s="1369"/>
      <c r="X766" s="1369"/>
      <c r="Y766" s="1369"/>
      <c r="Z766" s="1369"/>
      <c r="AA766" s="1369"/>
      <c r="AB766" s="1369"/>
      <c r="AC766" s="1369"/>
      <c r="AD766" s="1369"/>
      <c r="AE766" s="1369"/>
      <c r="AF766" s="1369"/>
      <c r="AG766" s="1369"/>
      <c r="AH766" s="1369"/>
      <c r="AI766" s="1369"/>
      <c r="AJ766" s="1369"/>
      <c r="AK766" s="1369"/>
      <c r="AL766" s="1369"/>
      <c r="AM766" s="1369"/>
      <c r="AP766" s="289"/>
      <c r="AQ766" s="289"/>
      <c r="AR766" s="289"/>
      <c r="AS766" s="28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c r="Y767" s="1028"/>
      <c r="Z767" s="1028"/>
      <c r="AA767" s="1028"/>
      <c r="AB767" s="1028"/>
      <c r="AC767" s="1028"/>
      <c r="AD767" s="1672" t="s">
        <v>589</v>
      </c>
      <c r="AE767" s="1672"/>
      <c r="AF767" s="1672"/>
      <c r="AG767" s="1028"/>
      <c r="AH767" s="1028"/>
      <c r="AI767" s="1028"/>
      <c r="AJ767" s="1028"/>
      <c r="AK767" s="1028"/>
      <c r="AL767" s="1028"/>
      <c r="AM767" s="1028"/>
      <c r="AN767" s="1028"/>
      <c r="AO767" s="1028"/>
      <c r="AP767" s="1028"/>
      <c r="AQ767" s="1028"/>
      <c r="AR767" s="1028"/>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29" t="s">
        <v>2042</v>
      </c>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c r="Y768" s="1028"/>
      <c r="Z768" s="1028"/>
      <c r="AA768" s="1028"/>
      <c r="AB768" s="1028"/>
      <c r="AC768" s="1028"/>
      <c r="AD768" s="1028"/>
      <c r="AE768" s="1028"/>
      <c r="AF768" s="1028"/>
      <c r="AG768" s="1028"/>
      <c r="AH768" s="1028"/>
      <c r="AI768" s="1028"/>
      <c r="AJ768" s="1028"/>
      <c r="AK768" s="1028"/>
      <c r="AL768" s="1028"/>
      <c r="AM768" s="1028"/>
      <c r="AN768" s="1028"/>
      <c r="AO768" s="1028"/>
      <c r="AP768" s="1028"/>
      <c r="AQ768" s="1028"/>
      <c r="AR768" s="10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6"/>
      <c r="C770" s="118" t="s">
        <v>176</v>
      </c>
      <c r="D770" s="1026"/>
      <c r="E770" s="1026"/>
      <c r="F770" s="1026"/>
      <c r="G770" s="353"/>
      <c r="H770" s="353"/>
      <c r="I770" s="353"/>
      <c r="J770" s="353"/>
      <c r="K770" s="353"/>
      <c r="L770" s="1026"/>
      <c r="M770" s="1026"/>
      <c r="N770" s="1026"/>
      <c r="O770" s="1026"/>
      <c r="P770" s="1026"/>
      <c r="Q770" s="353"/>
      <c r="R770" s="353"/>
      <c r="S770" s="353"/>
      <c r="T770" s="353"/>
      <c r="U770" s="35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6"/>
      <c r="C771" s="1286" t="s">
        <v>2043</v>
      </c>
      <c r="D771" s="1286"/>
      <c r="E771" s="1286"/>
      <c r="F771" s="1286"/>
      <c r="G771" s="1286"/>
      <c r="H771" s="1286"/>
      <c r="I771" s="1286"/>
      <c r="J771" s="1286"/>
      <c r="K771" s="1286"/>
      <c r="L771" s="1286"/>
      <c r="M771" s="1286"/>
      <c r="N771" s="1286"/>
      <c r="O771" s="1286"/>
      <c r="P771" s="1286"/>
      <c r="Q771" s="1286"/>
      <c r="R771" s="1286"/>
      <c r="S771" s="1286"/>
      <c r="T771" s="1286"/>
      <c r="U771" s="1286"/>
      <c r="V771" s="1286"/>
      <c r="W771" s="1286"/>
      <c r="X771" s="1286"/>
      <c r="Y771" s="1286"/>
      <c r="Z771" s="1286"/>
      <c r="AA771" s="1286"/>
      <c r="AB771" s="1286"/>
      <c r="AC771" s="1286"/>
      <c r="AD771" s="1286"/>
      <c r="AE771" s="1286"/>
      <c r="AF771" s="1286"/>
      <c r="AG771" s="1286"/>
      <c r="AH771" s="1286"/>
      <c r="AI771" s="1286"/>
      <c r="AJ771" s="1286"/>
      <c r="AK771" s="1286"/>
      <c r="AL771" s="1286"/>
      <c r="AM771" s="1286"/>
      <c r="AN771" s="1286"/>
      <c r="AO771" s="1286"/>
      <c r="AP771" s="1286"/>
      <c r="AQ771" s="1286"/>
      <c r="AR771" s="128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6"/>
      <c r="C772" s="1286"/>
      <c r="D772" s="1286"/>
      <c r="E772" s="1286"/>
      <c r="F772" s="1286"/>
      <c r="G772" s="1286"/>
      <c r="H772" s="1286"/>
      <c r="I772" s="1286"/>
      <c r="J772" s="1286"/>
      <c r="K772" s="1286"/>
      <c r="L772" s="1286"/>
      <c r="M772" s="1286"/>
      <c r="N772" s="1286"/>
      <c r="O772" s="1286"/>
      <c r="P772" s="1286"/>
      <c r="Q772" s="1286"/>
      <c r="R772" s="1286"/>
      <c r="S772" s="1286"/>
      <c r="T772" s="1286"/>
      <c r="U772" s="1286"/>
      <c r="V772" s="1286"/>
      <c r="W772" s="1286"/>
      <c r="X772" s="1286"/>
      <c r="Y772" s="1286"/>
      <c r="Z772" s="1286"/>
      <c r="AA772" s="1286"/>
      <c r="AB772" s="1286"/>
      <c r="AC772" s="1286"/>
      <c r="AD772" s="1286"/>
      <c r="AE772" s="1286"/>
      <c r="AF772" s="1286"/>
      <c r="AG772" s="1286"/>
      <c r="AH772" s="1286"/>
      <c r="AI772" s="1286"/>
      <c r="AJ772" s="1286"/>
      <c r="AK772" s="1286"/>
      <c r="AL772" s="1286"/>
      <c r="AM772" s="1286"/>
      <c r="AN772" s="1286"/>
      <c r="AO772" s="1286"/>
      <c r="AP772" s="1286"/>
      <c r="AQ772" s="1286"/>
      <c r="AR772" s="128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6"/>
      <c r="C773" s="1286"/>
      <c r="D773" s="1286"/>
      <c r="E773" s="1286"/>
      <c r="F773" s="1286"/>
      <c r="G773" s="1286"/>
      <c r="H773" s="1286"/>
      <c r="I773" s="1286"/>
      <c r="J773" s="1286"/>
      <c r="K773" s="1286"/>
      <c r="L773" s="1286"/>
      <c r="M773" s="1286"/>
      <c r="N773" s="1286"/>
      <c r="O773" s="1286"/>
      <c r="P773" s="1286"/>
      <c r="Q773" s="1286"/>
      <c r="R773" s="1286"/>
      <c r="S773" s="1286"/>
      <c r="T773" s="1286"/>
      <c r="U773" s="1286"/>
      <c r="V773" s="1286"/>
      <c r="W773" s="1286"/>
      <c r="X773" s="1286"/>
      <c r="Y773" s="1286"/>
      <c r="Z773" s="1286"/>
      <c r="AA773" s="1286"/>
      <c r="AB773" s="1286"/>
      <c r="AC773" s="1286"/>
      <c r="AD773" s="1286"/>
      <c r="AE773" s="1286"/>
      <c r="AF773" s="1286"/>
      <c r="AG773" s="1286"/>
      <c r="AH773" s="1286"/>
      <c r="AI773" s="1286"/>
      <c r="AJ773" s="1286"/>
      <c r="AK773" s="1286"/>
      <c r="AL773" s="1286"/>
      <c r="AM773" s="1286"/>
      <c r="AN773" s="1286"/>
      <c r="AO773" s="1286"/>
      <c r="AP773" s="1286"/>
      <c r="AQ773" s="1286"/>
      <c r="AR773" s="128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6"/>
      <c r="C774" s="1286" t="s">
        <v>2044</v>
      </c>
      <c r="D774" s="1286"/>
      <c r="E774" s="1286"/>
      <c r="F774" s="1286"/>
      <c r="G774" s="1286"/>
      <c r="H774" s="1286"/>
      <c r="I774" s="1286"/>
      <c r="J774" s="1286"/>
      <c r="K774" s="1286"/>
      <c r="L774" s="1286"/>
      <c r="M774" s="1286"/>
      <c r="N774" s="1286"/>
      <c r="O774" s="1286"/>
      <c r="P774" s="1286"/>
      <c r="Q774" s="1286"/>
      <c r="R774" s="1286"/>
      <c r="S774" s="1286"/>
      <c r="T774" s="1286"/>
      <c r="U774" s="1286"/>
      <c r="V774" s="1286"/>
      <c r="W774" s="1286"/>
      <c r="X774" s="1286"/>
      <c r="Y774" s="1286"/>
      <c r="Z774" s="1286"/>
      <c r="AA774" s="1286"/>
      <c r="AB774" s="1286"/>
      <c r="AC774" s="1286"/>
      <c r="AD774" s="1286"/>
      <c r="AE774" s="1286"/>
      <c r="AF774" s="1286"/>
      <c r="AG774" s="1286"/>
      <c r="AH774" s="1286"/>
      <c r="AI774" s="1286"/>
      <c r="AJ774" s="1286"/>
      <c r="AK774" s="1286"/>
      <c r="AL774" s="1286"/>
      <c r="AM774" s="1286"/>
      <c r="AN774" s="1286"/>
      <c r="AO774" s="1286"/>
      <c r="AP774" s="1286"/>
      <c r="AQ774" s="1286"/>
      <c r="AR774" s="128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89"/>
      <c r="DY774" s="289"/>
      <c r="DZ774" s="289"/>
      <c r="EA774" s="289"/>
      <c r="EB774" s="289"/>
      <c r="EC774" s="289"/>
      <c r="ED774" s="289"/>
      <c r="EE774" s="289"/>
      <c r="EF774" s="289"/>
      <c r="EG774" s="289"/>
      <c r="EH774" s="289"/>
      <c r="EI774" s="289"/>
      <c r="EJ774" s="289"/>
      <c r="EK774" s="289"/>
      <c r="EL774" s="289"/>
      <c r="EM774" s="289"/>
      <c r="EN774" s="289"/>
      <c r="EO774" s="289"/>
      <c r="EP774" s="289"/>
      <c r="EQ774" s="289"/>
      <c r="ER774" s="289"/>
      <c r="ES774" s="289"/>
      <c r="ET774" s="289"/>
      <c r="EU774" s="289"/>
      <c r="EV774" s="289"/>
      <c r="EW774" s="289"/>
      <c r="EX774" s="289"/>
      <c r="EY774" s="289"/>
      <c r="EZ774" s="289"/>
      <c r="FA774" s="289"/>
    </row>
    <row r="775" spans="1:159" ht="12.95" customHeight="1">
      <c r="A775" s="3"/>
      <c r="B775" s="1026"/>
      <c r="C775" s="1286"/>
      <c r="D775" s="1286"/>
      <c r="E775" s="1286"/>
      <c r="F775" s="1286"/>
      <c r="G775" s="1286"/>
      <c r="H775" s="1286"/>
      <c r="I775" s="1286"/>
      <c r="J775" s="1286"/>
      <c r="K775" s="1286"/>
      <c r="L775" s="1286"/>
      <c r="M775" s="1286"/>
      <c r="N775" s="1286"/>
      <c r="O775" s="1286"/>
      <c r="P775" s="1286"/>
      <c r="Q775" s="1286"/>
      <c r="R775" s="1286"/>
      <c r="S775" s="1286"/>
      <c r="T775" s="1286"/>
      <c r="U775" s="1286"/>
      <c r="V775" s="1286"/>
      <c r="W775" s="1286"/>
      <c r="X775" s="1286"/>
      <c r="Y775" s="1286"/>
      <c r="Z775" s="1286"/>
      <c r="AA775" s="1286"/>
      <c r="AB775" s="1286"/>
      <c r="AC775" s="1286"/>
      <c r="AD775" s="1286"/>
      <c r="AE775" s="1286"/>
      <c r="AF775" s="1286"/>
      <c r="AG775" s="1286"/>
      <c r="AH775" s="1286"/>
      <c r="AI775" s="1286"/>
      <c r="AJ775" s="1286"/>
      <c r="AK775" s="1286"/>
      <c r="AL775" s="1286"/>
      <c r="AM775" s="1286"/>
      <c r="AN775" s="1286"/>
      <c r="AO775" s="1286"/>
      <c r="AP775" s="1286"/>
      <c r="AQ775" s="1286"/>
      <c r="AR775" s="128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6"/>
      <c r="C776" s="1286"/>
      <c r="D776" s="1286"/>
      <c r="E776" s="1286"/>
      <c r="F776" s="1286"/>
      <c r="G776" s="1286"/>
      <c r="H776" s="1286"/>
      <c r="I776" s="1286"/>
      <c r="J776" s="1286"/>
      <c r="K776" s="1286"/>
      <c r="L776" s="1286"/>
      <c r="M776" s="1286"/>
      <c r="N776" s="1286"/>
      <c r="O776" s="1286"/>
      <c r="P776" s="1286"/>
      <c r="Q776" s="1286"/>
      <c r="R776" s="1286"/>
      <c r="S776" s="1286"/>
      <c r="T776" s="1286"/>
      <c r="U776" s="1286"/>
      <c r="V776" s="1286"/>
      <c r="W776" s="1286"/>
      <c r="X776" s="1286"/>
      <c r="Y776" s="1286"/>
      <c r="Z776" s="1286"/>
      <c r="AA776" s="1286"/>
      <c r="AB776" s="1286"/>
      <c r="AC776" s="1286"/>
      <c r="AD776" s="1286"/>
      <c r="AE776" s="1286"/>
      <c r="AF776" s="1286"/>
      <c r="AG776" s="1286"/>
      <c r="AH776" s="1286"/>
      <c r="AI776" s="1286"/>
      <c r="AJ776" s="1286"/>
      <c r="AK776" s="1286"/>
      <c r="AL776" s="1286"/>
      <c r="AM776" s="1286"/>
      <c r="AN776" s="1286"/>
      <c r="AO776" s="1286"/>
      <c r="AP776" s="1286"/>
      <c r="AQ776" s="1286"/>
      <c r="AR776" s="128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9" t="s">
        <v>388</v>
      </c>
      <c r="K777" s="1430"/>
      <c r="L777" s="1430"/>
      <c r="M777" s="1430"/>
      <c r="N777" s="1431"/>
      <c r="O777" s="1489" t="s">
        <v>284</v>
      </c>
      <c r="P777" s="1489"/>
      <c r="Q777" s="1489"/>
      <c r="R777" s="1489"/>
      <c r="S777" s="1489"/>
      <c r="T777" s="1732" t="s">
        <v>1666</v>
      </c>
      <c r="U777" s="1733"/>
      <c r="V777" s="1733"/>
      <c r="W777" s="1734"/>
      <c r="X777" s="1429" t="s">
        <v>445</v>
      </c>
      <c r="Y777" s="1430"/>
      <c r="Z777" s="1430"/>
      <c r="AA777" s="1430"/>
      <c r="AB777" s="1431"/>
      <c r="AC777" s="1429" t="s">
        <v>285</v>
      </c>
      <c r="AD777" s="1430"/>
      <c r="AE777" s="1430"/>
      <c r="AF777" s="1430"/>
      <c r="AG777" s="1431"/>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32"/>
      <c r="K778" s="1433"/>
      <c r="L778" s="1433"/>
      <c r="M778" s="1433"/>
      <c r="N778" s="1434"/>
      <c r="O778" s="1489"/>
      <c r="P778" s="1489"/>
      <c r="Q778" s="1489"/>
      <c r="R778" s="1489"/>
      <c r="S778" s="1489"/>
      <c r="T778" s="1735"/>
      <c r="U778" s="1736"/>
      <c r="V778" s="1736"/>
      <c r="W778" s="1737"/>
      <c r="X778" s="1432"/>
      <c r="Y778" s="1433"/>
      <c r="Z778" s="1433"/>
      <c r="AA778" s="1433"/>
      <c r="AB778" s="1434"/>
      <c r="AC778" s="1432"/>
      <c r="AD778" s="1433"/>
      <c r="AE778" s="1433"/>
      <c r="AF778" s="1433"/>
      <c r="AG778" s="1434"/>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32"/>
      <c r="K779" s="1433"/>
      <c r="L779" s="1433"/>
      <c r="M779" s="1433"/>
      <c r="N779" s="1434"/>
      <c r="O779" s="1489"/>
      <c r="P779" s="1489"/>
      <c r="Q779" s="1489"/>
      <c r="R779" s="1489"/>
      <c r="S779" s="1489"/>
      <c r="T779" s="1735"/>
      <c r="U779" s="1736"/>
      <c r="V779" s="1736"/>
      <c r="W779" s="1737"/>
      <c r="X779" s="1432"/>
      <c r="Y779" s="1433"/>
      <c r="Z779" s="1433"/>
      <c r="AA779" s="1433"/>
      <c r="AB779" s="1434"/>
      <c r="AC779" s="1432"/>
      <c r="AD779" s="1433"/>
      <c r="AE779" s="1433"/>
      <c r="AF779" s="1433"/>
      <c r="AG779" s="1434"/>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5"/>
      <c r="K780" s="1436"/>
      <c r="L780" s="1436"/>
      <c r="M780" s="1436"/>
      <c r="N780" s="1437"/>
      <c r="O780" s="1489"/>
      <c r="P780" s="1489"/>
      <c r="Q780" s="1489"/>
      <c r="R780" s="1489"/>
      <c r="S780" s="1489"/>
      <c r="T780" s="1738"/>
      <c r="U780" s="1739"/>
      <c r="V780" s="1739"/>
      <c r="W780" s="1740"/>
      <c r="X780" s="1435"/>
      <c r="Y780" s="1436"/>
      <c r="Z780" s="1436"/>
      <c r="AA780" s="1436"/>
      <c r="AB780" s="1437"/>
      <c r="AC780" s="1435"/>
      <c r="AD780" s="1436"/>
      <c r="AE780" s="1436"/>
      <c r="AF780" s="1436"/>
      <c r="AG780" s="1437"/>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6" t="s">
        <v>163</v>
      </c>
      <c r="K781" s="1377"/>
      <c r="L781" s="1377"/>
      <c r="M781" s="1377"/>
      <c r="N781" s="1378"/>
      <c r="O781" s="1488">
        <v>2</v>
      </c>
      <c r="P781" s="1488"/>
      <c r="Q781" s="1488"/>
      <c r="R781" s="1488"/>
      <c r="S781" s="1488"/>
      <c r="T781" s="1373">
        <v>804</v>
      </c>
      <c r="U781" s="1374"/>
      <c r="V781" s="1374"/>
      <c r="W781" s="1375"/>
      <c r="X781" s="1415">
        <v>0</v>
      </c>
      <c r="Y781" s="1416"/>
      <c r="Z781" s="1416"/>
      <c r="AA781" s="1416"/>
      <c r="AB781" s="1417"/>
      <c r="AC781" s="1418">
        <f>X781*O781</f>
        <v>0</v>
      </c>
      <c r="AD781" s="1414"/>
      <c r="AE781" s="1414"/>
      <c r="AF781" s="1414"/>
      <c r="AG781" s="1419"/>
      <c r="AH781" s="1015"/>
      <c r="AI781" s="116"/>
      <c r="AJ781" s="116"/>
      <c r="AK781" s="1015"/>
      <c r="AL781" s="10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5">
        <f>IF(J781="SRO/Studio",O781,0)</f>
        <v>0</v>
      </c>
      <c r="CQ781" s="1546"/>
      <c r="CR781" s="1546"/>
      <c r="CS781" s="1546"/>
      <c r="CT781" s="1547"/>
      <c r="CU781" s="1549">
        <f>IF(J781="1 Bedroom",O781,0)</f>
        <v>0</v>
      </c>
      <c r="CV781" s="1549"/>
      <c r="CW781" s="1549"/>
      <c r="CX781" s="1549"/>
      <c r="CY781" s="1549"/>
      <c r="CZ781" s="1549">
        <f>IF(J781="2 Bedrooms",O781,0)</f>
        <v>2</v>
      </c>
      <c r="DA781" s="1549"/>
      <c r="DB781" s="1549"/>
      <c r="DC781" s="1549"/>
      <c r="DD781" s="1549"/>
      <c r="DE781" s="1549">
        <f>IF(J781="3 Bedrooms",O781,0)</f>
        <v>0</v>
      </c>
      <c r="DF781" s="1549"/>
      <c r="DG781" s="1549"/>
      <c r="DH781" s="1549"/>
      <c r="DI781" s="1549"/>
      <c r="DJ781" s="1549">
        <f>IF(J781="4 Bedrooms",O781,0)</f>
        <v>0</v>
      </c>
      <c r="DK781" s="1549"/>
      <c r="DL781" s="1549"/>
      <c r="DM781" s="1549"/>
      <c r="DN781" s="1549"/>
      <c r="DO781" s="1549">
        <f>IF(J781="5 Bedrooms",O781,0)</f>
        <v>0</v>
      </c>
      <c r="DP781" s="1549"/>
      <c r="DQ781" s="1549"/>
      <c r="DR781" s="1549"/>
      <c r="DS781" s="1549"/>
      <c r="DT781" s="6"/>
      <c r="DU781" s="3"/>
      <c r="DV781" s="3"/>
    </row>
    <row r="782" spans="1:159" ht="12.95" customHeight="1">
      <c r="J782" s="1376"/>
      <c r="K782" s="1377"/>
      <c r="L782" s="1377"/>
      <c r="M782" s="1377"/>
      <c r="N782" s="1378"/>
      <c r="O782" s="1488"/>
      <c r="P782" s="1488"/>
      <c r="Q782" s="1488"/>
      <c r="R782" s="1488"/>
      <c r="S782" s="1488"/>
      <c r="T782" s="1373"/>
      <c r="U782" s="1374"/>
      <c r="V782" s="1374"/>
      <c r="W782" s="1375"/>
      <c r="X782" s="1415"/>
      <c r="Y782" s="1416"/>
      <c r="Z782" s="1416"/>
      <c r="AA782" s="1416"/>
      <c r="AB782" s="1417"/>
      <c r="AC782" s="1418">
        <f>X782*O782</f>
        <v>0</v>
      </c>
      <c r="AD782" s="1414"/>
      <c r="AE782" s="1414"/>
      <c r="AF782" s="1414"/>
      <c r="AG782" s="1419"/>
      <c r="AH782" s="1015"/>
      <c r="AI782" s="1015"/>
      <c r="AJ782" s="1015"/>
      <c r="AK782" s="1015"/>
      <c r="AL782" s="101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5">
        <f>IF(J782="SRO/Studio",O782,0)</f>
        <v>0</v>
      </c>
      <c r="CQ782" s="1546"/>
      <c r="CR782" s="1546"/>
      <c r="CS782" s="1546"/>
      <c r="CT782" s="1547"/>
      <c r="CU782" s="1549">
        <f>IF(J782="1 Bedroom",O782,0)</f>
        <v>0</v>
      </c>
      <c r="CV782" s="1549"/>
      <c r="CW782" s="1549"/>
      <c r="CX782" s="1549"/>
      <c r="CY782" s="1549"/>
      <c r="CZ782" s="1549">
        <f>IF(J782="2 Bedrooms",O782,0)</f>
        <v>0</v>
      </c>
      <c r="DA782" s="1549"/>
      <c r="DB782" s="1549"/>
      <c r="DC782" s="1549"/>
      <c r="DD782" s="1549"/>
      <c r="DE782" s="1549">
        <f>IF(J782="3 Bedrooms",O782,0)</f>
        <v>0</v>
      </c>
      <c r="DF782" s="1549"/>
      <c r="DG782" s="1549"/>
      <c r="DH782" s="1549"/>
      <c r="DI782" s="1549"/>
      <c r="DJ782" s="1549">
        <f>IF(J782="4 Bedrooms",O782,0)</f>
        <v>0</v>
      </c>
      <c r="DK782" s="1549"/>
      <c r="DL782" s="1549"/>
      <c r="DM782" s="1549"/>
      <c r="DN782" s="1549"/>
      <c r="DO782" s="1549">
        <f>IF(J782="5 Bedrooms",O782,0)</f>
        <v>0</v>
      </c>
      <c r="DP782" s="1549"/>
      <c r="DQ782" s="1549"/>
      <c r="DR782" s="1549"/>
      <c r="DS782" s="1549"/>
      <c r="DT782" s="6"/>
      <c r="DU782" s="3"/>
      <c r="DV782" s="3"/>
    </row>
    <row r="783" spans="1:159" ht="12.95" customHeight="1">
      <c r="J783" s="1376"/>
      <c r="K783" s="1377"/>
      <c r="L783" s="1377"/>
      <c r="M783" s="1377"/>
      <c r="N783" s="1378"/>
      <c r="O783" s="1488"/>
      <c r="P783" s="1488"/>
      <c r="Q783" s="1488"/>
      <c r="R783" s="1488"/>
      <c r="S783" s="1488"/>
      <c r="T783" s="1373"/>
      <c r="U783" s="1374"/>
      <c r="V783" s="1374"/>
      <c r="W783" s="1375"/>
      <c r="X783" s="1415"/>
      <c r="Y783" s="1416"/>
      <c r="Z783" s="1416"/>
      <c r="AA783" s="1416"/>
      <c r="AB783" s="1417"/>
      <c r="AC783" s="1418">
        <f>X783*O783</f>
        <v>0</v>
      </c>
      <c r="AD783" s="1414"/>
      <c r="AE783" s="1414"/>
      <c r="AF783" s="1414"/>
      <c r="AG783" s="1419"/>
      <c r="AH783" s="1015"/>
      <c r="AI783" s="1015"/>
      <c r="AJ783" s="1015"/>
      <c r="AK783" s="1015"/>
      <c r="AL783" s="101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5">
        <f>IF(J783="SRO/Studio",O783,0)</f>
        <v>0</v>
      </c>
      <c r="CQ783" s="1546"/>
      <c r="CR783" s="1546"/>
      <c r="CS783" s="1546"/>
      <c r="CT783" s="1547"/>
      <c r="CU783" s="1549">
        <f>IF(J783="1 Bedroom",O783,0)</f>
        <v>0</v>
      </c>
      <c r="CV783" s="1549"/>
      <c r="CW783" s="1549"/>
      <c r="CX783" s="1549"/>
      <c r="CY783" s="1549"/>
      <c r="CZ783" s="1549">
        <f>IF(J783="2 Bedrooms",O783,0)</f>
        <v>0</v>
      </c>
      <c r="DA783" s="1549"/>
      <c r="DB783" s="1549"/>
      <c r="DC783" s="1549"/>
      <c r="DD783" s="1549"/>
      <c r="DE783" s="1549">
        <f>IF(J783="3 Bedrooms",O783,0)</f>
        <v>0</v>
      </c>
      <c r="DF783" s="1549"/>
      <c r="DG783" s="1549"/>
      <c r="DH783" s="1549"/>
      <c r="DI783" s="1549"/>
      <c r="DJ783" s="1549">
        <f>IF(J783="4 Bedrooms",O783,0)</f>
        <v>0</v>
      </c>
      <c r="DK783" s="1549"/>
      <c r="DL783" s="1549"/>
      <c r="DM783" s="1549"/>
      <c r="DN783" s="1549"/>
      <c r="DO783" s="1549">
        <f>IF(J783="5 Bedrooms",O783,0)</f>
        <v>0</v>
      </c>
      <c r="DP783" s="1549"/>
      <c r="DQ783" s="1549"/>
      <c r="DR783" s="1549"/>
      <c r="DS783" s="1549"/>
      <c r="DT783" s="1006"/>
    </row>
    <row r="784" spans="1:159" ht="12.95" customHeight="1">
      <c r="J784" s="1376"/>
      <c r="K784" s="1377"/>
      <c r="L784" s="1377"/>
      <c r="M784" s="1377"/>
      <c r="N784" s="1378"/>
      <c r="O784" s="1488"/>
      <c r="P784" s="1488"/>
      <c r="Q784" s="1488"/>
      <c r="R784" s="1488"/>
      <c r="S784" s="1488"/>
      <c r="T784" s="1373"/>
      <c r="U784" s="1374"/>
      <c r="V784" s="1374"/>
      <c r="W784" s="1375"/>
      <c r="X784" s="1415"/>
      <c r="Y784" s="1416"/>
      <c r="Z784" s="1416"/>
      <c r="AA784" s="1416"/>
      <c r="AB784" s="1417"/>
      <c r="AC784" s="1418">
        <f>X784*O784</f>
        <v>0</v>
      </c>
      <c r="AD784" s="1414"/>
      <c r="AE784" s="1414"/>
      <c r="AF784" s="1414"/>
      <c r="AG784" s="1419"/>
      <c r="AH784" s="1015"/>
      <c r="AI784" s="1015"/>
      <c r="AJ784" s="1015"/>
      <c r="AK784" s="1015"/>
      <c r="AL784" s="101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5">
        <f>IF(J784="SRO/Studio",O784,0)</f>
        <v>0</v>
      </c>
      <c r="CQ784" s="1546"/>
      <c r="CR784" s="1546"/>
      <c r="CS784" s="1546"/>
      <c r="CT784" s="1547"/>
      <c r="CU784" s="1549">
        <f>IF(J784="1 Bedroom",O784,0)</f>
        <v>0</v>
      </c>
      <c r="CV784" s="1549"/>
      <c r="CW784" s="1549"/>
      <c r="CX784" s="1549"/>
      <c r="CY784" s="1549"/>
      <c r="CZ784" s="1549">
        <f>IF(J784="2 Bedrooms",O784,0)</f>
        <v>0</v>
      </c>
      <c r="DA784" s="1549"/>
      <c r="DB784" s="1549"/>
      <c r="DC784" s="1549"/>
      <c r="DD784" s="1549"/>
      <c r="DE784" s="1549">
        <f>IF(J784="3 Bedrooms",O784,0)</f>
        <v>0</v>
      </c>
      <c r="DF784" s="1549"/>
      <c r="DG784" s="1549"/>
      <c r="DH784" s="1549"/>
      <c r="DI784" s="1549"/>
      <c r="DJ784" s="1549">
        <f>IF(J784="4 Bedrooms",O784,0)</f>
        <v>0</v>
      </c>
      <c r="DK784" s="1549"/>
      <c r="DL784" s="1549"/>
      <c r="DM784" s="1549"/>
      <c r="DN784" s="1549"/>
      <c r="DO784" s="1549">
        <f>IF(J784="5 Bedrooms",O784,0)</f>
        <v>0</v>
      </c>
      <c r="DP784" s="1549"/>
      <c r="DQ784" s="1549"/>
      <c r="DR784" s="1549"/>
      <c r="DS784" s="1549"/>
    </row>
    <row r="785" spans="1:154" ht="12.95" customHeight="1">
      <c r="J785" s="1539" t="s">
        <v>125</v>
      </c>
      <c r="K785" s="1540"/>
      <c r="L785" s="1540"/>
      <c r="M785" s="1540"/>
      <c r="N785" s="1541"/>
      <c r="O785" s="1552">
        <f>SUM(O781:S784)</f>
        <v>2</v>
      </c>
      <c r="P785" s="1759"/>
      <c r="Q785" s="1759"/>
      <c r="R785" s="1759"/>
      <c r="S785" s="1553"/>
      <c r="X785" s="1539" t="s">
        <v>124</v>
      </c>
      <c r="Y785" s="1540"/>
      <c r="Z785" s="1540"/>
      <c r="AA785" s="1540"/>
      <c r="AB785" s="1541"/>
      <c r="AC785" s="1418">
        <f>SUM(AC781:AG784)</f>
        <v>0</v>
      </c>
      <c r="AD785" s="1414"/>
      <c r="AE785" s="1414"/>
      <c r="AF785" s="1414"/>
      <c r="AG785" s="1419"/>
      <c r="AI785" s="1015"/>
      <c r="AJ785" s="101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2">
        <f>SUM(CP781:CT784)</f>
        <v>0</v>
      </c>
      <c r="CQ785" s="1759"/>
      <c r="CR785" s="1759"/>
      <c r="CS785" s="1759"/>
      <c r="CT785" s="1553"/>
      <c r="CU785" s="1557">
        <f>SUM(CU781:CY784)</f>
        <v>0</v>
      </c>
      <c r="CV785" s="1558"/>
      <c r="CW785" s="1558"/>
      <c r="CX785" s="1558"/>
      <c r="CY785" s="1559"/>
      <c r="CZ785" s="1557">
        <f>SUM(CZ781:DD784)</f>
        <v>2</v>
      </c>
      <c r="DA785" s="1558"/>
      <c r="DB785" s="1558"/>
      <c r="DC785" s="1558"/>
      <c r="DD785" s="1559"/>
      <c r="DE785" s="1557">
        <f>SUM(DE781:DI784)</f>
        <v>0</v>
      </c>
      <c r="DF785" s="1558"/>
      <c r="DG785" s="1558"/>
      <c r="DH785" s="1558"/>
      <c r="DI785" s="1559"/>
      <c r="DJ785" s="1557">
        <f>SUM(DJ781:DN784)</f>
        <v>0</v>
      </c>
      <c r="DK785" s="1558"/>
      <c r="DL785" s="1558"/>
      <c r="DM785" s="1558"/>
      <c r="DN785" s="1559"/>
      <c r="DO785" s="1557">
        <f>SUM(DO781:DS784)</f>
        <v>0</v>
      </c>
      <c r="DP785" s="1558"/>
      <c r="DQ785" s="1558"/>
      <c r="DR785" s="1558"/>
      <c r="DS785" s="1559"/>
      <c r="DU785" s="856">
        <f>CP785+CU785+CZ785+DE785+DJ785+DO785</f>
        <v>2</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6">
        <f>CP785*1</f>
        <v>0</v>
      </c>
      <c r="CU786" s="3"/>
      <c r="CV786" s="3"/>
      <c r="CW786" s="3"/>
      <c r="CX786" s="3"/>
      <c r="CY786" s="856">
        <f>CU785*1</f>
        <v>0</v>
      </c>
      <c r="CZ786" s="3"/>
      <c r="DA786" s="3"/>
      <c r="DB786" s="3"/>
      <c r="DC786" s="3"/>
      <c r="DD786" s="856">
        <f>CZ785*2</f>
        <v>4</v>
      </c>
      <c r="DE786" s="3"/>
      <c r="DF786" s="3"/>
      <c r="DG786" s="3"/>
      <c r="DH786" s="3"/>
      <c r="DI786" s="856">
        <f>DE785*3</f>
        <v>0</v>
      </c>
      <c r="DJ786" s="3"/>
      <c r="DK786" s="3"/>
      <c r="DL786" s="3"/>
      <c r="DM786" s="3"/>
      <c r="DN786" s="856">
        <f>DJ785*4</f>
        <v>0</v>
      </c>
      <c r="DO786" s="3"/>
      <c r="DP786" s="3"/>
      <c r="DQ786" s="3"/>
      <c r="DR786" s="3"/>
      <c r="DS786" s="856">
        <f>DO785*5</f>
        <v>0</v>
      </c>
      <c r="DU786" s="856">
        <f>CT786+CY786+DD786+DI786+DN786+DS786</f>
        <v>4</v>
      </c>
      <c r="DV786" s="57" t="s">
        <v>1834</v>
      </c>
    </row>
    <row r="787" spans="1:154" ht="12.95" customHeight="1">
      <c r="B787" s="56"/>
      <c r="C787" s="56"/>
      <c r="D787" s="56"/>
      <c r="E787" s="56"/>
      <c r="F787" s="56"/>
      <c r="G787" s="6"/>
      <c r="H787" s="6"/>
      <c r="I787" s="6"/>
      <c r="J787" s="1537" t="s">
        <v>667</v>
      </c>
      <c r="K787" s="1537"/>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1"/>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9" t="s">
        <v>388</v>
      </c>
      <c r="K791" s="1430"/>
      <c r="L791" s="1430"/>
      <c r="M791" s="1430"/>
      <c r="N791" s="1431"/>
      <c r="O791" s="1489" t="s">
        <v>284</v>
      </c>
      <c r="P791" s="1489"/>
      <c r="Q791" s="1489"/>
      <c r="R791" s="1489"/>
      <c r="S791" s="1489"/>
      <c r="T791" s="1732" t="s">
        <v>1666</v>
      </c>
      <c r="U791" s="1733"/>
      <c r="V791" s="1733"/>
      <c r="W791" s="1734"/>
      <c r="X791" s="1429" t="s">
        <v>445</v>
      </c>
      <c r="Y791" s="1430"/>
      <c r="Z791" s="1430"/>
      <c r="AA791" s="1430"/>
      <c r="AB791" s="1431"/>
      <c r="AC791" s="1429" t="s">
        <v>285</v>
      </c>
      <c r="AD791" s="1430"/>
      <c r="AE791" s="1430"/>
      <c r="AF791" s="1430"/>
      <c r="AG791" s="143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32"/>
      <c r="K792" s="1433"/>
      <c r="L792" s="1433"/>
      <c r="M792" s="1433"/>
      <c r="N792" s="1434"/>
      <c r="O792" s="1489"/>
      <c r="P792" s="1489"/>
      <c r="Q792" s="1489"/>
      <c r="R792" s="1489"/>
      <c r="S792" s="1489"/>
      <c r="T792" s="1735"/>
      <c r="U792" s="1736"/>
      <c r="V792" s="1736"/>
      <c r="W792" s="1737"/>
      <c r="X792" s="1432"/>
      <c r="Y792" s="1433"/>
      <c r="Z792" s="1433"/>
      <c r="AA792" s="1433"/>
      <c r="AB792" s="1434"/>
      <c r="AC792" s="1432"/>
      <c r="AD792" s="1433"/>
      <c r="AE792" s="1433"/>
      <c r="AF792" s="1433"/>
      <c r="AG792" s="143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32"/>
      <c r="K793" s="1433"/>
      <c r="L793" s="1433"/>
      <c r="M793" s="1433"/>
      <c r="N793" s="1434"/>
      <c r="O793" s="1489"/>
      <c r="P793" s="1489"/>
      <c r="Q793" s="1489"/>
      <c r="R793" s="1489"/>
      <c r="S793" s="1489"/>
      <c r="T793" s="1735"/>
      <c r="U793" s="1736"/>
      <c r="V793" s="1736"/>
      <c r="W793" s="1737"/>
      <c r="X793" s="1432"/>
      <c r="Y793" s="1433"/>
      <c r="Z793" s="1433"/>
      <c r="AA793" s="1433"/>
      <c r="AB793" s="1434"/>
      <c r="AC793" s="1432"/>
      <c r="AD793" s="1433"/>
      <c r="AE793" s="1433"/>
      <c r="AF793" s="1433"/>
      <c r="AG793" s="143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5"/>
      <c r="K794" s="1436"/>
      <c r="L794" s="1436"/>
      <c r="M794" s="1436"/>
      <c r="N794" s="1437"/>
      <c r="O794" s="1489"/>
      <c r="P794" s="1489"/>
      <c r="Q794" s="1489"/>
      <c r="R794" s="1489"/>
      <c r="S794" s="1489"/>
      <c r="T794" s="1738"/>
      <c r="U794" s="1739"/>
      <c r="V794" s="1739"/>
      <c r="W794" s="1740"/>
      <c r="X794" s="1435"/>
      <c r="Y794" s="1436"/>
      <c r="Z794" s="1436"/>
      <c r="AA794" s="1436"/>
      <c r="AB794" s="1437"/>
      <c r="AC794" s="1435"/>
      <c r="AD794" s="1436"/>
      <c r="AE794" s="1436"/>
      <c r="AF794" s="1436"/>
      <c r="AG794" s="143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76"/>
      <c r="K795" s="1377"/>
      <c r="L795" s="1377"/>
      <c r="M795" s="1377"/>
      <c r="N795" s="1378"/>
      <c r="O795" s="1488"/>
      <c r="P795" s="1488"/>
      <c r="Q795" s="1488"/>
      <c r="R795" s="1488"/>
      <c r="S795" s="1488"/>
      <c r="T795" s="1373"/>
      <c r="U795" s="1374"/>
      <c r="V795" s="1374"/>
      <c r="W795" s="1375"/>
      <c r="X795" s="1415"/>
      <c r="Y795" s="1416"/>
      <c r="Z795" s="1416"/>
      <c r="AA795" s="1416"/>
      <c r="AB795" s="1417"/>
      <c r="AC795" s="1418">
        <f t="shared" ref="AC795:AC804" si="42">X795*O795</f>
        <v>0</v>
      </c>
      <c r="AD795" s="1414"/>
      <c r="AE795" s="1414"/>
      <c r="AF795" s="1414"/>
      <c r="AG795" s="141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5">
        <f t="shared" ref="CP795:CP804" si="43">IF(J795="SRO/Studio",O795,0)</f>
        <v>0</v>
      </c>
      <c r="CQ795" s="1546"/>
      <c r="CR795" s="1546"/>
      <c r="CS795" s="1546"/>
      <c r="CT795" s="1547"/>
      <c r="CU795" s="1545">
        <f t="shared" ref="CU795:CU804" si="44">IF(J795="1 Bedroom",O795,0)</f>
        <v>0</v>
      </c>
      <c r="CV795" s="1546"/>
      <c r="CW795" s="1546"/>
      <c r="CX795" s="1546"/>
      <c r="CY795" s="1547"/>
      <c r="CZ795" s="1545">
        <f t="shared" ref="CZ795:CZ804" si="45">IF(J795="2 Bedrooms",O795,0)</f>
        <v>0</v>
      </c>
      <c r="DA795" s="1546"/>
      <c r="DB795" s="1546"/>
      <c r="DC795" s="1546"/>
      <c r="DD795" s="1547"/>
      <c r="DE795" s="1545">
        <f t="shared" ref="DE795:DE804" si="46">IF(J795="3 Bedrooms",O795,0)</f>
        <v>0</v>
      </c>
      <c r="DF795" s="1546"/>
      <c r="DG795" s="1546"/>
      <c r="DH795" s="1546"/>
      <c r="DI795" s="1547"/>
      <c r="DJ795" s="1545">
        <f t="shared" ref="DJ795:DJ804" si="47">IF(J795="4 Bedrooms",O795,0)</f>
        <v>0</v>
      </c>
      <c r="DK795" s="1546"/>
      <c r="DL795" s="1546"/>
      <c r="DM795" s="1546"/>
      <c r="DN795" s="1547"/>
      <c r="DO795" s="1545">
        <f t="shared" ref="DO795:DO804" si="48">IF(J795="5 Bedrooms",O795,0)</f>
        <v>0</v>
      </c>
      <c r="DP795" s="1546"/>
      <c r="DQ795" s="1546"/>
      <c r="DR795" s="1546"/>
      <c r="DS795" s="1547"/>
      <c r="DT795" s="6"/>
      <c r="DU795" s="1545">
        <f t="shared" ref="DU795:DU804" si="49">IF(AND(CP795&gt;=1,AH795&gt;=0.1,AH795&lt;=1),O795,0)</f>
        <v>0</v>
      </c>
      <c r="DV795" s="1546"/>
      <c r="DW795" s="1546"/>
      <c r="DX795" s="1546"/>
      <c r="DY795" s="1547"/>
      <c r="DZ795" s="1545">
        <f t="shared" ref="DZ795:DZ804" si="50">IF(AND(CU795&gt;=1,AH795&gt;=0.1,AH795&lt;=1),O795,0)</f>
        <v>0</v>
      </c>
      <c r="EA795" s="1546"/>
      <c r="EB795" s="1546"/>
      <c r="EC795" s="1546"/>
      <c r="ED795" s="1547"/>
      <c r="EE795" s="1545">
        <f t="shared" ref="EE795:EE804" si="51">IF(AND(CZ795&gt;=1,AH795&gt;=0.1,AH795&lt;=1),O795,0)</f>
        <v>0</v>
      </c>
      <c r="EF795" s="1546"/>
      <c r="EG795" s="1546"/>
      <c r="EH795" s="1546"/>
      <c r="EI795" s="1547"/>
      <c r="EJ795" s="1545">
        <f t="shared" ref="EJ795:EJ804" si="52">IF(AND(DE795&gt;=1,AH795&gt;=0.1,AH795&lt;=1),O795,0)</f>
        <v>0</v>
      </c>
      <c r="EK795" s="1546"/>
      <c r="EL795" s="1546"/>
      <c r="EM795" s="1546"/>
      <c r="EN795" s="1547"/>
      <c r="EO795" s="1545">
        <f t="shared" ref="EO795:EO804" si="53">IF(AND(DJ795&gt;=1,AH795&gt;=0.1,AH795&lt;=1),O795,0)</f>
        <v>0</v>
      </c>
      <c r="EP795" s="1546"/>
      <c r="EQ795" s="1546"/>
      <c r="ER795" s="1546"/>
      <c r="ES795" s="1547"/>
      <c r="ET795" s="1545">
        <f t="shared" ref="ET795:ET804" si="54">IF(AND(DO795&gt;=1,AH795&gt;=0.1,AH795&lt;=1),O795,0)</f>
        <v>0</v>
      </c>
      <c r="EU795" s="1546"/>
      <c r="EV795" s="1546"/>
      <c r="EW795" s="1546"/>
      <c r="EX795" s="1547"/>
    </row>
    <row r="796" spans="1:154" s="14" customFormat="1" ht="12.95" customHeight="1">
      <c r="A796"/>
      <c r="B796"/>
      <c r="C796"/>
      <c r="D796"/>
      <c r="E796"/>
      <c r="F796"/>
      <c r="G796"/>
      <c r="H796"/>
      <c r="I796"/>
      <c r="J796" s="1376"/>
      <c r="K796" s="1377"/>
      <c r="L796" s="1377"/>
      <c r="M796" s="1377"/>
      <c r="N796" s="1378"/>
      <c r="O796" s="1488"/>
      <c r="P796" s="1488"/>
      <c r="Q796" s="1488"/>
      <c r="R796" s="1488"/>
      <c r="S796" s="1488"/>
      <c r="T796" s="1373"/>
      <c r="U796" s="1374"/>
      <c r="V796" s="1374"/>
      <c r="W796" s="1375"/>
      <c r="X796" s="1415"/>
      <c r="Y796" s="1416"/>
      <c r="Z796" s="1416"/>
      <c r="AA796" s="1416"/>
      <c r="AB796" s="1417"/>
      <c r="AC796" s="1418">
        <f t="shared" si="42"/>
        <v>0</v>
      </c>
      <c r="AD796" s="1414"/>
      <c r="AE796" s="1414"/>
      <c r="AF796" s="1414"/>
      <c r="AG796" s="14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5">
        <f t="shared" si="43"/>
        <v>0</v>
      </c>
      <c r="CQ796" s="1546"/>
      <c r="CR796" s="1546"/>
      <c r="CS796" s="1546"/>
      <c r="CT796" s="1547"/>
      <c r="CU796" s="1545">
        <f t="shared" si="44"/>
        <v>0</v>
      </c>
      <c r="CV796" s="1546"/>
      <c r="CW796" s="1546"/>
      <c r="CX796" s="1546"/>
      <c r="CY796" s="1547"/>
      <c r="CZ796" s="1545">
        <f t="shared" si="45"/>
        <v>0</v>
      </c>
      <c r="DA796" s="1546"/>
      <c r="DB796" s="1546"/>
      <c r="DC796" s="1546"/>
      <c r="DD796" s="1547"/>
      <c r="DE796" s="1545">
        <f t="shared" si="46"/>
        <v>0</v>
      </c>
      <c r="DF796" s="1546"/>
      <c r="DG796" s="1546"/>
      <c r="DH796" s="1546"/>
      <c r="DI796" s="1547"/>
      <c r="DJ796" s="1545">
        <f t="shared" si="47"/>
        <v>0</v>
      </c>
      <c r="DK796" s="1546"/>
      <c r="DL796" s="1546"/>
      <c r="DM796" s="1546"/>
      <c r="DN796" s="1547"/>
      <c r="DO796" s="1545">
        <f t="shared" si="48"/>
        <v>0</v>
      </c>
      <c r="DP796" s="1546"/>
      <c r="DQ796" s="1546"/>
      <c r="DR796" s="1546"/>
      <c r="DS796" s="1547"/>
      <c r="DT796" s="6"/>
      <c r="DU796" s="1545">
        <f t="shared" si="49"/>
        <v>0</v>
      </c>
      <c r="DV796" s="1546"/>
      <c r="DW796" s="1546"/>
      <c r="DX796" s="1546"/>
      <c r="DY796" s="1547"/>
      <c r="DZ796" s="1545">
        <f t="shared" si="50"/>
        <v>0</v>
      </c>
      <c r="EA796" s="1546"/>
      <c r="EB796" s="1546"/>
      <c r="EC796" s="1546"/>
      <c r="ED796" s="1547"/>
      <c r="EE796" s="1545">
        <f t="shared" si="51"/>
        <v>0</v>
      </c>
      <c r="EF796" s="1546"/>
      <c r="EG796" s="1546"/>
      <c r="EH796" s="1546"/>
      <c r="EI796" s="1547"/>
      <c r="EJ796" s="1545">
        <f t="shared" si="52"/>
        <v>0</v>
      </c>
      <c r="EK796" s="1546"/>
      <c r="EL796" s="1546"/>
      <c r="EM796" s="1546"/>
      <c r="EN796" s="1547"/>
      <c r="EO796" s="1545">
        <f t="shared" si="53"/>
        <v>0</v>
      </c>
      <c r="EP796" s="1546"/>
      <c r="EQ796" s="1546"/>
      <c r="ER796" s="1546"/>
      <c r="ES796" s="1547"/>
      <c r="ET796" s="1545">
        <f t="shared" si="54"/>
        <v>0</v>
      </c>
      <c r="EU796" s="1546"/>
      <c r="EV796" s="1546"/>
      <c r="EW796" s="1546"/>
      <c r="EX796" s="1547"/>
    </row>
    <row r="797" spans="1:154" s="14" customFormat="1" ht="12.95" customHeight="1">
      <c r="A797"/>
      <c r="B797"/>
      <c r="C797"/>
      <c r="D797"/>
      <c r="E797"/>
      <c r="F797"/>
      <c r="G797"/>
      <c r="H797"/>
      <c r="I797"/>
      <c r="J797" s="1376"/>
      <c r="K797" s="1377"/>
      <c r="L797" s="1377"/>
      <c r="M797" s="1377"/>
      <c r="N797" s="1378"/>
      <c r="O797" s="1488"/>
      <c r="P797" s="1488"/>
      <c r="Q797" s="1488"/>
      <c r="R797" s="1488"/>
      <c r="S797" s="1488"/>
      <c r="T797" s="1373"/>
      <c r="U797" s="1374"/>
      <c r="V797" s="1374"/>
      <c r="W797" s="1375"/>
      <c r="X797" s="1415"/>
      <c r="Y797" s="1416"/>
      <c r="Z797" s="1416"/>
      <c r="AA797" s="1416"/>
      <c r="AB797" s="1417"/>
      <c r="AC797" s="1418">
        <f t="shared" si="42"/>
        <v>0</v>
      </c>
      <c r="AD797" s="1414"/>
      <c r="AE797" s="1414"/>
      <c r="AF797" s="1414"/>
      <c r="AG797" s="141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5">
        <f t="shared" si="43"/>
        <v>0</v>
      </c>
      <c r="CQ797" s="1546"/>
      <c r="CR797" s="1546"/>
      <c r="CS797" s="1546"/>
      <c r="CT797" s="1547"/>
      <c r="CU797" s="1545">
        <f t="shared" si="44"/>
        <v>0</v>
      </c>
      <c r="CV797" s="1546"/>
      <c r="CW797" s="1546"/>
      <c r="CX797" s="1546"/>
      <c r="CY797" s="1547"/>
      <c r="CZ797" s="1545">
        <f t="shared" si="45"/>
        <v>0</v>
      </c>
      <c r="DA797" s="1546"/>
      <c r="DB797" s="1546"/>
      <c r="DC797" s="1546"/>
      <c r="DD797" s="1547"/>
      <c r="DE797" s="1545">
        <f t="shared" si="46"/>
        <v>0</v>
      </c>
      <c r="DF797" s="1546"/>
      <c r="DG797" s="1546"/>
      <c r="DH797" s="1546"/>
      <c r="DI797" s="1547"/>
      <c r="DJ797" s="1545">
        <f t="shared" si="47"/>
        <v>0</v>
      </c>
      <c r="DK797" s="1546"/>
      <c r="DL797" s="1546"/>
      <c r="DM797" s="1546"/>
      <c r="DN797" s="1547"/>
      <c r="DO797" s="1545">
        <f t="shared" si="48"/>
        <v>0</v>
      </c>
      <c r="DP797" s="1546"/>
      <c r="DQ797" s="1546"/>
      <c r="DR797" s="1546"/>
      <c r="DS797" s="1547"/>
      <c r="DT797" s="6"/>
      <c r="DU797" s="1545">
        <f t="shared" si="49"/>
        <v>0</v>
      </c>
      <c r="DV797" s="1546"/>
      <c r="DW797" s="1546"/>
      <c r="DX797" s="1546"/>
      <c r="DY797" s="1547"/>
      <c r="DZ797" s="1545">
        <f t="shared" si="50"/>
        <v>0</v>
      </c>
      <c r="EA797" s="1546"/>
      <c r="EB797" s="1546"/>
      <c r="EC797" s="1546"/>
      <c r="ED797" s="1547"/>
      <c r="EE797" s="1545">
        <f t="shared" si="51"/>
        <v>0</v>
      </c>
      <c r="EF797" s="1546"/>
      <c r="EG797" s="1546"/>
      <c r="EH797" s="1546"/>
      <c r="EI797" s="1547"/>
      <c r="EJ797" s="1545">
        <f t="shared" si="52"/>
        <v>0</v>
      </c>
      <c r="EK797" s="1546"/>
      <c r="EL797" s="1546"/>
      <c r="EM797" s="1546"/>
      <c r="EN797" s="1547"/>
      <c r="EO797" s="1545">
        <f t="shared" si="53"/>
        <v>0</v>
      </c>
      <c r="EP797" s="1546"/>
      <c r="EQ797" s="1546"/>
      <c r="ER797" s="1546"/>
      <c r="ES797" s="1547"/>
      <c r="ET797" s="1545">
        <f t="shared" si="54"/>
        <v>0</v>
      </c>
      <c r="EU797" s="1546"/>
      <c r="EV797" s="1546"/>
      <c r="EW797" s="1546"/>
      <c r="EX797" s="1547"/>
    </row>
    <row r="798" spans="1:154" s="14" customFormat="1" ht="12.95" customHeight="1">
      <c r="A798"/>
      <c r="B798"/>
      <c r="C798"/>
      <c r="D798"/>
      <c r="E798"/>
      <c r="F798"/>
      <c r="G798"/>
      <c r="H798"/>
      <c r="I798"/>
      <c r="J798" s="1376"/>
      <c r="K798" s="1377"/>
      <c r="L798" s="1377"/>
      <c r="M798" s="1377"/>
      <c r="N798" s="1378"/>
      <c r="O798" s="1488"/>
      <c r="P798" s="1488"/>
      <c r="Q798" s="1488"/>
      <c r="R798" s="1488"/>
      <c r="S798" s="1488"/>
      <c r="T798" s="1373"/>
      <c r="U798" s="1374"/>
      <c r="V798" s="1374"/>
      <c r="W798" s="1375"/>
      <c r="X798" s="1415"/>
      <c r="Y798" s="1416"/>
      <c r="Z798" s="1416"/>
      <c r="AA798" s="1416"/>
      <c r="AB798" s="1417"/>
      <c r="AC798" s="1418">
        <f t="shared" si="42"/>
        <v>0</v>
      </c>
      <c r="AD798" s="1414"/>
      <c r="AE798" s="1414"/>
      <c r="AF798" s="1414"/>
      <c r="AG798" s="141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5">
        <f t="shared" si="43"/>
        <v>0</v>
      </c>
      <c r="CQ798" s="1546"/>
      <c r="CR798" s="1546"/>
      <c r="CS798" s="1546"/>
      <c r="CT798" s="1547"/>
      <c r="CU798" s="1545">
        <f t="shared" si="44"/>
        <v>0</v>
      </c>
      <c r="CV798" s="1546"/>
      <c r="CW798" s="1546"/>
      <c r="CX798" s="1546"/>
      <c r="CY798" s="1547"/>
      <c r="CZ798" s="1545">
        <f t="shared" si="45"/>
        <v>0</v>
      </c>
      <c r="DA798" s="1546"/>
      <c r="DB798" s="1546"/>
      <c r="DC798" s="1546"/>
      <c r="DD798" s="1547"/>
      <c r="DE798" s="1545">
        <f t="shared" si="46"/>
        <v>0</v>
      </c>
      <c r="DF798" s="1546"/>
      <c r="DG798" s="1546"/>
      <c r="DH798" s="1546"/>
      <c r="DI798" s="1547"/>
      <c r="DJ798" s="1545">
        <f t="shared" si="47"/>
        <v>0</v>
      </c>
      <c r="DK798" s="1546"/>
      <c r="DL798" s="1546"/>
      <c r="DM798" s="1546"/>
      <c r="DN798" s="1547"/>
      <c r="DO798" s="1545">
        <f t="shared" si="48"/>
        <v>0</v>
      </c>
      <c r="DP798" s="1546"/>
      <c r="DQ798" s="1546"/>
      <c r="DR798" s="1546"/>
      <c r="DS798" s="1547"/>
      <c r="DT798" s="6"/>
      <c r="DU798" s="1545">
        <f t="shared" si="49"/>
        <v>0</v>
      </c>
      <c r="DV798" s="1546"/>
      <c r="DW798" s="1546"/>
      <c r="DX798" s="1546"/>
      <c r="DY798" s="1547"/>
      <c r="DZ798" s="1545">
        <f t="shared" si="50"/>
        <v>0</v>
      </c>
      <c r="EA798" s="1546"/>
      <c r="EB798" s="1546"/>
      <c r="EC798" s="1546"/>
      <c r="ED798" s="1547"/>
      <c r="EE798" s="1545">
        <f t="shared" si="51"/>
        <v>0</v>
      </c>
      <c r="EF798" s="1546"/>
      <c r="EG798" s="1546"/>
      <c r="EH798" s="1546"/>
      <c r="EI798" s="1547"/>
      <c r="EJ798" s="1545">
        <f t="shared" si="52"/>
        <v>0</v>
      </c>
      <c r="EK798" s="1546"/>
      <c r="EL798" s="1546"/>
      <c r="EM798" s="1546"/>
      <c r="EN798" s="1547"/>
      <c r="EO798" s="1545">
        <f t="shared" si="53"/>
        <v>0</v>
      </c>
      <c r="EP798" s="1546"/>
      <c r="EQ798" s="1546"/>
      <c r="ER798" s="1546"/>
      <c r="ES798" s="1547"/>
      <c r="ET798" s="1545">
        <f t="shared" si="54"/>
        <v>0</v>
      </c>
      <c r="EU798" s="1546"/>
      <c r="EV798" s="1546"/>
      <c r="EW798" s="1546"/>
      <c r="EX798" s="1547"/>
    </row>
    <row r="799" spans="1:154" s="14" customFormat="1" ht="12.95" customHeight="1">
      <c r="A799"/>
      <c r="B799"/>
      <c r="C799"/>
      <c r="D799"/>
      <c r="E799"/>
      <c r="F799"/>
      <c r="G799"/>
      <c r="H799"/>
      <c r="I799"/>
      <c r="J799" s="1376"/>
      <c r="K799" s="1377"/>
      <c r="L799" s="1377"/>
      <c r="M799" s="1377"/>
      <c r="N799" s="1378"/>
      <c r="O799" s="1488"/>
      <c r="P799" s="1488"/>
      <c r="Q799" s="1488"/>
      <c r="R799" s="1488"/>
      <c r="S799" s="1488"/>
      <c r="T799" s="1373"/>
      <c r="U799" s="1374"/>
      <c r="V799" s="1374"/>
      <c r="W799" s="1375"/>
      <c r="X799" s="1415"/>
      <c r="Y799" s="1416"/>
      <c r="Z799" s="1416"/>
      <c r="AA799" s="1416"/>
      <c r="AB799" s="1417"/>
      <c r="AC799" s="1418">
        <f t="shared" si="42"/>
        <v>0</v>
      </c>
      <c r="AD799" s="1414"/>
      <c r="AE799" s="1414"/>
      <c r="AF799" s="1414"/>
      <c r="AG799" s="141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5">
        <f t="shared" si="43"/>
        <v>0</v>
      </c>
      <c r="CQ799" s="1546"/>
      <c r="CR799" s="1546"/>
      <c r="CS799" s="1546"/>
      <c r="CT799" s="1547"/>
      <c r="CU799" s="1545">
        <f t="shared" si="44"/>
        <v>0</v>
      </c>
      <c r="CV799" s="1546"/>
      <c r="CW799" s="1546"/>
      <c r="CX799" s="1546"/>
      <c r="CY799" s="1547"/>
      <c r="CZ799" s="1545">
        <f t="shared" si="45"/>
        <v>0</v>
      </c>
      <c r="DA799" s="1546"/>
      <c r="DB799" s="1546"/>
      <c r="DC799" s="1546"/>
      <c r="DD799" s="1547"/>
      <c r="DE799" s="1545">
        <f t="shared" si="46"/>
        <v>0</v>
      </c>
      <c r="DF799" s="1546"/>
      <c r="DG799" s="1546"/>
      <c r="DH799" s="1546"/>
      <c r="DI799" s="1547"/>
      <c r="DJ799" s="1545">
        <f t="shared" si="47"/>
        <v>0</v>
      </c>
      <c r="DK799" s="1546"/>
      <c r="DL799" s="1546"/>
      <c r="DM799" s="1546"/>
      <c r="DN799" s="1547"/>
      <c r="DO799" s="1545">
        <f t="shared" si="48"/>
        <v>0</v>
      </c>
      <c r="DP799" s="1546"/>
      <c r="DQ799" s="1546"/>
      <c r="DR799" s="1546"/>
      <c r="DS799" s="1547"/>
      <c r="DT799" s="6"/>
      <c r="DU799" s="1545">
        <f t="shared" si="49"/>
        <v>0</v>
      </c>
      <c r="DV799" s="1546"/>
      <c r="DW799" s="1546"/>
      <c r="DX799" s="1546"/>
      <c r="DY799" s="1547"/>
      <c r="DZ799" s="1545">
        <f t="shared" si="50"/>
        <v>0</v>
      </c>
      <c r="EA799" s="1546"/>
      <c r="EB799" s="1546"/>
      <c r="EC799" s="1546"/>
      <c r="ED799" s="1547"/>
      <c r="EE799" s="1545">
        <f t="shared" si="51"/>
        <v>0</v>
      </c>
      <c r="EF799" s="1546"/>
      <c r="EG799" s="1546"/>
      <c r="EH799" s="1546"/>
      <c r="EI799" s="1547"/>
      <c r="EJ799" s="1545">
        <f t="shared" si="52"/>
        <v>0</v>
      </c>
      <c r="EK799" s="1546"/>
      <c r="EL799" s="1546"/>
      <c r="EM799" s="1546"/>
      <c r="EN799" s="1547"/>
      <c r="EO799" s="1545">
        <f t="shared" si="53"/>
        <v>0</v>
      </c>
      <c r="EP799" s="1546"/>
      <c r="EQ799" s="1546"/>
      <c r="ER799" s="1546"/>
      <c r="ES799" s="1547"/>
      <c r="ET799" s="1545">
        <f t="shared" si="54"/>
        <v>0</v>
      </c>
      <c r="EU799" s="1546"/>
      <c r="EV799" s="1546"/>
      <c r="EW799" s="1546"/>
      <c r="EX799" s="1547"/>
    </row>
    <row r="800" spans="1:154" s="14" customFormat="1" ht="12.95" customHeight="1">
      <c r="A800"/>
      <c r="B800"/>
      <c r="C800"/>
      <c r="D800"/>
      <c r="E800"/>
      <c r="F800"/>
      <c r="G800"/>
      <c r="H800"/>
      <c r="I800"/>
      <c r="J800" s="1376"/>
      <c r="K800" s="1377"/>
      <c r="L800" s="1377"/>
      <c r="M800" s="1377"/>
      <c r="N800" s="1378"/>
      <c r="O800" s="1488"/>
      <c r="P800" s="1488"/>
      <c r="Q800" s="1488"/>
      <c r="R800" s="1488"/>
      <c r="S800" s="1488"/>
      <c r="T800" s="1373"/>
      <c r="U800" s="1374"/>
      <c r="V800" s="1374"/>
      <c r="W800" s="1375"/>
      <c r="X800" s="1415"/>
      <c r="Y800" s="1416"/>
      <c r="Z800" s="1416"/>
      <c r="AA800" s="1416"/>
      <c r="AB800" s="1417"/>
      <c r="AC800" s="1418">
        <f t="shared" si="42"/>
        <v>0</v>
      </c>
      <c r="AD800" s="1414"/>
      <c r="AE800" s="1414"/>
      <c r="AF800" s="1414"/>
      <c r="AG800" s="141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5">
        <f t="shared" si="43"/>
        <v>0</v>
      </c>
      <c r="CQ800" s="1546"/>
      <c r="CR800" s="1546"/>
      <c r="CS800" s="1546"/>
      <c r="CT800" s="1547"/>
      <c r="CU800" s="1545">
        <f t="shared" si="44"/>
        <v>0</v>
      </c>
      <c r="CV800" s="1546"/>
      <c r="CW800" s="1546"/>
      <c r="CX800" s="1546"/>
      <c r="CY800" s="1547"/>
      <c r="CZ800" s="1545">
        <f t="shared" si="45"/>
        <v>0</v>
      </c>
      <c r="DA800" s="1546"/>
      <c r="DB800" s="1546"/>
      <c r="DC800" s="1546"/>
      <c r="DD800" s="1547"/>
      <c r="DE800" s="1545">
        <f t="shared" si="46"/>
        <v>0</v>
      </c>
      <c r="DF800" s="1546"/>
      <c r="DG800" s="1546"/>
      <c r="DH800" s="1546"/>
      <c r="DI800" s="1547"/>
      <c r="DJ800" s="1545">
        <f t="shared" si="47"/>
        <v>0</v>
      </c>
      <c r="DK800" s="1546"/>
      <c r="DL800" s="1546"/>
      <c r="DM800" s="1546"/>
      <c r="DN800" s="1547"/>
      <c r="DO800" s="1545">
        <f t="shared" si="48"/>
        <v>0</v>
      </c>
      <c r="DP800" s="1546"/>
      <c r="DQ800" s="1546"/>
      <c r="DR800" s="1546"/>
      <c r="DS800" s="1547"/>
      <c r="DT800" s="6"/>
      <c r="DU800" s="1545">
        <f t="shared" si="49"/>
        <v>0</v>
      </c>
      <c r="DV800" s="1546"/>
      <c r="DW800" s="1546"/>
      <c r="DX800" s="1546"/>
      <c r="DY800" s="1547"/>
      <c r="DZ800" s="1545">
        <f t="shared" si="50"/>
        <v>0</v>
      </c>
      <c r="EA800" s="1546"/>
      <c r="EB800" s="1546"/>
      <c r="EC800" s="1546"/>
      <c r="ED800" s="1547"/>
      <c r="EE800" s="1545">
        <f t="shared" si="51"/>
        <v>0</v>
      </c>
      <c r="EF800" s="1546"/>
      <c r="EG800" s="1546"/>
      <c r="EH800" s="1546"/>
      <c r="EI800" s="1547"/>
      <c r="EJ800" s="1545">
        <f t="shared" si="52"/>
        <v>0</v>
      </c>
      <c r="EK800" s="1546"/>
      <c r="EL800" s="1546"/>
      <c r="EM800" s="1546"/>
      <c r="EN800" s="1547"/>
      <c r="EO800" s="1545">
        <f t="shared" si="53"/>
        <v>0</v>
      </c>
      <c r="EP800" s="1546"/>
      <c r="EQ800" s="1546"/>
      <c r="ER800" s="1546"/>
      <c r="ES800" s="1547"/>
      <c r="ET800" s="1545">
        <f t="shared" si="54"/>
        <v>0</v>
      </c>
      <c r="EU800" s="1546"/>
      <c r="EV800" s="1546"/>
      <c r="EW800" s="1546"/>
      <c r="EX800" s="1547"/>
    </row>
    <row r="801" spans="1:154" s="14" customFormat="1" ht="12.95" customHeight="1">
      <c r="A801"/>
      <c r="B801"/>
      <c r="C801"/>
      <c r="D801"/>
      <c r="E801"/>
      <c r="F801"/>
      <c r="G801"/>
      <c r="H801"/>
      <c r="I801"/>
      <c r="J801" s="1376"/>
      <c r="K801" s="1377"/>
      <c r="L801" s="1377"/>
      <c r="M801" s="1377"/>
      <c r="N801" s="1378"/>
      <c r="O801" s="1488"/>
      <c r="P801" s="1488"/>
      <c r="Q801" s="1488"/>
      <c r="R801" s="1488"/>
      <c r="S801" s="1488"/>
      <c r="T801" s="1373"/>
      <c r="U801" s="1374"/>
      <c r="V801" s="1374"/>
      <c r="W801" s="1375"/>
      <c r="X801" s="1415"/>
      <c r="Y801" s="1416"/>
      <c r="Z801" s="1416"/>
      <c r="AA801" s="1416"/>
      <c r="AB801" s="1417"/>
      <c r="AC801" s="1418">
        <f t="shared" si="42"/>
        <v>0</v>
      </c>
      <c r="AD801" s="1414"/>
      <c r="AE801" s="1414"/>
      <c r="AF801" s="1414"/>
      <c r="AG801" s="141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5">
        <f t="shared" si="43"/>
        <v>0</v>
      </c>
      <c r="CQ801" s="1546"/>
      <c r="CR801" s="1546"/>
      <c r="CS801" s="1546"/>
      <c r="CT801" s="1547"/>
      <c r="CU801" s="1545">
        <f t="shared" si="44"/>
        <v>0</v>
      </c>
      <c r="CV801" s="1546"/>
      <c r="CW801" s="1546"/>
      <c r="CX801" s="1546"/>
      <c r="CY801" s="1547"/>
      <c r="CZ801" s="1545">
        <f t="shared" si="45"/>
        <v>0</v>
      </c>
      <c r="DA801" s="1546"/>
      <c r="DB801" s="1546"/>
      <c r="DC801" s="1546"/>
      <c r="DD801" s="1547"/>
      <c r="DE801" s="1545">
        <f t="shared" si="46"/>
        <v>0</v>
      </c>
      <c r="DF801" s="1546"/>
      <c r="DG801" s="1546"/>
      <c r="DH801" s="1546"/>
      <c r="DI801" s="1547"/>
      <c r="DJ801" s="1545">
        <f t="shared" si="47"/>
        <v>0</v>
      </c>
      <c r="DK801" s="1546"/>
      <c r="DL801" s="1546"/>
      <c r="DM801" s="1546"/>
      <c r="DN801" s="1547"/>
      <c r="DO801" s="1545">
        <f t="shared" si="48"/>
        <v>0</v>
      </c>
      <c r="DP801" s="1546"/>
      <c r="DQ801" s="1546"/>
      <c r="DR801" s="1546"/>
      <c r="DS801" s="1547"/>
      <c r="DT801" s="6"/>
      <c r="DU801" s="1545">
        <f t="shared" si="49"/>
        <v>0</v>
      </c>
      <c r="DV801" s="1546"/>
      <c r="DW801" s="1546"/>
      <c r="DX801" s="1546"/>
      <c r="DY801" s="1547"/>
      <c r="DZ801" s="1545">
        <f t="shared" si="50"/>
        <v>0</v>
      </c>
      <c r="EA801" s="1546"/>
      <c r="EB801" s="1546"/>
      <c r="EC801" s="1546"/>
      <c r="ED801" s="1547"/>
      <c r="EE801" s="1545">
        <f t="shared" si="51"/>
        <v>0</v>
      </c>
      <c r="EF801" s="1546"/>
      <c r="EG801" s="1546"/>
      <c r="EH801" s="1546"/>
      <c r="EI801" s="1547"/>
      <c r="EJ801" s="1545">
        <f t="shared" si="52"/>
        <v>0</v>
      </c>
      <c r="EK801" s="1546"/>
      <c r="EL801" s="1546"/>
      <c r="EM801" s="1546"/>
      <c r="EN801" s="1547"/>
      <c r="EO801" s="1545">
        <f t="shared" si="53"/>
        <v>0</v>
      </c>
      <c r="EP801" s="1546"/>
      <c r="EQ801" s="1546"/>
      <c r="ER801" s="1546"/>
      <c r="ES801" s="1547"/>
      <c r="ET801" s="1545">
        <f t="shared" si="54"/>
        <v>0</v>
      </c>
      <c r="EU801" s="1546"/>
      <c r="EV801" s="1546"/>
      <c r="EW801" s="1546"/>
      <c r="EX801" s="1547"/>
    </row>
    <row r="802" spans="1:154" s="14" customFormat="1" ht="12.95" customHeight="1">
      <c r="A802"/>
      <c r="B802"/>
      <c r="C802"/>
      <c r="D802"/>
      <c r="E802"/>
      <c r="F802"/>
      <c r="G802"/>
      <c r="H802"/>
      <c r="I802"/>
      <c r="J802" s="1376"/>
      <c r="K802" s="1377"/>
      <c r="L802" s="1377"/>
      <c r="M802" s="1377"/>
      <c r="N802" s="1378"/>
      <c r="O802" s="1488"/>
      <c r="P802" s="1488"/>
      <c r="Q802" s="1488"/>
      <c r="R802" s="1488"/>
      <c r="S802" s="1488"/>
      <c r="T802" s="1373"/>
      <c r="U802" s="1374"/>
      <c r="V802" s="1374"/>
      <c r="W802" s="1375"/>
      <c r="X802" s="1415"/>
      <c r="Y802" s="1416"/>
      <c r="Z802" s="1416"/>
      <c r="AA802" s="1416"/>
      <c r="AB802" s="1417"/>
      <c r="AC802" s="1418">
        <f t="shared" si="42"/>
        <v>0</v>
      </c>
      <c r="AD802" s="1414"/>
      <c r="AE802" s="1414"/>
      <c r="AF802" s="1414"/>
      <c r="AG802" s="141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5">
        <f t="shared" si="43"/>
        <v>0</v>
      </c>
      <c r="CQ802" s="1546"/>
      <c r="CR802" s="1546"/>
      <c r="CS802" s="1546"/>
      <c r="CT802" s="1547"/>
      <c r="CU802" s="1545">
        <f t="shared" si="44"/>
        <v>0</v>
      </c>
      <c r="CV802" s="1546"/>
      <c r="CW802" s="1546"/>
      <c r="CX802" s="1546"/>
      <c r="CY802" s="1547"/>
      <c r="CZ802" s="1545">
        <f t="shared" si="45"/>
        <v>0</v>
      </c>
      <c r="DA802" s="1546"/>
      <c r="DB802" s="1546"/>
      <c r="DC802" s="1546"/>
      <c r="DD802" s="1547"/>
      <c r="DE802" s="1545">
        <f t="shared" si="46"/>
        <v>0</v>
      </c>
      <c r="DF802" s="1546"/>
      <c r="DG802" s="1546"/>
      <c r="DH802" s="1546"/>
      <c r="DI802" s="1547"/>
      <c r="DJ802" s="1545">
        <f t="shared" si="47"/>
        <v>0</v>
      </c>
      <c r="DK802" s="1546"/>
      <c r="DL802" s="1546"/>
      <c r="DM802" s="1546"/>
      <c r="DN802" s="1547"/>
      <c r="DO802" s="1545">
        <f t="shared" si="48"/>
        <v>0</v>
      </c>
      <c r="DP802" s="1546"/>
      <c r="DQ802" s="1546"/>
      <c r="DR802" s="1546"/>
      <c r="DS802" s="1547"/>
      <c r="DT802" s="6"/>
      <c r="DU802" s="1545">
        <f t="shared" si="49"/>
        <v>0</v>
      </c>
      <c r="DV802" s="1546"/>
      <c r="DW802" s="1546"/>
      <c r="DX802" s="1546"/>
      <c r="DY802" s="1547"/>
      <c r="DZ802" s="1545">
        <f t="shared" si="50"/>
        <v>0</v>
      </c>
      <c r="EA802" s="1546"/>
      <c r="EB802" s="1546"/>
      <c r="EC802" s="1546"/>
      <c r="ED802" s="1547"/>
      <c r="EE802" s="1545">
        <f t="shared" si="51"/>
        <v>0</v>
      </c>
      <c r="EF802" s="1546"/>
      <c r="EG802" s="1546"/>
      <c r="EH802" s="1546"/>
      <c r="EI802" s="1547"/>
      <c r="EJ802" s="1545">
        <f t="shared" si="52"/>
        <v>0</v>
      </c>
      <c r="EK802" s="1546"/>
      <c r="EL802" s="1546"/>
      <c r="EM802" s="1546"/>
      <c r="EN802" s="1547"/>
      <c r="EO802" s="1545">
        <f t="shared" si="53"/>
        <v>0</v>
      </c>
      <c r="EP802" s="1546"/>
      <c r="EQ802" s="1546"/>
      <c r="ER802" s="1546"/>
      <c r="ES802" s="1547"/>
      <c r="ET802" s="1545">
        <f t="shared" si="54"/>
        <v>0</v>
      </c>
      <c r="EU802" s="1546"/>
      <c r="EV802" s="1546"/>
      <c r="EW802" s="1546"/>
      <c r="EX802" s="1547"/>
    </row>
    <row r="803" spans="1:154" s="14" customFormat="1" ht="12.95" customHeight="1">
      <c r="A803"/>
      <c r="B803"/>
      <c r="C803"/>
      <c r="D803"/>
      <c r="E803"/>
      <c r="F803"/>
      <c r="G803"/>
      <c r="H803"/>
      <c r="I803"/>
      <c r="J803" s="1376"/>
      <c r="K803" s="1377"/>
      <c r="L803" s="1377"/>
      <c r="M803" s="1377"/>
      <c r="N803" s="1378"/>
      <c r="O803" s="1488"/>
      <c r="P803" s="1488"/>
      <c r="Q803" s="1488"/>
      <c r="R803" s="1488"/>
      <c r="S803" s="1488"/>
      <c r="T803" s="1373"/>
      <c r="U803" s="1374"/>
      <c r="V803" s="1374"/>
      <c r="W803" s="1375"/>
      <c r="X803" s="1415"/>
      <c r="Y803" s="1416"/>
      <c r="Z803" s="1416"/>
      <c r="AA803" s="1416"/>
      <c r="AB803" s="1417"/>
      <c r="AC803" s="1418">
        <f t="shared" si="42"/>
        <v>0</v>
      </c>
      <c r="AD803" s="1414"/>
      <c r="AE803" s="1414"/>
      <c r="AF803" s="1414"/>
      <c r="AG803" s="141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5">
        <f t="shared" si="43"/>
        <v>0</v>
      </c>
      <c r="CQ803" s="1546"/>
      <c r="CR803" s="1546"/>
      <c r="CS803" s="1546"/>
      <c r="CT803" s="1547"/>
      <c r="CU803" s="1545">
        <f t="shared" si="44"/>
        <v>0</v>
      </c>
      <c r="CV803" s="1546"/>
      <c r="CW803" s="1546"/>
      <c r="CX803" s="1546"/>
      <c r="CY803" s="1547"/>
      <c r="CZ803" s="1545">
        <f t="shared" si="45"/>
        <v>0</v>
      </c>
      <c r="DA803" s="1546"/>
      <c r="DB803" s="1546"/>
      <c r="DC803" s="1546"/>
      <c r="DD803" s="1547"/>
      <c r="DE803" s="1545">
        <f t="shared" si="46"/>
        <v>0</v>
      </c>
      <c r="DF803" s="1546"/>
      <c r="DG803" s="1546"/>
      <c r="DH803" s="1546"/>
      <c r="DI803" s="1547"/>
      <c r="DJ803" s="1545">
        <f t="shared" si="47"/>
        <v>0</v>
      </c>
      <c r="DK803" s="1546"/>
      <c r="DL803" s="1546"/>
      <c r="DM803" s="1546"/>
      <c r="DN803" s="1547"/>
      <c r="DO803" s="1545">
        <f t="shared" si="48"/>
        <v>0</v>
      </c>
      <c r="DP803" s="1546"/>
      <c r="DQ803" s="1546"/>
      <c r="DR803" s="1546"/>
      <c r="DS803" s="1547"/>
      <c r="DT803" s="6"/>
      <c r="DU803" s="1545">
        <f t="shared" si="49"/>
        <v>0</v>
      </c>
      <c r="DV803" s="1546"/>
      <c r="DW803" s="1546"/>
      <c r="DX803" s="1546"/>
      <c r="DY803" s="1547"/>
      <c r="DZ803" s="1545">
        <f t="shared" si="50"/>
        <v>0</v>
      </c>
      <c r="EA803" s="1546"/>
      <c r="EB803" s="1546"/>
      <c r="EC803" s="1546"/>
      <c r="ED803" s="1547"/>
      <c r="EE803" s="1545">
        <f t="shared" si="51"/>
        <v>0</v>
      </c>
      <c r="EF803" s="1546"/>
      <c r="EG803" s="1546"/>
      <c r="EH803" s="1546"/>
      <c r="EI803" s="1547"/>
      <c r="EJ803" s="1545">
        <f t="shared" si="52"/>
        <v>0</v>
      </c>
      <c r="EK803" s="1546"/>
      <c r="EL803" s="1546"/>
      <c r="EM803" s="1546"/>
      <c r="EN803" s="1547"/>
      <c r="EO803" s="1545">
        <f t="shared" si="53"/>
        <v>0</v>
      </c>
      <c r="EP803" s="1546"/>
      <c r="EQ803" s="1546"/>
      <c r="ER803" s="1546"/>
      <c r="ES803" s="1547"/>
      <c r="ET803" s="1545">
        <f t="shared" si="54"/>
        <v>0</v>
      </c>
      <c r="EU803" s="1546"/>
      <c r="EV803" s="1546"/>
      <c r="EW803" s="1546"/>
      <c r="EX803" s="1547"/>
    </row>
    <row r="804" spans="1:154" s="4" customFormat="1" ht="12.95" customHeight="1">
      <c r="A804"/>
      <c r="B804"/>
      <c r="C804"/>
      <c r="D804"/>
      <c r="E804"/>
      <c r="F804"/>
      <c r="G804"/>
      <c r="H804"/>
      <c r="I804"/>
      <c r="J804" s="1376"/>
      <c r="K804" s="1377"/>
      <c r="L804" s="1377"/>
      <c r="M804" s="1377"/>
      <c r="N804" s="1378"/>
      <c r="O804" s="1488"/>
      <c r="P804" s="1488"/>
      <c r="Q804" s="1488"/>
      <c r="R804" s="1488"/>
      <c r="S804" s="1488"/>
      <c r="T804" s="1373"/>
      <c r="U804" s="1374"/>
      <c r="V804" s="1374"/>
      <c r="W804" s="1375"/>
      <c r="X804" s="1415"/>
      <c r="Y804" s="1416"/>
      <c r="Z804" s="1416"/>
      <c r="AA804" s="1416"/>
      <c r="AB804" s="1417"/>
      <c r="AC804" s="1418">
        <f t="shared" si="42"/>
        <v>0</v>
      </c>
      <c r="AD804" s="1414"/>
      <c r="AE804" s="1414"/>
      <c r="AF804" s="1414"/>
      <c r="AG804" s="1419"/>
      <c r="AH804"/>
      <c r="AI804"/>
      <c r="AJ804"/>
      <c r="AK804"/>
      <c r="AL804"/>
      <c r="AM804"/>
      <c r="AN804"/>
      <c r="AO804"/>
      <c r="AP804"/>
      <c r="AQ804"/>
      <c r="AR804"/>
      <c r="AS804"/>
      <c r="AT804"/>
      <c r="AU804"/>
      <c r="AV804"/>
      <c r="AW804"/>
      <c r="AX804"/>
      <c r="AY804"/>
      <c r="AZ804" s="3"/>
      <c r="CP804" s="1545">
        <f t="shared" si="43"/>
        <v>0</v>
      </c>
      <c r="CQ804" s="1546"/>
      <c r="CR804" s="1546"/>
      <c r="CS804" s="1546"/>
      <c r="CT804" s="1547"/>
      <c r="CU804" s="1545">
        <f t="shared" si="44"/>
        <v>0</v>
      </c>
      <c r="CV804" s="1546"/>
      <c r="CW804" s="1546"/>
      <c r="CX804" s="1546"/>
      <c r="CY804" s="1547"/>
      <c r="CZ804" s="1545">
        <f t="shared" si="45"/>
        <v>0</v>
      </c>
      <c r="DA804" s="1546"/>
      <c r="DB804" s="1546"/>
      <c r="DC804" s="1546"/>
      <c r="DD804" s="1547"/>
      <c r="DE804" s="1545">
        <f t="shared" si="46"/>
        <v>0</v>
      </c>
      <c r="DF804" s="1546"/>
      <c r="DG804" s="1546"/>
      <c r="DH804" s="1546"/>
      <c r="DI804" s="1547"/>
      <c r="DJ804" s="1545">
        <f t="shared" si="47"/>
        <v>0</v>
      </c>
      <c r="DK804" s="1546"/>
      <c r="DL804" s="1546"/>
      <c r="DM804" s="1546"/>
      <c r="DN804" s="1547"/>
      <c r="DO804" s="1545">
        <f t="shared" si="48"/>
        <v>0</v>
      </c>
      <c r="DP804" s="1546"/>
      <c r="DQ804" s="1546"/>
      <c r="DR804" s="1546"/>
      <c r="DS804" s="1547"/>
      <c r="DT804" s="6"/>
      <c r="DU804" s="1545">
        <f t="shared" si="49"/>
        <v>0</v>
      </c>
      <c r="DV804" s="1546"/>
      <c r="DW804" s="1546"/>
      <c r="DX804" s="1546"/>
      <c r="DY804" s="1547"/>
      <c r="DZ804" s="1545">
        <f t="shared" si="50"/>
        <v>0</v>
      </c>
      <c r="EA804" s="1546"/>
      <c r="EB804" s="1546"/>
      <c r="EC804" s="1546"/>
      <c r="ED804" s="1547"/>
      <c r="EE804" s="1545">
        <f t="shared" si="51"/>
        <v>0</v>
      </c>
      <c r="EF804" s="1546"/>
      <c r="EG804" s="1546"/>
      <c r="EH804" s="1546"/>
      <c r="EI804" s="1547"/>
      <c r="EJ804" s="1545">
        <f t="shared" si="52"/>
        <v>0</v>
      </c>
      <c r="EK804" s="1546"/>
      <c r="EL804" s="1546"/>
      <c r="EM804" s="1546"/>
      <c r="EN804" s="1547"/>
      <c r="EO804" s="1545">
        <f t="shared" si="53"/>
        <v>0</v>
      </c>
      <c r="EP804" s="1546"/>
      <c r="EQ804" s="1546"/>
      <c r="ER804" s="1546"/>
      <c r="ES804" s="1547"/>
      <c r="ET804" s="1545">
        <f t="shared" si="54"/>
        <v>0</v>
      </c>
      <c r="EU804" s="1546"/>
      <c r="EV804" s="1546"/>
      <c r="EW804" s="1546"/>
      <c r="EX804" s="1547"/>
    </row>
    <row r="805" spans="1:154" s="4" customFormat="1" ht="12.95" customHeight="1">
      <c r="A805"/>
      <c r="B805"/>
      <c r="C805"/>
      <c r="D805"/>
      <c r="E805"/>
      <c r="F805"/>
      <c r="G805"/>
      <c r="H805"/>
      <c r="I805"/>
      <c r="J805" s="1539" t="s">
        <v>125</v>
      </c>
      <c r="K805" s="1540"/>
      <c r="L805" s="1540"/>
      <c r="M805" s="1540"/>
      <c r="N805" s="1541"/>
      <c r="O805" s="1731">
        <f>SUM(O795:S804)</f>
        <v>0</v>
      </c>
      <c r="P805" s="1731"/>
      <c r="Q805" s="1731"/>
      <c r="R805" s="1731"/>
      <c r="S805" s="1731"/>
      <c r="T805"/>
      <c r="U805"/>
      <c r="V805"/>
      <c r="W805"/>
      <c r="X805" s="897" t="s">
        <v>124</v>
      </c>
      <c r="Y805" s="11"/>
      <c r="Z805" s="11"/>
      <c r="AA805" s="11"/>
      <c r="AB805" s="904"/>
      <c r="AC805" s="1418">
        <f>SUM(AC795:AG804)</f>
        <v>0</v>
      </c>
      <c r="AD805" s="1414"/>
      <c r="AE805" s="1414"/>
      <c r="AF805" s="1414"/>
      <c r="AG805" s="1419"/>
      <c r="AH805"/>
      <c r="AI805"/>
      <c r="AJ805"/>
      <c r="AK805"/>
      <c r="AL805"/>
      <c r="AM805"/>
      <c r="AN805"/>
      <c r="AO805"/>
      <c r="AP805"/>
      <c r="AQ805"/>
      <c r="AR805"/>
      <c r="AS805"/>
      <c r="AT805"/>
      <c r="AU805"/>
      <c r="AV805"/>
      <c r="AW805"/>
      <c r="AX805"/>
      <c r="AY805"/>
      <c r="AZ805" s="3"/>
      <c r="BA805"/>
      <c r="CP805" s="1552">
        <f>SUM(CP795:CT804)</f>
        <v>0</v>
      </c>
      <c r="CQ805" s="1759"/>
      <c r="CR805" s="1759"/>
      <c r="CS805" s="1759"/>
      <c r="CT805" s="1553"/>
      <c r="CU805" s="1557">
        <f>SUM(CU795:CY804)</f>
        <v>0</v>
      </c>
      <c r="CV805" s="1558"/>
      <c r="CW805" s="1558"/>
      <c r="CX805" s="1558"/>
      <c r="CY805" s="1559"/>
      <c r="CZ805" s="1557">
        <f>SUM(CZ795:DD804)</f>
        <v>0</v>
      </c>
      <c r="DA805" s="1558"/>
      <c r="DB805" s="1558"/>
      <c r="DC805" s="1558"/>
      <c r="DD805" s="1559"/>
      <c r="DE805" s="1557">
        <f>SUM(DE795:DI804)</f>
        <v>0</v>
      </c>
      <c r="DF805" s="1558"/>
      <c r="DG805" s="1558"/>
      <c r="DH805" s="1558"/>
      <c r="DI805" s="1559"/>
      <c r="DJ805" s="1557">
        <f>SUM(DJ795:DN804)</f>
        <v>0</v>
      </c>
      <c r="DK805" s="1558"/>
      <c r="DL805" s="1558"/>
      <c r="DM805" s="1558"/>
      <c r="DN805" s="1559"/>
      <c r="DO805" s="1557">
        <f>SUM(DO795:DS804)</f>
        <v>0</v>
      </c>
      <c r="DP805" s="1558"/>
      <c r="DQ805" s="1558"/>
      <c r="DR805" s="1558"/>
      <c r="DS805" s="1559"/>
      <c r="DT805" s="1006"/>
      <c r="DU805" s="1552">
        <f>SUM(DU795:DY804)</f>
        <v>0</v>
      </c>
      <c r="DV805" s="1759"/>
      <c r="DW805" s="1759"/>
      <c r="DX805" s="1759"/>
      <c r="DY805" s="1553"/>
      <c r="DZ805" s="1552">
        <f>SUM(DZ795:ED804)</f>
        <v>0</v>
      </c>
      <c r="EA805" s="1759"/>
      <c r="EB805" s="1759"/>
      <c r="EC805" s="1759"/>
      <c r="ED805" s="1553"/>
      <c r="EE805" s="1552">
        <f>SUM(EE795:EI804)</f>
        <v>0</v>
      </c>
      <c r="EF805" s="1759"/>
      <c r="EG805" s="1759"/>
      <c r="EH805" s="1759"/>
      <c r="EI805" s="1553"/>
      <c r="EJ805" s="1552">
        <f>SUM(EJ795:EN804)</f>
        <v>0</v>
      </c>
      <c r="EK805" s="1759"/>
      <c r="EL805" s="1759"/>
      <c r="EM805" s="1759"/>
      <c r="EN805" s="1553"/>
      <c r="EO805" s="1552">
        <f>SUM(EO795:ES804)</f>
        <v>0</v>
      </c>
      <c r="EP805" s="1759"/>
      <c r="EQ805" s="1759"/>
      <c r="ER805" s="1759"/>
      <c r="ES805" s="1553"/>
      <c r="ET805" s="1552">
        <f>SUM(ET795:EX804)</f>
        <v>0</v>
      </c>
      <c r="EU805" s="1759"/>
      <c r="EV805" s="1759"/>
      <c r="EW805" s="1759"/>
      <c r="EX805" s="1553"/>
    </row>
    <row r="806" spans="1:154" s="4" customFormat="1" ht="12.95" customHeight="1">
      <c r="A806"/>
      <c r="B806"/>
      <c r="C806" s="1761" t="str">
        <f>IF(O805&lt;&gt;AG447,"! Total market rate units in the Unit Mix Table above does not match the number of  market rate units on row #"&amp;TEXT(ROW(D447),"#"),"")</f>
        <v/>
      </c>
      <c r="D806" s="1761"/>
      <c r="E806" s="1761"/>
      <c r="F806" s="1761"/>
      <c r="G806" s="1761"/>
      <c r="H806" s="1761"/>
      <c r="I806" s="1761"/>
      <c r="J806" s="1761"/>
      <c r="K806" s="1761"/>
      <c r="L806" s="1761"/>
      <c r="M806" s="1761"/>
      <c r="N806" s="1761"/>
      <c r="O806" s="1761"/>
      <c r="P806" s="1761"/>
      <c r="Q806" s="1761"/>
      <c r="R806" s="1761"/>
      <c r="S806" s="1761"/>
      <c r="T806" s="1761"/>
      <c r="U806" s="1761"/>
      <c r="V806" s="1761"/>
      <c r="W806" s="1761"/>
      <c r="X806" s="1761"/>
      <c r="Y806" s="1761"/>
      <c r="Z806" s="1761"/>
      <c r="AA806" s="1761"/>
      <c r="AB806" s="1761"/>
      <c r="AC806" s="1761"/>
      <c r="AD806" s="1761"/>
      <c r="AE806" s="1761"/>
      <c r="AF806" s="1761"/>
      <c r="AG806" s="1761"/>
      <c r="AH806" s="1761"/>
      <c r="AI806" s="1761"/>
      <c r="AJ806" s="1761"/>
      <c r="AK806" s="1761"/>
      <c r="AL806" s="1761"/>
      <c r="AM806" s="1761"/>
      <c r="AN806" s="1761"/>
      <c r="AO806"/>
      <c r="AP806"/>
      <c r="AQ806"/>
      <c r="AR806"/>
      <c r="AS806"/>
      <c r="AT806"/>
      <c r="AU806"/>
      <c r="AV806"/>
      <c r="AW806"/>
      <c r="AX806"/>
      <c r="AY806"/>
      <c r="AZ806" s="30"/>
      <c r="BA806" s="30"/>
      <c r="CP806"/>
      <c r="CQ806"/>
      <c r="CR806"/>
      <c r="CS806"/>
      <c r="CT806" s="856">
        <f>CP805*1</f>
        <v>0</v>
      </c>
      <c r="CU806" s="3"/>
      <c r="CV806" s="3"/>
      <c r="CW806" s="3"/>
      <c r="CX806" s="3"/>
      <c r="CY806" s="856">
        <f>CU805*1</f>
        <v>0</v>
      </c>
      <c r="CZ806" s="3"/>
      <c r="DA806" s="3"/>
      <c r="DB806" s="3"/>
      <c r="DC806" s="3"/>
      <c r="DD806" s="856">
        <f>CZ805*2</f>
        <v>0</v>
      </c>
      <c r="DE806" s="3"/>
      <c r="DF806" s="3"/>
      <c r="DG806" s="3"/>
      <c r="DH806" s="3"/>
      <c r="DI806" s="856">
        <f>DE805*3</f>
        <v>0</v>
      </c>
      <c r="DJ806" s="3"/>
      <c r="DK806" s="3"/>
      <c r="DL806" s="3"/>
      <c r="DM806" s="3"/>
      <c r="DN806" s="856">
        <f>DJ805*4</f>
        <v>0</v>
      </c>
      <c r="DO806" s="3"/>
      <c r="DP806" s="3"/>
      <c r="DQ806" s="3"/>
      <c r="DR806" s="3"/>
      <c r="DS806" s="8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61"/>
      <c r="D807" s="1761"/>
      <c r="E807" s="1761"/>
      <c r="F807" s="1761"/>
      <c r="G807" s="1761"/>
      <c r="H807" s="1761"/>
      <c r="I807" s="1761"/>
      <c r="J807" s="1761"/>
      <c r="K807" s="1761"/>
      <c r="L807" s="1761"/>
      <c r="M807" s="1761"/>
      <c r="N807" s="1761"/>
      <c r="O807" s="1761"/>
      <c r="P807" s="1761"/>
      <c r="Q807" s="1761"/>
      <c r="R807" s="1761"/>
      <c r="S807" s="1761"/>
      <c r="T807" s="1761"/>
      <c r="U807" s="1761"/>
      <c r="V807" s="1761"/>
      <c r="W807" s="1761"/>
      <c r="X807" s="1761"/>
      <c r="Y807" s="1761"/>
      <c r="Z807" s="1761"/>
      <c r="AA807" s="1761"/>
      <c r="AB807" s="1761"/>
      <c r="AC807" s="1761"/>
      <c r="AD807" s="1761"/>
      <c r="AE807" s="1761"/>
      <c r="AF807" s="1761"/>
      <c r="AG807" s="1761"/>
      <c r="AH807" s="1761"/>
      <c r="AI807" s="1761"/>
      <c r="AJ807" s="1761"/>
      <c r="AK807" s="1761"/>
      <c r="AL807" s="1761"/>
      <c r="AM807" s="1761"/>
      <c r="AN807" s="176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6">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90">
        <f>SUM(DU805:EX805)</f>
        <v>0</v>
      </c>
      <c r="EU807" s="1891"/>
      <c r="EV807" s="1891"/>
      <c r="EW807" s="1891"/>
      <c r="EX807" s="1892"/>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8">
        <f>O761+AC785+AC805</f>
        <v>187272</v>
      </c>
      <c r="Z808" s="1688"/>
      <c r="AA808" s="1688"/>
      <c r="AB808" s="1688"/>
      <c r="AC808" s="168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6">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8">
        <f>(O761+AC785+AC805)*12</f>
        <v>2247264</v>
      </c>
      <c r="Z809" s="1688"/>
      <c r="AA809" s="1688"/>
      <c r="AB809" s="1688"/>
      <c r="AC809" s="168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7">
        <f>CP761+CP785+CP805</f>
        <v>0</v>
      </c>
      <c r="CQ810" s="1558"/>
      <c r="CR810" s="1558"/>
      <c r="CS810" s="1558"/>
      <c r="CT810" s="1559"/>
      <c r="CU810" s="1557">
        <f>CU761+CU785+CU805</f>
        <v>58</v>
      </c>
      <c r="CV810" s="1558"/>
      <c r="CW810" s="1558"/>
      <c r="CX810" s="1558"/>
      <c r="CY810" s="1559"/>
      <c r="CZ810" s="1557">
        <f>CZ761+CZ785+CZ805</f>
        <v>33</v>
      </c>
      <c r="DA810" s="1558"/>
      <c r="DB810" s="1558"/>
      <c r="DC810" s="1558"/>
      <c r="DD810" s="1559"/>
      <c r="DE810" s="1557">
        <f>DE761+DE785+DE805</f>
        <v>33</v>
      </c>
      <c r="DF810" s="1558"/>
      <c r="DG810" s="1558"/>
      <c r="DH810" s="1558"/>
      <c r="DI810" s="1559"/>
      <c r="DJ810" s="1557">
        <f>DJ761+DJ785+DJ805</f>
        <v>0</v>
      </c>
      <c r="DK810" s="1558"/>
      <c r="DL810" s="1558"/>
      <c r="DM810" s="1558"/>
      <c r="DN810" s="1559"/>
      <c r="DO810" s="1550">
        <f>DO805+DO785+DO761</f>
        <v>0</v>
      </c>
      <c r="DP810" s="1556"/>
      <c r="DQ810" s="1556"/>
      <c r="DR810" s="1556"/>
      <c r="DS810" s="1551"/>
      <c r="DT810" s="3"/>
      <c r="DU810" s="856">
        <f>DU763+DU808</f>
        <v>219</v>
      </c>
      <c r="DV810" s="57" t="s">
        <v>1836</v>
      </c>
    </row>
    <row r="811" spans="1:154" s="4" customFormat="1" ht="12.95"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75">
        <v>10</v>
      </c>
      <c r="AA814" s="1576"/>
      <c r="AB814" s="1576"/>
      <c r="AC814" s="1576"/>
      <c r="AD814" s="1576"/>
      <c r="AE814" s="157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62">
        <v>20</v>
      </c>
      <c r="AA815" s="1576"/>
      <c r="AB815" s="1576"/>
      <c r="AC815" s="1576"/>
      <c r="AD815" s="1576"/>
      <c r="AE815" s="157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58">
        <v>54694</v>
      </c>
      <c r="AA816" s="1648"/>
      <c r="AB816" s="1648"/>
      <c r="AC816" s="1648"/>
      <c r="AD816" s="1648"/>
      <c r="AE816" s="164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42">
        <f>'Subsidy Contract Calculation'!J40</f>
        <v>219960</v>
      </c>
      <c r="AA817" s="1543"/>
      <c r="AB817" s="1543"/>
      <c r="AC817" s="1543"/>
      <c r="AD817" s="1543"/>
      <c r="AE817" s="154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69">
        <v>12672</v>
      </c>
      <c r="AA821" s="1470"/>
      <c r="AB821" s="1470"/>
      <c r="AC821" s="1470"/>
      <c r="AD821" s="1470"/>
      <c r="AE821" s="147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69">
        <v>0</v>
      </c>
      <c r="AA822" s="1470"/>
      <c r="AB822" s="1470"/>
      <c r="AC822" s="1470"/>
      <c r="AD822" s="1470"/>
      <c r="AE822" s="147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69">
        <v>0</v>
      </c>
      <c r="AA823" s="1470"/>
      <c r="AB823" s="1470"/>
      <c r="AC823" s="1470"/>
      <c r="AD823" s="1470"/>
      <c r="AE823" s="147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3" t="s">
        <v>333</v>
      </c>
      <c r="Q824" s="1654"/>
      <c r="R824" s="1654"/>
      <c r="S824" s="1654"/>
      <c r="T824" s="1654"/>
      <c r="U824" s="1654"/>
      <c r="V824" s="1654"/>
      <c r="W824" s="1654"/>
      <c r="X824" s="1654"/>
      <c r="Y824" s="1655"/>
      <c r="Z824" s="1469"/>
      <c r="AA824" s="1470"/>
      <c r="AB824" s="1470"/>
      <c r="AC824" s="1470"/>
      <c r="AD824" s="1470"/>
      <c r="AE824" s="147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42">
        <f>SUM(Z821:AE824)</f>
        <v>12672</v>
      </c>
      <c r="AA825" s="1543"/>
      <c r="AB825" s="1543"/>
      <c r="AC825" s="1543"/>
      <c r="AD825" s="1543"/>
      <c r="AE825" s="154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542">
        <f>Z825+Y809+Z817</f>
        <v>2479896</v>
      </c>
      <c r="AA826" s="1543"/>
      <c r="AB826" s="1543"/>
      <c r="AC826" s="1543"/>
      <c r="AD826" s="1543"/>
      <c r="AE826" s="154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29" t="s">
        <v>126</v>
      </c>
      <c r="N831" s="1629"/>
      <c r="O831" s="1629"/>
      <c r="P831" s="1685"/>
      <c r="Q831" s="1677" t="s">
        <v>289</v>
      </c>
      <c r="R831" s="1677"/>
      <c r="S831" s="1677"/>
      <c r="T831" s="1677"/>
      <c r="U831" s="1677" t="s">
        <v>290</v>
      </c>
      <c r="V831" s="1677"/>
      <c r="W831" s="1677"/>
      <c r="X831" s="1677"/>
      <c r="Y831" s="1677" t="s">
        <v>291</v>
      </c>
      <c r="Z831" s="1677"/>
      <c r="AA831" s="1677"/>
      <c r="AB831" s="1677"/>
      <c r="AC831" s="1677" t="s">
        <v>360</v>
      </c>
      <c r="AD831" s="1677"/>
      <c r="AE831" s="1677"/>
      <c r="AF831" s="1677"/>
      <c r="AG831" s="1760" t="s">
        <v>334</v>
      </c>
      <c r="AH831" s="1760"/>
      <c r="AI831" s="1760"/>
      <c r="AJ831" s="1760"/>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570"/>
      <c r="N832" s="1570"/>
      <c r="O832" s="1570"/>
      <c r="P832" s="1571"/>
      <c r="Q832" s="1677"/>
      <c r="R832" s="1677"/>
      <c r="S832" s="1677"/>
      <c r="T832" s="1677"/>
      <c r="U832" s="1677"/>
      <c r="V832" s="1677"/>
      <c r="W832" s="1677"/>
      <c r="X832" s="1677"/>
      <c r="Y832" s="1677"/>
      <c r="Z832" s="1677"/>
      <c r="AA832" s="1677"/>
      <c r="AB832" s="1677"/>
      <c r="AC832" s="1677"/>
      <c r="AD832" s="1677"/>
      <c r="AE832" s="1677"/>
      <c r="AF832" s="1677"/>
      <c r="AG832" s="1760"/>
      <c r="AH832" s="1760"/>
      <c r="AI832" s="1760"/>
      <c r="AJ832" s="1760"/>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56" t="s">
        <v>40</v>
      </c>
      <c r="D833" s="1522"/>
      <c r="E833" s="1522"/>
      <c r="F833" s="1522"/>
      <c r="G833" s="1522"/>
      <c r="H833" s="1522"/>
      <c r="I833" s="48"/>
      <c r="J833" s="48"/>
      <c r="K833" s="48"/>
      <c r="L833" s="49"/>
      <c r="M833" s="1674"/>
      <c r="N833" s="1674"/>
      <c r="O833" s="1674"/>
      <c r="P833" s="1674"/>
      <c r="Q833" s="1674">
        <v>0.93</v>
      </c>
      <c r="R833" s="1674"/>
      <c r="S833" s="1674"/>
      <c r="T833" s="1674"/>
      <c r="U833" s="1674">
        <v>1.33</v>
      </c>
      <c r="V833" s="1674"/>
      <c r="W833" s="1674"/>
      <c r="X833" s="1674"/>
      <c r="Y833" s="1674">
        <v>0.61</v>
      </c>
      <c r="Z833" s="1674"/>
      <c r="AA833" s="1674"/>
      <c r="AB833" s="1674"/>
      <c r="AC833" s="1475"/>
      <c r="AD833" s="1476"/>
      <c r="AE833" s="1476"/>
      <c r="AF833" s="1477"/>
      <c r="AG833" s="1475"/>
      <c r="AH833" s="1476"/>
      <c r="AI833" s="1476"/>
      <c r="AJ833" s="147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78" t="s">
        <v>41</v>
      </c>
      <c r="D834" s="1679"/>
      <c r="E834" s="1679"/>
      <c r="F834" s="1679"/>
      <c r="G834" s="1679"/>
      <c r="H834" s="1679"/>
      <c r="I834" s="5"/>
      <c r="J834" s="5"/>
      <c r="K834" s="5"/>
      <c r="L834" s="46"/>
      <c r="M834" s="1674"/>
      <c r="N834" s="1674"/>
      <c r="O834" s="1674"/>
      <c r="P834" s="1674"/>
      <c r="Q834" s="1674"/>
      <c r="R834" s="1674"/>
      <c r="S834" s="1674"/>
      <c r="T834" s="1674"/>
      <c r="U834" s="1674"/>
      <c r="V834" s="1674"/>
      <c r="W834" s="1674"/>
      <c r="X834" s="1674"/>
      <c r="Y834" s="1674"/>
      <c r="Z834" s="1674"/>
      <c r="AA834" s="1674"/>
      <c r="AB834" s="1674"/>
      <c r="AC834" s="1475"/>
      <c r="AD834" s="1476"/>
      <c r="AE834" s="1476"/>
      <c r="AF834" s="1477"/>
      <c r="AG834" s="1475"/>
      <c r="AH834" s="1476"/>
      <c r="AI834" s="1476"/>
      <c r="AJ834" s="147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78" t="s">
        <v>42</v>
      </c>
      <c r="D835" s="1679"/>
      <c r="E835" s="1679"/>
      <c r="F835" s="1679"/>
      <c r="G835" s="1679"/>
      <c r="H835" s="1679"/>
      <c r="I835" s="60"/>
      <c r="J835" s="60"/>
      <c r="K835" s="60"/>
      <c r="L835" s="61"/>
      <c r="M835" s="1674"/>
      <c r="N835" s="1674"/>
      <c r="O835" s="1674"/>
      <c r="P835" s="1674"/>
      <c r="Q835" s="1674">
        <v>14.81</v>
      </c>
      <c r="R835" s="1674"/>
      <c r="S835" s="1674"/>
      <c r="T835" s="1674"/>
      <c r="U835" s="1674">
        <v>17.12</v>
      </c>
      <c r="V835" s="1674"/>
      <c r="W835" s="1674"/>
      <c r="X835" s="1674"/>
      <c r="Y835" s="1674">
        <v>19.25</v>
      </c>
      <c r="Z835" s="1674"/>
      <c r="AA835" s="1674"/>
      <c r="AB835" s="1674"/>
      <c r="AC835" s="1475"/>
      <c r="AD835" s="1476"/>
      <c r="AE835" s="1476"/>
      <c r="AF835" s="1477"/>
      <c r="AG835" s="1475"/>
      <c r="AH835" s="1476"/>
      <c r="AI835" s="1476"/>
      <c r="AJ835" s="147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78" t="s">
        <v>760</v>
      </c>
      <c r="D836" s="1679"/>
      <c r="E836" s="1679"/>
      <c r="F836" s="1679"/>
      <c r="G836" s="1679"/>
      <c r="H836" s="1679"/>
      <c r="I836" s="60"/>
      <c r="J836" s="60"/>
      <c r="K836" s="60"/>
      <c r="L836" s="61"/>
      <c r="M836" s="1674"/>
      <c r="N836" s="1674"/>
      <c r="O836" s="1674"/>
      <c r="P836" s="1674"/>
      <c r="Q836" s="1674">
        <v>10.119999999999999</v>
      </c>
      <c r="R836" s="1674"/>
      <c r="S836" s="1674"/>
      <c r="T836" s="1674"/>
      <c r="U836" s="1674">
        <v>11.98</v>
      </c>
      <c r="V836" s="1674"/>
      <c r="W836" s="1674"/>
      <c r="X836" s="1674"/>
      <c r="Y836" s="1674">
        <v>14.54</v>
      </c>
      <c r="Z836" s="1674"/>
      <c r="AA836" s="1674"/>
      <c r="AB836" s="1674"/>
      <c r="AC836" s="1475"/>
      <c r="AD836" s="1476"/>
      <c r="AE836" s="1476"/>
      <c r="AF836" s="1477"/>
      <c r="AG836" s="1475"/>
      <c r="AH836" s="1476"/>
      <c r="AI836" s="1476"/>
      <c r="AJ836" s="147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78" t="s">
        <v>457</v>
      </c>
      <c r="D837" s="1679"/>
      <c r="E837" s="1679"/>
      <c r="F837" s="1679"/>
      <c r="G837" s="1679"/>
      <c r="H837" s="1679"/>
      <c r="I837" s="60"/>
      <c r="J837" s="60"/>
      <c r="K837" s="60"/>
      <c r="L837" s="61"/>
      <c r="M837" s="1674"/>
      <c r="N837" s="1674"/>
      <c r="O837" s="1674"/>
      <c r="P837" s="1674"/>
      <c r="Q837" s="1674">
        <v>27.06</v>
      </c>
      <c r="R837" s="1674"/>
      <c r="S837" s="1674"/>
      <c r="T837" s="1674"/>
      <c r="U837" s="1674">
        <v>32.57</v>
      </c>
      <c r="V837" s="1674"/>
      <c r="W837" s="1674"/>
      <c r="X837" s="1674"/>
      <c r="Y837" s="1674">
        <v>38.76</v>
      </c>
      <c r="Z837" s="1674"/>
      <c r="AA837" s="1674"/>
      <c r="AB837" s="1674"/>
      <c r="AC837" s="1475"/>
      <c r="AD837" s="1476"/>
      <c r="AE837" s="1476"/>
      <c r="AF837" s="1477"/>
      <c r="AG837" s="1475"/>
      <c r="AH837" s="1476"/>
      <c r="AI837" s="1476"/>
      <c r="AJ837" s="147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7" t="s">
        <v>781</v>
      </c>
      <c r="D838" s="1679"/>
      <c r="E838" s="1679"/>
      <c r="F838" s="1679"/>
      <c r="G838" s="1679"/>
      <c r="H838" s="1679"/>
      <c r="I838" s="60"/>
      <c r="J838" s="60"/>
      <c r="K838" s="60"/>
      <c r="L838" s="61"/>
      <c r="M838" s="1674"/>
      <c r="N838" s="1674"/>
      <c r="O838" s="1674"/>
      <c r="P838" s="1674"/>
      <c r="Q838" s="1674"/>
      <c r="R838" s="1674"/>
      <c r="S838" s="1674"/>
      <c r="T838" s="1674"/>
      <c r="U838" s="1674"/>
      <c r="V838" s="1674"/>
      <c r="W838" s="1674"/>
      <c r="X838" s="1674"/>
      <c r="Y838" s="1674"/>
      <c r="Z838" s="1674"/>
      <c r="AA838" s="1674"/>
      <c r="AB838" s="1674"/>
      <c r="AC838" s="1475"/>
      <c r="AD838" s="1476"/>
      <c r="AE838" s="1476"/>
      <c r="AF838" s="1477"/>
      <c r="AG838" s="1475"/>
      <c r="AH838" s="1476"/>
      <c r="AI838" s="1476"/>
      <c r="AJ838" s="147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53" t="s">
        <v>2745</v>
      </c>
      <c r="G839" s="1654"/>
      <c r="H839" s="1654"/>
      <c r="I839" s="1654"/>
      <c r="J839" s="1654"/>
      <c r="K839" s="1654"/>
      <c r="L839" s="1654"/>
      <c r="M839" s="1674"/>
      <c r="N839" s="1674"/>
      <c r="O839" s="1674"/>
      <c r="P839" s="1674"/>
      <c r="Q839" s="1674">
        <v>6.17</v>
      </c>
      <c r="R839" s="1674"/>
      <c r="S839" s="1674"/>
      <c r="T839" s="1674"/>
      <c r="U839" s="1674">
        <v>9.02</v>
      </c>
      <c r="V839" s="1674"/>
      <c r="W839" s="1674"/>
      <c r="X839" s="1674"/>
      <c r="Y839" s="1674">
        <v>9.76</v>
      </c>
      <c r="Z839" s="1674"/>
      <c r="AA839" s="1674"/>
      <c r="AB839" s="1674"/>
      <c r="AC839" s="1475"/>
      <c r="AD839" s="1476"/>
      <c r="AE839" s="1476"/>
      <c r="AF839" s="1477"/>
      <c r="AG839" s="1475"/>
      <c r="AH839" s="1476"/>
      <c r="AI839" s="1476"/>
      <c r="AJ839" s="147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9" t="s">
        <v>124</v>
      </c>
      <c r="D840" s="1540"/>
      <c r="E840" s="1540"/>
      <c r="F840" s="1540"/>
      <c r="G840" s="1540"/>
      <c r="H840" s="1540"/>
      <c r="I840" s="1540"/>
      <c r="J840" s="1540"/>
      <c r="K840" s="1540"/>
      <c r="L840" s="1541"/>
      <c r="M840" s="1673">
        <f>SUM(M833:P839)</f>
        <v>0</v>
      </c>
      <c r="N840" s="1673"/>
      <c r="O840" s="1673"/>
      <c r="P840" s="1673"/>
      <c r="Q840" s="1673">
        <f>SUM(Q833:T839)</f>
        <v>59.09</v>
      </c>
      <c r="R840" s="1673"/>
      <c r="S840" s="1673"/>
      <c r="T840" s="1673"/>
      <c r="U840" s="1673">
        <f>SUM(U833:X839)</f>
        <v>72.02</v>
      </c>
      <c r="V840" s="1673"/>
      <c r="W840" s="1673"/>
      <c r="X840" s="1673"/>
      <c r="Y840" s="1673">
        <f>SUM(Y833:AB839)</f>
        <v>82.92</v>
      </c>
      <c r="Z840" s="1673"/>
      <c r="AA840" s="1673"/>
      <c r="AB840" s="1673"/>
      <c r="AC840" s="1673">
        <f>SUM(AC833:AF839)</f>
        <v>0</v>
      </c>
      <c r="AD840" s="1673"/>
      <c r="AE840" s="1673"/>
      <c r="AF840" s="1673"/>
      <c r="AG840" s="1673">
        <f>SUM(AG833:AJ839)</f>
        <v>0</v>
      </c>
      <c r="AH840" s="1673"/>
      <c r="AI840" s="1673"/>
      <c r="AJ840" s="1673"/>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44" t="s">
        <v>2769</v>
      </c>
      <c r="D845" s="1745"/>
      <c r="E845" s="1745"/>
      <c r="F845" s="1745"/>
      <c r="G845" s="1745"/>
      <c r="H845" s="1745"/>
      <c r="I845" s="1745"/>
      <c r="J845" s="1745"/>
      <c r="K845" s="1745"/>
      <c r="L845" s="1745"/>
      <c r="M845" s="1745"/>
      <c r="N845" s="1745"/>
      <c r="O845" s="1745"/>
      <c r="P845" s="1745"/>
      <c r="Q845" s="1745"/>
      <c r="R845" s="1745"/>
      <c r="S845" s="1745"/>
      <c r="T845" s="1745"/>
      <c r="U845" s="1745"/>
      <c r="V845" s="1745"/>
      <c r="W845" s="1745"/>
      <c r="X845" s="1745"/>
      <c r="Y845" s="1745"/>
      <c r="Z845" s="1745"/>
      <c r="AA845" s="1745"/>
      <c r="AB845" s="1745"/>
      <c r="AC845" s="1745"/>
      <c r="AD845" s="1745"/>
      <c r="AE845" s="1745"/>
      <c r="AF845" s="1745"/>
      <c r="AG845" s="1745"/>
      <c r="AH845" s="1745"/>
      <c r="AI845" s="1745"/>
      <c r="AJ845" s="1746"/>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8"/>
      <c r="BJ849" s="1698"/>
      <c r="BK849" s="1698"/>
      <c r="BL849" s="1698"/>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465">
        <v>3700</v>
      </c>
      <c r="X850" s="1465"/>
      <c r="Y850" s="1465"/>
      <c r="Z850" s="1465"/>
      <c r="AA850" s="1465"/>
      <c r="AB850" s="1465"/>
      <c r="AC850" s="146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465">
        <v>10000</v>
      </c>
      <c r="X851" s="1465"/>
      <c r="Y851" s="1465"/>
      <c r="Z851" s="1465"/>
      <c r="AA851" s="1465"/>
      <c r="AB851" s="1465"/>
      <c r="AC851" s="146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465">
        <v>15000</v>
      </c>
      <c r="X852" s="1465"/>
      <c r="Y852" s="1465"/>
      <c r="Z852" s="1465"/>
      <c r="AA852" s="1465"/>
      <c r="AB852" s="1465"/>
      <c r="AC852" s="1465"/>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465">
        <v>21850</v>
      </c>
      <c r="X853" s="1465"/>
      <c r="Y853" s="1465"/>
      <c r="Z853" s="1465"/>
      <c r="AA853" s="1465"/>
      <c r="AB853" s="1465"/>
      <c r="AC853" s="1465"/>
      <c r="AZ853" s="30"/>
      <c r="BA853" s="30"/>
      <c r="BB853" s="14"/>
      <c r="BC853" s="14"/>
      <c r="BD853" s="14"/>
      <c r="BE853" s="14"/>
      <c r="BF853" s="14"/>
      <c r="BG853" s="14"/>
      <c r="BH853" s="14"/>
      <c r="BI853" s="14"/>
      <c r="BJ853" s="14"/>
      <c r="BK853" s="14"/>
      <c r="BL853" s="14"/>
    </row>
    <row r="854" spans="1:64" ht="12.95" customHeight="1">
      <c r="J854" s="45" t="s">
        <v>169</v>
      </c>
      <c r="K854" s="5"/>
      <c r="L854" s="5"/>
      <c r="M854" s="1653" t="s">
        <v>2806</v>
      </c>
      <c r="N854" s="1654"/>
      <c r="O854" s="1654"/>
      <c r="P854" s="1654"/>
      <c r="Q854" s="1654"/>
      <c r="R854" s="1654"/>
      <c r="S854" s="1654"/>
      <c r="T854" s="1654"/>
      <c r="U854" s="1654"/>
      <c r="V854" s="1655"/>
      <c r="W854" s="1465">
        <v>47380</v>
      </c>
      <c r="X854" s="1465"/>
      <c r="Y854" s="1465"/>
      <c r="Z854" s="1465"/>
      <c r="AA854" s="1465"/>
      <c r="AB854" s="1465"/>
      <c r="AC854" s="146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42">
        <f>SUM(W850:W854)</f>
        <v>97930</v>
      </c>
      <c r="X855" s="1543"/>
      <c r="Y855" s="1543"/>
      <c r="Z855" s="1543"/>
      <c r="AA855" s="1543"/>
      <c r="AB855" s="1543"/>
      <c r="AC855" s="154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83"/>
      <c r="BH856" s="1683"/>
      <c r="BI856" s="1683"/>
      <c r="BJ856" s="1683"/>
      <c r="BK856" s="1683"/>
      <c r="BL856" s="1683"/>
    </row>
    <row r="857" spans="1:64" ht="12.95" customHeight="1">
      <c r="C857" s="2" t="s">
        <v>343</v>
      </c>
      <c r="J857" s="1539" t="s">
        <v>344</v>
      </c>
      <c r="K857" s="1540"/>
      <c r="L857" s="1540"/>
      <c r="M857" s="1540"/>
      <c r="N857" s="1540"/>
      <c r="O857" s="1540"/>
      <c r="P857" s="1540"/>
      <c r="Q857" s="1540"/>
      <c r="R857" s="1540"/>
      <c r="S857" s="1540"/>
      <c r="T857" s="1540"/>
      <c r="U857" s="1540"/>
      <c r="V857" s="1541"/>
      <c r="W857" s="1469">
        <v>112728</v>
      </c>
      <c r="X857" s="1470"/>
      <c r="Y857" s="1470"/>
      <c r="Z857" s="1470"/>
      <c r="AA857" s="1470"/>
      <c r="AB857" s="1470"/>
      <c r="AC857" s="1471"/>
      <c r="AD857" s="532"/>
      <c r="AZ857" s="30"/>
      <c r="BA857" s="30"/>
      <c r="BB857" s="14"/>
      <c r="BC857" s="14"/>
    </row>
    <row r="858" spans="1:64" ht="12.95" customHeight="1">
      <c r="AD858" s="532"/>
      <c r="AZ858" s="30"/>
      <c r="BA858" s="30"/>
      <c r="BB858" s="14"/>
      <c r="BC858" s="14"/>
    </row>
    <row r="859" spans="1:64" ht="12.95" customHeight="1">
      <c r="C859" s="2" t="s">
        <v>559</v>
      </c>
      <c r="J859" s="45" t="s">
        <v>351</v>
      </c>
      <c r="K859" s="5"/>
      <c r="L859" s="5"/>
      <c r="M859" s="5"/>
      <c r="N859" s="5"/>
      <c r="O859" s="5"/>
      <c r="P859" s="5"/>
      <c r="Q859" s="5"/>
      <c r="R859" s="5"/>
      <c r="S859" s="5"/>
      <c r="T859" s="5"/>
      <c r="U859" s="5"/>
      <c r="V859" s="46"/>
      <c r="W859" s="1675">
        <v>0</v>
      </c>
      <c r="X859" s="1675"/>
      <c r="Y859" s="1675"/>
      <c r="Z859" s="1675"/>
      <c r="AA859" s="1675"/>
      <c r="AB859" s="1675"/>
      <c r="AC859" s="1675"/>
      <c r="AZ859" s="1747"/>
      <c r="BA859" s="1747"/>
      <c r="BB859" s="14"/>
      <c r="BC859" s="14"/>
    </row>
    <row r="860" spans="1:64" ht="12.95" customHeight="1">
      <c r="J860" s="45" t="s">
        <v>350</v>
      </c>
      <c r="K860" s="5"/>
      <c r="L860" s="5"/>
      <c r="M860" s="5"/>
      <c r="N860" s="5"/>
      <c r="O860" s="5"/>
      <c r="P860" s="5"/>
      <c r="Q860" s="5"/>
      <c r="R860" s="5"/>
      <c r="S860" s="5"/>
      <c r="T860" s="5"/>
      <c r="U860" s="5"/>
      <c r="V860" s="46"/>
      <c r="W860" s="1675">
        <v>0</v>
      </c>
      <c r="X860" s="1675"/>
      <c r="Y860" s="1675"/>
      <c r="Z860" s="1675"/>
      <c r="AA860" s="1675"/>
      <c r="AB860" s="1675"/>
      <c r="AC860" s="1675"/>
      <c r="AZ860" s="30"/>
      <c r="BA860" s="30"/>
      <c r="BB860" s="14"/>
      <c r="BC860" s="14"/>
    </row>
    <row r="861" spans="1:64" ht="12.95" customHeight="1">
      <c r="J861" s="45" t="s">
        <v>457</v>
      </c>
      <c r="K861" s="5"/>
      <c r="L861" s="5"/>
      <c r="M861" s="5"/>
      <c r="N861" s="5"/>
      <c r="O861" s="5"/>
      <c r="P861" s="5"/>
      <c r="Q861" s="5"/>
      <c r="R861" s="5"/>
      <c r="S861" s="5"/>
      <c r="T861" s="5"/>
      <c r="U861" s="5"/>
      <c r="V861" s="46"/>
      <c r="W861" s="1675">
        <f>120011</f>
        <v>120011</v>
      </c>
      <c r="X861" s="1675"/>
      <c r="Y861" s="1675"/>
      <c r="Z861" s="1675"/>
      <c r="AA861" s="1675"/>
      <c r="AB861" s="1675"/>
      <c r="AC861" s="1675"/>
      <c r="AZ861" s="30"/>
      <c r="BA861" s="30"/>
      <c r="BB861" s="14"/>
      <c r="BC861" s="14"/>
    </row>
    <row r="862" spans="1:64" ht="12.95" customHeight="1">
      <c r="J862" s="62" t="s">
        <v>618</v>
      </c>
      <c r="K862" s="5"/>
      <c r="L862" s="5"/>
      <c r="M862" s="5"/>
      <c r="N862" s="5"/>
      <c r="O862" s="5"/>
      <c r="P862" s="5"/>
      <c r="Q862" s="5"/>
      <c r="R862" s="5"/>
      <c r="S862" s="5"/>
      <c r="T862" s="5"/>
      <c r="U862" s="5"/>
      <c r="V862" s="46"/>
      <c r="W862" s="1675">
        <v>89318</v>
      </c>
      <c r="X862" s="1675"/>
      <c r="Y862" s="1675"/>
      <c r="Z862" s="1675"/>
      <c r="AA862" s="1675"/>
      <c r="AB862" s="1675"/>
      <c r="AC862" s="1675"/>
      <c r="AZ862" s="34"/>
      <c r="BA862" s="34"/>
      <c r="BB862" s="34"/>
      <c r="BC862" s="34"/>
    </row>
    <row r="863" spans="1:64" ht="12.95" customHeight="1">
      <c r="J863" s="63"/>
      <c r="K863" s="48"/>
      <c r="L863" s="48"/>
      <c r="M863" s="48"/>
      <c r="N863" s="48"/>
      <c r="O863" s="48"/>
      <c r="P863" s="48"/>
      <c r="Q863" s="48"/>
      <c r="R863" s="48"/>
      <c r="S863" s="48"/>
      <c r="T863" s="48"/>
      <c r="U863" s="48"/>
      <c r="V863" s="54" t="s">
        <v>271</v>
      </c>
      <c r="W863" s="1676">
        <f>SUM(W859:W862)</f>
        <v>209329</v>
      </c>
      <c r="X863" s="1676"/>
      <c r="Y863" s="1676"/>
      <c r="Z863" s="1676"/>
      <c r="AA863" s="1676"/>
      <c r="AB863" s="1676"/>
      <c r="AC863" s="1676"/>
      <c r="AZ863" s="34"/>
      <c r="BA863" s="34"/>
      <c r="BB863" s="34"/>
      <c r="BC863" s="34"/>
    </row>
    <row r="864" spans="1:64" ht="12.95" customHeight="1">
      <c r="AZ864" s="34"/>
      <c r="BA864" s="34"/>
      <c r="BB864" s="34"/>
      <c r="BC864" s="34"/>
    </row>
    <row r="865" spans="3:55" ht="12.95" customHeight="1">
      <c r="C865" s="2" t="s">
        <v>345</v>
      </c>
      <c r="J865" s="45" t="s">
        <v>617</v>
      </c>
      <c r="K865" s="5"/>
      <c r="L865" s="5"/>
      <c r="M865" s="5"/>
      <c r="N865" s="5"/>
      <c r="O865" s="5"/>
      <c r="P865" s="5"/>
      <c r="Q865" s="5"/>
      <c r="R865" s="5"/>
      <c r="S865" s="5"/>
      <c r="T865" s="5"/>
      <c r="U865" s="5"/>
      <c r="V865" s="46"/>
      <c r="W865" s="1466">
        <v>106080</v>
      </c>
      <c r="X865" s="1467"/>
      <c r="Y865" s="1467"/>
      <c r="Z865" s="1467"/>
      <c r="AA865" s="1467"/>
      <c r="AB865" s="1467"/>
      <c r="AC865" s="1468"/>
      <c r="AD865" s="527"/>
      <c r="AZ865" s="34"/>
      <c r="BA865" s="34"/>
      <c r="BB865" s="34"/>
      <c r="BC865" s="34"/>
    </row>
    <row r="866" spans="3:55" ht="12.95" customHeight="1">
      <c r="C866" s="2" t="s">
        <v>346</v>
      </c>
      <c r="J866" s="121" t="s">
        <v>1642</v>
      </c>
      <c r="K866" s="5"/>
      <c r="L866" s="5"/>
      <c r="M866" s="5"/>
      <c r="N866" s="5"/>
      <c r="O866" s="5"/>
      <c r="P866" s="5"/>
      <c r="Q866" s="5"/>
      <c r="R866" s="5"/>
      <c r="S866" s="5"/>
      <c r="T866" s="1756">
        <v>2</v>
      </c>
      <c r="U866" s="1717"/>
      <c r="V866" s="1757"/>
      <c r="W866" s="869"/>
      <c r="X866" s="870"/>
      <c r="Y866" s="870"/>
      <c r="Z866" s="870"/>
      <c r="AA866" s="870"/>
      <c r="AB866" s="870"/>
      <c r="AC866" s="871"/>
      <c r="AD866" s="527"/>
      <c r="AZ866" s="34"/>
      <c r="BA866" s="34"/>
      <c r="BB866" s="34"/>
      <c r="BC866" s="34"/>
    </row>
    <row r="867" spans="3:55" ht="12.95" customHeight="1">
      <c r="C867" s="2"/>
      <c r="J867" s="45" t="s">
        <v>616</v>
      </c>
      <c r="K867" s="5"/>
      <c r="L867" s="5"/>
      <c r="M867" s="5"/>
      <c r="N867" s="5"/>
      <c r="O867" s="5"/>
      <c r="P867" s="5"/>
      <c r="Q867" s="5"/>
      <c r="R867" s="5"/>
      <c r="S867" s="5"/>
      <c r="T867" s="5"/>
      <c r="U867" s="5"/>
      <c r="V867" s="46"/>
      <c r="W867" s="1466">
        <v>106080</v>
      </c>
      <c r="X867" s="1467"/>
      <c r="Y867" s="1467"/>
      <c r="Z867" s="1467"/>
      <c r="AA867" s="1467"/>
      <c r="AB867" s="1467"/>
      <c r="AC867" s="1468"/>
      <c r="AD867" s="532"/>
      <c r="AZ867" s="34"/>
      <c r="BA867" s="34"/>
      <c r="BB867" s="34"/>
      <c r="BC867" s="34"/>
    </row>
    <row r="868" spans="3:55" ht="12.95" customHeight="1">
      <c r="C868" s="2"/>
      <c r="J868" s="121" t="s">
        <v>1643</v>
      </c>
      <c r="K868" s="5"/>
      <c r="L868" s="5"/>
      <c r="M868" s="5"/>
      <c r="N868" s="5"/>
      <c r="O868" s="5"/>
      <c r="P868" s="5"/>
      <c r="Q868" s="5"/>
      <c r="R868" s="5"/>
      <c r="S868" s="5"/>
      <c r="T868" s="1756">
        <v>2</v>
      </c>
      <c r="U868" s="1717"/>
      <c r="V868" s="1757"/>
      <c r="W868" s="869"/>
      <c r="X868" s="870"/>
      <c r="Y868" s="870"/>
      <c r="Z868" s="870"/>
      <c r="AA868" s="870"/>
      <c r="AB868" s="870"/>
      <c r="AC868" s="871"/>
      <c r="AD868" s="532"/>
      <c r="AZ868" s="34"/>
      <c r="BA868" s="34"/>
      <c r="BB868" s="34"/>
      <c r="BC868" s="34"/>
    </row>
    <row r="869" spans="3:55" ht="12.95" customHeight="1">
      <c r="J869" s="45" t="s">
        <v>169</v>
      </c>
      <c r="K869" s="5"/>
      <c r="L869" s="5"/>
      <c r="M869" s="1653" t="s">
        <v>2733</v>
      </c>
      <c r="N869" s="1654"/>
      <c r="O869" s="1654"/>
      <c r="P869" s="1654"/>
      <c r="Q869" s="1654"/>
      <c r="R869" s="1654"/>
      <c r="S869" s="1654"/>
      <c r="T869" s="1654"/>
      <c r="U869" s="1654"/>
      <c r="V869" s="1655"/>
      <c r="W869" s="1466">
        <v>75457</v>
      </c>
      <c r="X869" s="1467"/>
      <c r="Y869" s="1467"/>
      <c r="Z869" s="1467"/>
      <c r="AA869" s="1467"/>
      <c r="AB869" s="1467"/>
      <c r="AC869" s="1468"/>
      <c r="AD869" s="527"/>
      <c r="AU869" s="14"/>
      <c r="AZ869" s="34"/>
      <c r="BA869" s="34"/>
      <c r="BB869" s="34"/>
      <c r="BC869" s="34"/>
    </row>
    <row r="870" spans="3:55" ht="12.95" customHeight="1">
      <c r="J870" s="45"/>
      <c r="K870" s="5"/>
      <c r="L870" s="5"/>
      <c r="M870" s="5"/>
      <c r="N870" s="5"/>
      <c r="O870" s="5"/>
      <c r="P870" s="5"/>
      <c r="Q870" s="5"/>
      <c r="R870" s="5"/>
      <c r="S870" s="5"/>
      <c r="T870" s="5"/>
      <c r="U870" s="5"/>
      <c r="V870" s="54" t="s">
        <v>272</v>
      </c>
      <c r="W870" s="1689">
        <f>SUM(W865:W869)</f>
        <v>287617</v>
      </c>
      <c r="X870" s="1690"/>
      <c r="Y870" s="1690"/>
      <c r="Z870" s="1690"/>
      <c r="AA870" s="1690"/>
      <c r="AB870" s="1690"/>
      <c r="AC870" s="1691"/>
      <c r="AD870" s="532"/>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466">
        <v>113251</v>
      </c>
      <c r="X872" s="1467"/>
      <c r="Y872" s="1467"/>
      <c r="Z872" s="1467"/>
      <c r="AA872" s="1467"/>
      <c r="AB872" s="1467"/>
      <c r="AC872" s="1468"/>
      <c r="AU872" s="14"/>
      <c r="AZ872" s="34"/>
      <c r="BA872" s="34"/>
      <c r="BB872" s="34"/>
      <c r="BC872" s="34"/>
    </row>
    <row r="873" spans="3:55" ht="12.95" customHeight="1">
      <c r="J873" s="511"/>
      <c r="AU873" s="14"/>
      <c r="AZ873" s="34"/>
      <c r="BA873" s="34"/>
      <c r="BB873" s="34"/>
      <c r="BC873" s="34"/>
    </row>
    <row r="874" spans="3:55" ht="12.95" customHeight="1">
      <c r="C874" s="2" t="s">
        <v>389</v>
      </c>
      <c r="J874" s="45" t="s">
        <v>615</v>
      </c>
      <c r="K874" s="5"/>
      <c r="L874" s="5"/>
      <c r="M874" s="5"/>
      <c r="N874" s="5"/>
      <c r="O874" s="5"/>
      <c r="P874" s="5"/>
      <c r="Q874" s="5"/>
      <c r="R874" s="5"/>
      <c r="S874" s="5"/>
      <c r="T874" s="5"/>
      <c r="U874" s="5"/>
      <c r="V874" s="46"/>
      <c r="W874" s="1465">
        <v>22500</v>
      </c>
      <c r="X874" s="1465"/>
      <c r="Y874" s="1465"/>
      <c r="Z874" s="1465"/>
      <c r="AA874" s="1465"/>
      <c r="AB874" s="1465"/>
      <c r="AC874" s="1465"/>
      <c r="AU874" s="14"/>
      <c r="AZ874" s="34"/>
      <c r="BA874" s="34"/>
      <c r="BB874" s="34"/>
      <c r="BC874" s="34"/>
    </row>
    <row r="875" spans="3:55" ht="12.95" customHeight="1">
      <c r="J875" s="45" t="s">
        <v>520</v>
      </c>
      <c r="K875" s="5"/>
      <c r="L875" s="5"/>
      <c r="M875" s="5"/>
      <c r="N875" s="5"/>
      <c r="O875" s="5"/>
      <c r="P875" s="5"/>
      <c r="Q875" s="5"/>
      <c r="R875" s="5"/>
      <c r="S875" s="5"/>
      <c r="T875" s="5"/>
      <c r="U875" s="5"/>
      <c r="V875" s="46"/>
      <c r="W875" s="1465">
        <v>93212</v>
      </c>
      <c r="X875" s="1465"/>
      <c r="Y875" s="1465"/>
      <c r="Z875" s="1465"/>
      <c r="AA875" s="1465"/>
      <c r="AB875" s="1465"/>
      <c r="AC875" s="1465"/>
      <c r="AU875" s="4"/>
      <c r="AZ875" s="34"/>
      <c r="BA875" s="34"/>
      <c r="BB875" s="34"/>
      <c r="BC875" s="34"/>
    </row>
    <row r="876" spans="3:55" ht="12.95" customHeight="1">
      <c r="J876" s="45" t="s">
        <v>519</v>
      </c>
      <c r="K876" s="5"/>
      <c r="L876" s="5"/>
      <c r="M876" s="5"/>
      <c r="N876" s="5"/>
      <c r="O876" s="5"/>
      <c r="P876" s="5"/>
      <c r="Q876" s="5"/>
      <c r="R876" s="5"/>
      <c r="S876" s="5"/>
      <c r="T876" s="5"/>
      <c r="U876" s="5"/>
      <c r="V876" s="46"/>
      <c r="W876" s="1465">
        <v>70952</v>
      </c>
      <c r="X876" s="1465"/>
      <c r="Y876" s="1465"/>
      <c r="Z876" s="1465"/>
      <c r="AA876" s="1465"/>
      <c r="AB876" s="1465"/>
      <c r="AC876" s="1465"/>
      <c r="AU876" s="4"/>
      <c r="AZ876" s="34"/>
      <c r="BA876" s="34"/>
      <c r="BB876" s="34"/>
      <c r="BC876" s="34"/>
    </row>
    <row r="877" spans="3:55" ht="12.95" customHeight="1">
      <c r="J877" s="45" t="s">
        <v>518</v>
      </c>
      <c r="K877" s="5"/>
      <c r="L877" s="5"/>
      <c r="M877" s="5"/>
      <c r="N877" s="5"/>
      <c r="O877" s="5"/>
      <c r="P877" s="5"/>
      <c r="Q877" s="5"/>
      <c r="R877" s="5"/>
      <c r="S877" s="5"/>
      <c r="T877" s="5"/>
      <c r="U877" s="5"/>
      <c r="V877" s="46"/>
      <c r="W877" s="1465">
        <v>10000</v>
      </c>
      <c r="X877" s="1465"/>
      <c r="Y877" s="1465"/>
      <c r="Z877" s="1465"/>
      <c r="AA877" s="1465"/>
      <c r="AB877" s="1465"/>
      <c r="AC877" s="1465"/>
      <c r="AU877" s="4"/>
      <c r="AZ877" s="34"/>
      <c r="BA877" s="34"/>
      <c r="BB877" s="34"/>
      <c r="BC877" s="34"/>
    </row>
    <row r="878" spans="3:55" ht="12.95" customHeight="1">
      <c r="J878" s="45" t="s">
        <v>517</v>
      </c>
      <c r="K878" s="5"/>
      <c r="L878" s="5"/>
      <c r="M878" s="5"/>
      <c r="N878" s="5"/>
      <c r="O878" s="5"/>
      <c r="P878" s="5"/>
      <c r="Q878" s="5"/>
      <c r="R878" s="5"/>
      <c r="S878" s="5"/>
      <c r="T878" s="5"/>
      <c r="U878" s="5"/>
      <c r="V878" s="46"/>
      <c r="W878" s="1465">
        <v>56290</v>
      </c>
      <c r="X878" s="1465"/>
      <c r="Y878" s="1465"/>
      <c r="Z878" s="1465"/>
      <c r="AA878" s="1465"/>
      <c r="AB878" s="1465"/>
      <c r="AC878" s="1465"/>
      <c r="AU878" s="4"/>
      <c r="AZ878" s="34"/>
      <c r="BA878" s="34"/>
      <c r="BB878" s="34"/>
      <c r="BC878" s="34"/>
    </row>
    <row r="879" spans="3:55" ht="12.95" customHeight="1">
      <c r="J879" s="45" t="s">
        <v>516</v>
      </c>
      <c r="K879" s="5"/>
      <c r="L879" s="5"/>
      <c r="M879" s="5"/>
      <c r="N879" s="5"/>
      <c r="O879" s="5"/>
      <c r="P879" s="5"/>
      <c r="Q879" s="5"/>
      <c r="R879" s="5"/>
      <c r="S879" s="5"/>
      <c r="T879" s="5"/>
      <c r="U879" s="5"/>
      <c r="V879" s="46"/>
      <c r="W879" s="1465">
        <v>18000</v>
      </c>
      <c r="X879" s="1465"/>
      <c r="Y879" s="1465"/>
      <c r="Z879" s="1465"/>
      <c r="AA879" s="1465"/>
      <c r="AB879" s="1465"/>
      <c r="AC879" s="1465"/>
      <c r="AU879" s="4"/>
      <c r="AZ879" s="34"/>
      <c r="BA879" s="34"/>
      <c r="BB879" s="34"/>
      <c r="BC879" s="34"/>
    </row>
    <row r="880" spans="3:55" ht="12.95" customHeight="1">
      <c r="J880" s="45" t="s">
        <v>169</v>
      </c>
      <c r="K880" s="5"/>
      <c r="L880" s="5"/>
      <c r="M880" s="1653" t="s">
        <v>2807</v>
      </c>
      <c r="N880" s="1654"/>
      <c r="O880" s="1654"/>
      <c r="P880" s="1654"/>
      <c r="Q880" s="1654"/>
      <c r="R880" s="1654"/>
      <c r="S880" s="1654"/>
      <c r="T880" s="1654"/>
      <c r="U880" s="1654"/>
      <c r="V880" s="1655"/>
      <c r="W880" s="1465">
        <v>14500</v>
      </c>
      <c r="X880" s="1465"/>
      <c r="Y880" s="1465"/>
      <c r="Z880" s="1465"/>
      <c r="AA880" s="1465"/>
      <c r="AB880" s="1465"/>
      <c r="AC880" s="1465"/>
      <c r="AD880" s="532"/>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88">
        <f>SUM(W874:W880)</f>
        <v>285454</v>
      </c>
      <c r="X881" s="1688"/>
      <c r="Y881" s="1688"/>
      <c r="Z881" s="1688"/>
      <c r="AA881" s="1688"/>
      <c r="AB881" s="1688"/>
      <c r="AC881" s="1688"/>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169</v>
      </c>
      <c r="K883" s="5"/>
      <c r="L883" s="5"/>
      <c r="M883" s="1653" t="s">
        <v>2808</v>
      </c>
      <c r="N883" s="1654"/>
      <c r="O883" s="1654"/>
      <c r="P883" s="1654"/>
      <c r="Q883" s="1654"/>
      <c r="R883" s="1654"/>
      <c r="S883" s="1654"/>
      <c r="T883" s="1654"/>
      <c r="U883" s="1654"/>
      <c r="V883" s="1655"/>
      <c r="W883" s="1469">
        <v>800</v>
      </c>
      <c r="X883" s="1470"/>
      <c r="Y883" s="1470"/>
      <c r="Z883" s="1470"/>
      <c r="AA883" s="1470"/>
      <c r="AB883" s="1470"/>
      <c r="AC883" s="1471"/>
      <c r="AD883" s="532"/>
      <c r="AV883" s="14"/>
      <c r="AW883" s="14"/>
      <c r="AX883" s="14"/>
      <c r="AY883" s="14"/>
      <c r="AZ883" s="34"/>
      <c r="BA883" s="34"/>
      <c r="BB883" s="34"/>
      <c r="BC883" s="34"/>
    </row>
    <row r="884" spans="3:55" ht="12.95" customHeight="1">
      <c r="C884" s="2" t="s">
        <v>1242</v>
      </c>
      <c r="J884" s="45" t="s">
        <v>169</v>
      </c>
      <c r="K884" s="5"/>
      <c r="L884" s="5"/>
      <c r="M884" s="1653" t="s">
        <v>2809</v>
      </c>
      <c r="N884" s="1654"/>
      <c r="O884" s="1654"/>
      <c r="P884" s="1654"/>
      <c r="Q884" s="1654"/>
      <c r="R884" s="1654"/>
      <c r="S884" s="1654"/>
      <c r="T884" s="1654"/>
      <c r="U884" s="1654"/>
      <c r="V884" s="1655"/>
      <c r="W884" s="1469">
        <v>5285</v>
      </c>
      <c r="X884" s="1470"/>
      <c r="Y884" s="1470"/>
      <c r="Z884" s="1470"/>
      <c r="AA884" s="1470"/>
      <c r="AB884" s="1470"/>
      <c r="AC884" s="1471"/>
      <c r="AD884" s="532"/>
      <c r="AV884" s="14"/>
      <c r="AW884" s="14"/>
      <c r="AX884" s="14"/>
      <c r="AY884" s="14"/>
      <c r="AZ884" s="34"/>
      <c r="BA884" s="34"/>
      <c r="BB884" s="34"/>
      <c r="BC884" s="34"/>
    </row>
    <row r="885" spans="3:55" ht="12.95" customHeight="1">
      <c r="J885" s="45" t="s">
        <v>169</v>
      </c>
      <c r="K885" s="5"/>
      <c r="L885" s="5"/>
      <c r="M885" s="1653" t="s">
        <v>333</v>
      </c>
      <c r="N885" s="1654"/>
      <c r="O885" s="1654"/>
      <c r="P885" s="1654"/>
      <c r="Q885" s="1654"/>
      <c r="R885" s="1654"/>
      <c r="S885" s="1654"/>
      <c r="T885" s="1654"/>
      <c r="U885" s="1654"/>
      <c r="V885" s="1655"/>
      <c r="W885" s="1469"/>
      <c r="X885" s="1470"/>
      <c r="Y885" s="1470"/>
      <c r="Z885" s="1470"/>
      <c r="AA885" s="1470"/>
      <c r="AB885" s="1470"/>
      <c r="AC885" s="1471"/>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53" t="s">
        <v>333</v>
      </c>
      <c r="N886" s="1654"/>
      <c r="O886" s="1654"/>
      <c r="P886" s="1654"/>
      <c r="Q886" s="1654"/>
      <c r="R886" s="1654"/>
      <c r="S886" s="1654"/>
      <c r="T886" s="1654"/>
      <c r="U886" s="1654"/>
      <c r="V886" s="1655"/>
      <c r="W886" s="1469"/>
      <c r="X886" s="1470"/>
      <c r="Y886" s="1470"/>
      <c r="Z886" s="1470"/>
      <c r="AA886" s="1470"/>
      <c r="AB886" s="1470"/>
      <c r="AC886" s="1471"/>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53" t="s">
        <v>333</v>
      </c>
      <c r="N887" s="1654"/>
      <c r="O887" s="1654"/>
      <c r="P887" s="1654"/>
      <c r="Q887" s="1654"/>
      <c r="R887" s="1654"/>
      <c r="S887" s="1654"/>
      <c r="T887" s="1654"/>
      <c r="U887" s="1654"/>
      <c r="V887" s="1655"/>
      <c r="W887" s="1469"/>
      <c r="X887" s="1470"/>
      <c r="Y887" s="1470"/>
      <c r="Z887" s="1470"/>
      <c r="AA887" s="1470"/>
      <c r="AB887" s="1470"/>
      <c r="AC887" s="1471"/>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42">
        <f>SUM(W883:W887)</f>
        <v>6085</v>
      </c>
      <c r="X888" s="1543"/>
      <c r="Y888" s="1543"/>
      <c r="Z888" s="1543"/>
      <c r="AA888" s="1543"/>
      <c r="AB888" s="1543"/>
      <c r="AC888" s="1544"/>
      <c r="AL888" s="14"/>
      <c r="AM888" s="14"/>
      <c r="AN888" s="14"/>
      <c r="AO888" s="14"/>
      <c r="AP888" s="14"/>
      <c r="AQ888" s="14"/>
      <c r="AR888" s="14"/>
      <c r="AS888" s="14"/>
      <c r="AT888" s="14"/>
      <c r="AV888" s="4"/>
      <c r="AW888" s="4"/>
      <c r="AX888" s="4"/>
      <c r="AY888" s="4"/>
      <c r="AZ888" s="34"/>
      <c r="BA888" s="34"/>
      <c r="BB888" s="34"/>
      <c r="BC888" s="34"/>
    </row>
    <row r="889" spans="3:55" ht="12.95" customHeight="1">
      <c r="E889" s="511"/>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2"/>
      <c r="J890" s="532"/>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1"/>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8" t="s">
        <v>276</v>
      </c>
      <c r="AC892" s="1543">
        <f>W855+W863+W870+W872+W881+W888+W857</f>
        <v>1112394</v>
      </c>
      <c r="AD892" s="1543"/>
      <c r="AE892" s="1543"/>
      <c r="AF892" s="1543"/>
      <c r="AG892" s="1543"/>
      <c r="AH892" s="154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8" t="s">
        <v>509</v>
      </c>
      <c r="AC893" s="1751">
        <f>O805+O785+G761</f>
        <v>124</v>
      </c>
      <c r="AD893" s="1751"/>
      <c r="AE893" s="1751"/>
      <c r="AF893" s="1751"/>
      <c r="AG893" s="1751"/>
      <c r="AH893" s="1752"/>
      <c r="AL893" s="4"/>
      <c r="AM893" s="4"/>
      <c r="AN893" s="4"/>
      <c r="AO893" s="4"/>
      <c r="AP893" s="4"/>
      <c r="AQ893" s="4"/>
      <c r="AR893" s="4"/>
      <c r="AS893" s="4"/>
      <c r="AT893" s="4"/>
      <c r="AZ893" s="34"/>
      <c r="BA893" s="34"/>
      <c r="BB893" s="34"/>
      <c r="BC893" s="34"/>
    </row>
    <row r="894" spans="3:55" ht="12.95" customHeight="1">
      <c r="C894" s="41"/>
      <c r="D894" s="42"/>
      <c r="E894" s="1742" t="s">
        <v>32</v>
      </c>
      <c r="F894" s="1742"/>
      <c r="G894" s="1742"/>
      <c r="H894" s="1742"/>
      <c r="I894" s="1742"/>
      <c r="J894" s="1742"/>
      <c r="K894" s="1742"/>
      <c r="L894" s="1742"/>
      <c r="M894" s="1742"/>
      <c r="N894" s="1742"/>
      <c r="O894" s="1742"/>
      <c r="P894" s="1742"/>
      <c r="Q894" s="1742"/>
      <c r="R894" s="1742"/>
      <c r="S894" s="1742"/>
      <c r="T894" s="1742"/>
      <c r="U894" s="1742"/>
      <c r="V894" s="1742"/>
      <c r="W894" s="1742"/>
      <c r="X894" s="1742"/>
      <c r="Y894" s="1742"/>
      <c r="Z894" s="1742"/>
      <c r="AA894" s="1742"/>
      <c r="AB894" s="1743"/>
      <c r="AC894" s="1688">
        <f>IF(ISERROR((ROUNDDOWN(AC892/AC893,0))),0,(ROUNDDOWN(AC892/AC893,0)))</f>
        <v>8970</v>
      </c>
      <c r="AD894" s="1688"/>
      <c r="AE894" s="1688"/>
      <c r="AF894" s="1688"/>
      <c r="AG894" s="1688"/>
      <c r="AH894" s="1688"/>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754">
        <f>'Sources and Uses Budget'!B75</f>
        <v>553000</v>
      </c>
      <c r="AD895" s="1755"/>
      <c r="AE895" s="1755"/>
      <c r="AF895" s="1755"/>
      <c r="AG895" s="1755"/>
      <c r="AH895" s="1755"/>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471"/>
      <c r="AD896" s="1465"/>
      <c r="AE896" s="1465"/>
      <c r="AF896" s="1465"/>
      <c r="AG896" s="1465"/>
      <c r="AH896" s="146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470">
        <v>110000</v>
      </c>
      <c r="AD897" s="1470"/>
      <c r="AE897" s="1470"/>
      <c r="AF897" s="1470"/>
      <c r="AG897" s="1470"/>
      <c r="AH897" s="1471"/>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70">
        <v>61000</v>
      </c>
      <c r="AD898" s="1470"/>
      <c r="AE898" s="1470"/>
      <c r="AF898" s="1470"/>
      <c r="AG898" s="1470"/>
      <c r="AH898" s="1471"/>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75"/>
      <c r="AD899" s="1476"/>
      <c r="AE899" s="1476"/>
      <c r="AF899" s="1476"/>
      <c r="AG899" s="1476"/>
      <c r="AH899" s="147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70">
        <v>22444</v>
      </c>
      <c r="AD900" s="1470"/>
      <c r="AE900" s="1470"/>
      <c r="AF900" s="1470"/>
      <c r="AG900" s="1470"/>
      <c r="AH900" s="1471"/>
      <c r="AZ900" s="34"/>
      <c r="BA900" s="34"/>
      <c r="BB900" s="34"/>
      <c r="BC900" s="34"/>
    </row>
    <row r="901" spans="1:58" ht="12.95" hidden="1" customHeight="1">
      <c r="C901" s="1539" t="s">
        <v>2185</v>
      </c>
      <c r="D901" s="1540"/>
      <c r="E901" s="1540"/>
      <c r="F901" s="1540"/>
      <c r="G901" s="1540"/>
      <c r="H901" s="1540"/>
      <c r="I901" s="1540"/>
      <c r="J901" s="1540"/>
      <c r="K901" s="1540"/>
      <c r="L901" s="1540"/>
      <c r="M901" s="1540"/>
      <c r="N901" s="1540"/>
      <c r="O901" s="1540"/>
      <c r="P901" s="1540"/>
      <c r="Q901" s="1540"/>
      <c r="R901" s="1540"/>
      <c r="S901" s="1540"/>
      <c r="T901" s="1540"/>
      <c r="U901" s="1540"/>
      <c r="V901" s="1540"/>
      <c r="W901" s="1540"/>
      <c r="X901" s="1540"/>
      <c r="Y901" s="1540"/>
      <c r="Z901" s="1540"/>
      <c r="AA901" s="1540"/>
      <c r="AB901" s="1541"/>
      <c r="AC901" s="1470"/>
      <c r="AD901" s="1470"/>
      <c r="AE901" s="1470"/>
      <c r="AF901" s="1470"/>
      <c r="AG901" s="1470"/>
      <c r="AH901" s="1471"/>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470"/>
      <c r="AD902" s="1470"/>
      <c r="AE902" s="1470"/>
      <c r="AF902" s="1470"/>
      <c r="AG902" s="1470"/>
      <c r="AH902" s="1471"/>
      <c r="AZ902" s="34"/>
      <c r="BA902" s="34"/>
      <c r="BB902" s="34"/>
      <c r="BC902" s="34"/>
    </row>
    <row r="903" spans="1:58" ht="12.95" customHeight="1">
      <c r="C903" s="1666" t="s">
        <v>2810</v>
      </c>
      <c r="D903" s="1667"/>
      <c r="E903" s="1667"/>
      <c r="F903" s="1667"/>
      <c r="G903" s="1667"/>
      <c r="H903" s="1667"/>
      <c r="I903" s="1667"/>
      <c r="J903" s="1667"/>
      <c r="K903" s="1667"/>
      <c r="L903" s="1667"/>
      <c r="M903" s="1667"/>
      <c r="N903" s="1667"/>
      <c r="O903" s="1667"/>
      <c r="P903" s="1667"/>
      <c r="Q903" s="1667"/>
      <c r="R903" s="1667"/>
      <c r="S903" s="1667"/>
      <c r="T903" s="1667"/>
      <c r="U903" s="1667"/>
      <c r="V903" s="1667"/>
      <c r="W903" s="1667"/>
      <c r="X903" s="1667"/>
      <c r="Y903" s="1667"/>
      <c r="Z903" s="1667"/>
      <c r="AA903" s="1667"/>
      <c r="AB903" s="1668"/>
      <c r="AC903" s="1465">
        <v>17716</v>
      </c>
      <c r="AD903" s="1465"/>
      <c r="AE903" s="1465"/>
      <c r="AF903" s="1465"/>
      <c r="AG903" s="1465"/>
      <c r="AH903" s="1465"/>
      <c r="AZ903" s="34"/>
      <c r="BA903" s="34"/>
      <c r="BB903" s="34"/>
      <c r="BC903" s="34"/>
    </row>
    <row r="904" spans="1:58" ht="12.95" customHeight="1">
      <c r="C904" s="1666" t="s">
        <v>954</v>
      </c>
      <c r="D904" s="1667"/>
      <c r="E904" s="1667"/>
      <c r="F904" s="1667"/>
      <c r="G904" s="1667"/>
      <c r="H904" s="1667"/>
      <c r="I904" s="1667"/>
      <c r="J904" s="1667"/>
      <c r="K904" s="1667"/>
      <c r="L904" s="1667"/>
      <c r="M904" s="1667"/>
      <c r="N904" s="1667"/>
      <c r="O904" s="1667"/>
      <c r="P904" s="1667"/>
      <c r="Q904" s="1667"/>
      <c r="R904" s="1667"/>
      <c r="S904" s="1667"/>
      <c r="T904" s="1667"/>
      <c r="U904" s="1667"/>
      <c r="V904" s="1667"/>
      <c r="W904" s="1667"/>
      <c r="X904" s="1667"/>
      <c r="Y904" s="1667"/>
      <c r="Z904" s="1667"/>
      <c r="AA904" s="1667"/>
      <c r="AB904" s="1668"/>
      <c r="AC904" s="1465"/>
      <c r="AD904" s="1465"/>
      <c r="AE904" s="1465"/>
      <c r="AF904" s="1465"/>
      <c r="AG904" s="1465"/>
      <c r="AH904" s="1465"/>
      <c r="AU904" s="95"/>
      <c r="AZ904" s="34"/>
      <c r="BA904" s="34"/>
      <c r="BB904" s="34"/>
      <c r="BC904" s="34"/>
    </row>
    <row r="905" spans="1:58" ht="12.95" customHeight="1">
      <c r="E905" s="511"/>
      <c r="AB905" s="56"/>
      <c r="AC905" s="123"/>
      <c r="AD905" s="123"/>
      <c r="AE905" s="123"/>
      <c r="AF905" s="123"/>
      <c r="AG905" s="123"/>
      <c r="AH905" s="123"/>
      <c r="AU905" s="95"/>
      <c r="AZ905" s="34"/>
      <c r="BA905" s="34"/>
      <c r="BB905" s="34"/>
      <c r="BC905" s="34"/>
    </row>
    <row r="906" spans="1:58" ht="12.95" customHeight="1">
      <c r="A906" s="2" t="s">
        <v>611</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2"/>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69">
        <v>0</v>
      </c>
      <c r="AA908" s="1470"/>
      <c r="AB908" s="1470"/>
      <c r="AC908" s="1470"/>
      <c r="AD908" s="1470"/>
      <c r="AE908" s="1471"/>
      <c r="AF908" s="532"/>
      <c r="AZ908" s="34"/>
      <c r="BB908" s="30"/>
      <c r="BC908" s="811"/>
      <c r="BD908" s="1684"/>
      <c r="BE908" s="1684"/>
      <c r="BF908" s="14"/>
    </row>
    <row r="909" spans="1:58" ht="12.95" customHeight="1">
      <c r="H909" s="121" t="s">
        <v>238</v>
      </c>
      <c r="I909" s="5"/>
      <c r="J909" s="5"/>
      <c r="K909" s="5"/>
      <c r="L909" s="5"/>
      <c r="M909" s="5"/>
      <c r="N909" s="5"/>
      <c r="O909" s="5"/>
      <c r="P909" s="5"/>
      <c r="Q909" s="5"/>
      <c r="R909" s="5"/>
      <c r="S909" s="5"/>
      <c r="T909" s="5"/>
      <c r="U909" s="5"/>
      <c r="V909" s="5"/>
      <c r="W909" s="5"/>
      <c r="X909" s="5"/>
      <c r="Y909" s="5"/>
      <c r="Z909" s="1469">
        <v>0</v>
      </c>
      <c r="AA909" s="1470"/>
      <c r="AB909" s="1470"/>
      <c r="AC909" s="1470"/>
      <c r="AD909" s="1470"/>
      <c r="AE909" s="1471"/>
      <c r="AZ909" s="34"/>
      <c r="BB909" s="30"/>
      <c r="BC909" s="811"/>
      <c r="BD909" s="1684"/>
      <c r="BE909" s="1684"/>
      <c r="BF909" s="14"/>
    </row>
    <row r="910" spans="1:58" ht="12.95" customHeight="1">
      <c r="H910" s="121" t="s">
        <v>239</v>
      </c>
      <c r="I910" s="5"/>
      <c r="J910" s="5"/>
      <c r="K910" s="5"/>
      <c r="L910" s="5"/>
      <c r="M910" s="5"/>
      <c r="N910" s="5"/>
      <c r="O910" s="5"/>
      <c r="P910" s="5"/>
      <c r="Q910" s="5"/>
      <c r="R910" s="5"/>
      <c r="S910" s="5"/>
      <c r="T910" s="5"/>
      <c r="U910" s="5"/>
      <c r="V910" s="5"/>
      <c r="W910" s="5"/>
      <c r="X910" s="5"/>
      <c r="Y910" s="5"/>
      <c r="Z910" s="1469">
        <v>0</v>
      </c>
      <c r="AA910" s="1470"/>
      <c r="AB910" s="1470"/>
      <c r="AC910" s="1470"/>
      <c r="AD910" s="1470"/>
      <c r="AE910" s="1471"/>
      <c r="AZ910" s="34"/>
      <c r="BB910" s="30"/>
      <c r="BC910" s="811"/>
      <c r="BD910" s="1683"/>
      <c r="BE910" s="1683"/>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42">
        <f>Z908-(Z909+Z910)</f>
        <v>0</v>
      </c>
      <c r="AA911" s="1543"/>
      <c r="AB911" s="1543"/>
      <c r="AC911" s="1543"/>
      <c r="AD911" s="1543"/>
      <c r="AE911" s="1544"/>
      <c r="AZ911" s="34"/>
      <c r="BB911" s="30"/>
      <c r="BC911" s="811"/>
      <c r="BD911" s="1683"/>
      <c r="BE911" s="1683"/>
      <c r="BF911" s="14"/>
    </row>
    <row r="912" spans="1:58" ht="12.95" customHeight="1">
      <c r="C912" s="511"/>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1"/>
      <c r="BD912" s="1683"/>
      <c r="BE912" s="1683"/>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1"/>
      <c r="BD913" s="1684"/>
      <c r="BE913" s="1683"/>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1"/>
      <c r="BD914" s="1753"/>
      <c r="BE914" s="1753"/>
      <c r="BF914" s="1753"/>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1"/>
      <c r="BD915" s="1698"/>
      <c r="BE915" s="1698"/>
      <c r="BF915" s="1698"/>
    </row>
    <row r="916" spans="1:58" ht="12.95" customHeight="1">
      <c r="C916" s="339"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1"/>
      <c r="BD916" s="1683"/>
      <c r="BE916" s="1683"/>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1"/>
      <c r="BD917" s="1684"/>
      <c r="BE917" s="1683"/>
      <c r="BF917" s="14"/>
    </row>
    <row r="918" spans="1:58" ht="12.95" customHeight="1">
      <c r="AZ918" s="34"/>
      <c r="BB918" s="30"/>
      <c r="BC918" s="811"/>
    </row>
    <row r="919" spans="1:58" ht="12.95" customHeight="1">
      <c r="A919" s="1519" t="s">
        <v>96</v>
      </c>
      <c r="B919" s="1519"/>
      <c r="C919" s="1519"/>
      <c r="D919" s="1519"/>
      <c r="E919" s="1519"/>
      <c r="F919" s="1519"/>
      <c r="G919" s="1519"/>
      <c r="H919" s="1519"/>
      <c r="I919" s="1519"/>
      <c r="J919" s="1519"/>
      <c r="K919" s="1519"/>
      <c r="L919" s="1519"/>
      <c r="M919" s="1519"/>
      <c r="N919" s="1519"/>
      <c r="O919" s="1519"/>
      <c r="P919" s="1519"/>
      <c r="Q919" s="1519"/>
      <c r="R919" s="1519"/>
      <c r="S919" s="1519"/>
      <c r="T919" s="1519"/>
      <c r="U919" s="1519"/>
      <c r="V919" s="1519"/>
      <c r="W919" s="1519"/>
      <c r="X919" s="1519"/>
      <c r="Y919" s="1519"/>
      <c r="Z919" s="1519"/>
      <c r="AA919" s="1519"/>
      <c r="AB919" s="1519"/>
      <c r="AC919" s="1519"/>
      <c r="AD919" s="1519"/>
      <c r="AE919" s="1519"/>
      <c r="AF919" s="1519"/>
      <c r="AG919" s="1519"/>
      <c r="AH919" s="1519"/>
      <c r="AI919" s="1519"/>
      <c r="AJ919" s="1519"/>
      <c r="AK919" s="1519"/>
      <c r="AL919" s="1519"/>
      <c r="AM919" s="1519"/>
      <c r="AN919" s="1519"/>
      <c r="AO919" s="1519"/>
      <c r="AP919" s="1519"/>
      <c r="AQ919" s="1519"/>
      <c r="AR919" s="1519"/>
      <c r="AS919" s="1519"/>
      <c r="AT919" s="1519"/>
      <c r="AZ919" s="34"/>
      <c r="BA919" s="34"/>
      <c r="BB919" s="30"/>
      <c r="BC919" s="30"/>
      <c r="BD919" s="1684"/>
      <c r="BE919" s="1683"/>
      <c r="BF919" s="906"/>
    </row>
    <row r="920" spans="1:58" ht="12.95" customHeight="1">
      <c r="A920" s="1519"/>
      <c r="B920" s="1519"/>
      <c r="C920" s="1519"/>
      <c r="D920" s="1519"/>
      <c r="E920" s="1519"/>
      <c r="F920" s="1519"/>
      <c r="G920" s="1519"/>
      <c r="H920" s="1519"/>
      <c r="I920" s="1519"/>
      <c r="J920" s="1519"/>
      <c r="K920" s="1519"/>
      <c r="L920" s="1519"/>
      <c r="M920" s="1519"/>
      <c r="N920" s="1519"/>
      <c r="O920" s="1519"/>
      <c r="P920" s="1519"/>
      <c r="Q920" s="1519"/>
      <c r="R920" s="1519"/>
      <c r="S920" s="1519"/>
      <c r="T920" s="1519"/>
      <c r="U920" s="1519"/>
      <c r="V920" s="1519"/>
      <c r="W920" s="1519"/>
      <c r="X920" s="1519"/>
      <c r="Y920" s="1519"/>
      <c r="Z920" s="1519"/>
      <c r="AA920" s="1519"/>
      <c r="AB920" s="1519"/>
      <c r="AC920" s="1519"/>
      <c r="AD920" s="1519"/>
      <c r="AE920" s="1519"/>
      <c r="AF920" s="1519"/>
      <c r="AG920" s="1519"/>
      <c r="AH920" s="1519"/>
      <c r="AI920" s="1519"/>
      <c r="AJ920" s="1519"/>
      <c r="AK920" s="1519"/>
      <c r="AL920" s="1519"/>
      <c r="AM920" s="1519"/>
      <c r="AN920" s="1519"/>
      <c r="AO920" s="1519"/>
      <c r="AP920" s="1519"/>
      <c r="AQ920" s="1519"/>
      <c r="AR920" s="1519"/>
      <c r="AS920" s="1519"/>
      <c r="AT920" s="151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48" t="s">
        <v>790</v>
      </c>
      <c r="G924" s="1749"/>
      <c r="H924" s="1749"/>
      <c r="I924" s="1749"/>
      <c r="J924" s="1749"/>
      <c r="K924" s="1749"/>
      <c r="L924" s="1749"/>
      <c r="M924" s="1749"/>
      <c r="N924" s="1749"/>
      <c r="O924" s="1749"/>
      <c r="P924" s="1749"/>
      <c r="Q924" s="1749"/>
      <c r="R924" s="1749"/>
      <c r="S924" s="1749"/>
      <c r="T924" s="1750"/>
      <c r="U924" s="1628" t="s">
        <v>31</v>
      </c>
      <c r="V924" s="1629"/>
      <c r="W924" s="1629"/>
      <c r="X924" s="1629"/>
      <c r="Y924" s="1629"/>
      <c r="Z924" s="1629"/>
      <c r="AA924" s="43"/>
      <c r="AB924" s="105"/>
      <c r="AC924" s="105"/>
      <c r="AD924" s="105"/>
      <c r="AE924" s="105"/>
      <c r="AF924" s="106"/>
      <c r="AZ924" s="34"/>
      <c r="BA924" s="34"/>
      <c r="BB924" s="34"/>
      <c r="BC924" s="34"/>
    </row>
    <row r="925" spans="1:58" ht="12.95" customHeight="1">
      <c r="B925" s="2"/>
      <c r="F925" s="1566" t="s">
        <v>816</v>
      </c>
      <c r="G925" s="1567"/>
      <c r="H925" s="1567"/>
      <c r="I925" s="1567"/>
      <c r="J925" s="1567"/>
      <c r="K925" s="1567"/>
      <c r="L925" s="1567"/>
      <c r="M925" s="1567"/>
      <c r="N925" s="1567"/>
      <c r="O925" s="1567"/>
      <c r="P925" s="1567"/>
      <c r="Q925" s="1567"/>
      <c r="R925" s="1567"/>
      <c r="S925" s="1567"/>
      <c r="T925" s="1568"/>
      <c r="U925" s="1566"/>
      <c r="V925" s="1567"/>
      <c r="W925" s="1567"/>
      <c r="X925" s="1567"/>
      <c r="Y925" s="1567"/>
      <c r="Z925" s="1567"/>
      <c r="AA925" s="44"/>
      <c r="AB925" s="4"/>
      <c r="AC925" s="4"/>
      <c r="AD925" s="4"/>
      <c r="AE925" s="4"/>
      <c r="AF925" s="107"/>
      <c r="AZ925" s="34"/>
      <c r="BA925" s="34"/>
      <c r="BB925" s="34"/>
      <c r="BC925" s="34"/>
    </row>
    <row r="926" spans="1:58" ht="12.95" customHeight="1">
      <c r="B926" s="2"/>
      <c r="F926" s="1569"/>
      <c r="G926" s="1570"/>
      <c r="H926" s="1570"/>
      <c r="I926" s="1570"/>
      <c r="J926" s="1570"/>
      <c r="K926" s="1570"/>
      <c r="L926" s="1570"/>
      <c r="M926" s="1570"/>
      <c r="N926" s="1570"/>
      <c r="O926" s="1570"/>
      <c r="P926" s="1570"/>
      <c r="Q926" s="1570"/>
      <c r="R926" s="1570"/>
      <c r="S926" s="1570"/>
      <c r="T926" s="1571"/>
      <c r="U926" s="1569"/>
      <c r="V926" s="1570"/>
      <c r="W926" s="1570"/>
      <c r="X926" s="1570"/>
      <c r="Y926" s="1570"/>
      <c r="Z926" s="1570"/>
      <c r="AA926" s="108"/>
      <c r="AB926" s="1509" t="s">
        <v>390</v>
      </c>
      <c r="AC926" s="1509"/>
      <c r="AD926" s="1509"/>
      <c r="AE926" s="1509"/>
      <c r="AF926" s="109"/>
      <c r="AZ926" s="34"/>
      <c r="BA926" s="34"/>
      <c r="BB926" s="34"/>
      <c r="BC926" s="34"/>
    </row>
    <row r="927" spans="1:58" ht="12.95" customHeight="1">
      <c r="B927" s="2"/>
      <c r="F927" s="45" t="s">
        <v>756</v>
      </c>
      <c r="G927" s="48"/>
      <c r="H927" s="48"/>
      <c r="I927" s="48"/>
      <c r="J927" s="48"/>
      <c r="K927" s="48"/>
      <c r="L927" s="48"/>
      <c r="M927" s="48"/>
      <c r="N927" s="48"/>
      <c r="O927" s="48"/>
      <c r="P927" s="48"/>
      <c r="Q927" s="48"/>
      <c r="R927" s="48"/>
      <c r="S927" s="48"/>
      <c r="T927" s="49"/>
      <c r="U927" s="1388" t="s">
        <v>543</v>
      </c>
      <c r="V927" s="1389"/>
      <c r="W927" s="1389"/>
      <c r="X927" s="1389"/>
      <c r="Y927" s="1389"/>
      <c r="Z927" s="1390"/>
      <c r="AA927" s="1426">
        <f>AM562</f>
        <v>30904733</v>
      </c>
      <c r="AB927" s="1427"/>
      <c r="AC927" s="1427"/>
      <c r="AD927" s="1427"/>
      <c r="AE927" s="1427"/>
      <c r="AF927" s="1428"/>
      <c r="AG927" s="1190" t="str">
        <f>IF(NOT(AA927=AW927),"!","")</f>
        <v/>
      </c>
      <c r="AH927" s="3"/>
      <c r="AW927" s="1354">
        <f>SUMIF($M$562:$M$573,"Loan, Tax-Exempt",$AM$562:$AM$573)</f>
        <v>30904733</v>
      </c>
      <c r="AX927" s="1354"/>
      <c r="AY927" s="1354"/>
      <c r="AZ927" s="3" t="s">
        <v>2536</v>
      </c>
      <c r="BA927" s="34"/>
      <c r="BB927" s="34"/>
      <c r="BC927" s="34"/>
    </row>
    <row r="928" spans="1:58" ht="12.95" customHeight="1">
      <c r="B928" s="2"/>
      <c r="F928" s="66" t="s">
        <v>673</v>
      </c>
      <c r="G928" s="48"/>
      <c r="H928" s="48"/>
      <c r="I928" s="48"/>
      <c r="J928" s="48"/>
      <c r="K928" s="48"/>
      <c r="L928" s="48"/>
      <c r="M928" s="48"/>
      <c r="N928" s="48"/>
      <c r="O928" s="48"/>
      <c r="P928" s="48"/>
      <c r="Q928" s="48"/>
      <c r="R928" s="48"/>
      <c r="S928" s="48"/>
      <c r="T928" s="49"/>
      <c r="U928" s="1388" t="s">
        <v>543</v>
      </c>
      <c r="V928" s="1389"/>
      <c r="W928" s="1389"/>
      <c r="X928" s="1389"/>
      <c r="Y928" s="1389"/>
      <c r="Z928" s="1390"/>
      <c r="AA928" s="1426">
        <f>AM563</f>
        <v>35072745</v>
      </c>
      <c r="AB928" s="1427"/>
      <c r="AC928" s="1427"/>
      <c r="AD928" s="1427"/>
      <c r="AE928" s="1427"/>
      <c r="AF928" s="1428"/>
      <c r="AZ928" s="34"/>
      <c r="BA928" s="34"/>
      <c r="BB928" s="34"/>
      <c r="BC928" s="34"/>
    </row>
    <row r="929" spans="6:55" ht="12.95" customHeight="1">
      <c r="F929" s="45" t="s">
        <v>799</v>
      </c>
      <c r="G929" s="5"/>
      <c r="H929" s="5"/>
      <c r="I929" s="5"/>
      <c r="J929" s="5"/>
      <c r="K929" s="5"/>
      <c r="L929" s="5"/>
      <c r="M929" s="5"/>
      <c r="N929" s="5"/>
      <c r="O929" s="5"/>
      <c r="P929" s="5"/>
      <c r="Q929" s="5"/>
      <c r="R929" s="5"/>
      <c r="S929" s="5"/>
      <c r="T929" s="46"/>
      <c r="U929" s="1388" t="s">
        <v>589</v>
      </c>
      <c r="V929" s="1389"/>
      <c r="W929" s="1389"/>
      <c r="X929" s="1389"/>
      <c r="Y929" s="1389"/>
      <c r="Z929" s="1390"/>
      <c r="AA929" s="1426"/>
      <c r="AB929" s="1427"/>
      <c r="AC929" s="1427"/>
      <c r="AD929" s="1427"/>
      <c r="AE929" s="1427"/>
      <c r="AF929" s="1428"/>
      <c r="AZ929" s="34"/>
      <c r="BA929" s="34"/>
      <c r="BB929" s="34"/>
      <c r="BC929" s="34"/>
    </row>
    <row r="930" spans="6:55" ht="12.95" customHeight="1">
      <c r="F930" s="45" t="s">
        <v>676</v>
      </c>
      <c r="G930" s="5"/>
      <c r="H930" s="5"/>
      <c r="I930" s="5"/>
      <c r="J930" s="5"/>
      <c r="K930" s="5"/>
      <c r="L930" s="5"/>
      <c r="M930" s="5"/>
      <c r="N930" s="5"/>
      <c r="O930" s="5"/>
      <c r="P930" s="5"/>
      <c r="Q930" s="5"/>
      <c r="R930" s="5"/>
      <c r="S930" s="5"/>
      <c r="T930" s="46"/>
      <c r="U930" s="1388" t="s">
        <v>589</v>
      </c>
      <c r="V930" s="1389"/>
      <c r="W930" s="1389"/>
      <c r="X930" s="1389"/>
      <c r="Y930" s="1389"/>
      <c r="Z930" s="1390"/>
      <c r="AA930" s="1426"/>
      <c r="AB930" s="1427"/>
      <c r="AC930" s="1427"/>
      <c r="AD930" s="1427"/>
      <c r="AE930" s="1427"/>
      <c r="AF930" s="1428"/>
      <c r="AZ930" s="34"/>
      <c r="BA930" s="34"/>
      <c r="BB930" s="34"/>
      <c r="BC930" s="34"/>
    </row>
    <row r="931" spans="6:55" ht="12.95" customHeight="1">
      <c r="F931" s="66" t="s">
        <v>784</v>
      </c>
      <c r="G931" s="5"/>
      <c r="H931" s="5"/>
      <c r="I931" s="5"/>
      <c r="J931" s="5"/>
      <c r="K931" s="5"/>
      <c r="L931" s="5"/>
      <c r="M931" s="5"/>
      <c r="N931" s="5"/>
      <c r="O931" s="5"/>
      <c r="P931" s="5"/>
      <c r="Q931" s="5"/>
      <c r="R931" s="5"/>
      <c r="S931" s="5"/>
      <c r="T931" s="46"/>
      <c r="U931" s="1388" t="s">
        <v>589</v>
      </c>
      <c r="V931" s="1389"/>
      <c r="W931" s="1389"/>
      <c r="X931" s="1389"/>
      <c r="Y931" s="1389"/>
      <c r="Z931" s="1390"/>
      <c r="AA931" s="1426"/>
      <c r="AB931" s="1427"/>
      <c r="AC931" s="1427"/>
      <c r="AD931" s="1427"/>
      <c r="AE931" s="1427"/>
      <c r="AF931" s="1428"/>
      <c r="AZ931" s="34"/>
      <c r="BA931" s="34"/>
      <c r="BB931" s="34"/>
      <c r="BC931" s="34"/>
    </row>
    <row r="932" spans="6:55" ht="12.95" customHeight="1">
      <c r="F932" s="66" t="s">
        <v>785</v>
      </c>
      <c r="G932" s="5"/>
      <c r="H932" s="5"/>
      <c r="I932" s="5"/>
      <c r="J932" s="5"/>
      <c r="K932" s="5"/>
      <c r="L932" s="5"/>
      <c r="M932" s="5"/>
      <c r="N932" s="5"/>
      <c r="O932" s="5"/>
      <c r="P932" s="5"/>
      <c r="Q932" s="5"/>
      <c r="R932" s="5"/>
      <c r="S932" s="5"/>
      <c r="T932" s="46"/>
      <c r="U932" s="1388" t="s">
        <v>589</v>
      </c>
      <c r="V932" s="1389"/>
      <c r="W932" s="1389"/>
      <c r="X932" s="1389"/>
      <c r="Y932" s="1389"/>
      <c r="Z932" s="1390"/>
      <c r="AA932" s="1426"/>
      <c r="AB932" s="1427"/>
      <c r="AC932" s="1427"/>
      <c r="AD932" s="1427"/>
      <c r="AE932" s="1427"/>
      <c r="AF932" s="1428"/>
      <c r="AZ932" s="34"/>
      <c r="BA932" s="34"/>
      <c r="BB932" s="34"/>
      <c r="BC932" s="34"/>
    </row>
    <row r="933" spans="6:55" ht="12.95" customHeight="1">
      <c r="F933" s="66" t="s">
        <v>786</v>
      </c>
      <c r="G933" s="5"/>
      <c r="H933" s="5"/>
      <c r="I933" s="5"/>
      <c r="J933" s="5"/>
      <c r="K933" s="5"/>
      <c r="L933" s="5"/>
      <c r="M933" s="5"/>
      <c r="N933" s="5"/>
      <c r="O933" s="5"/>
      <c r="P933" s="5"/>
      <c r="Q933" s="5"/>
      <c r="R933" s="5"/>
      <c r="S933" s="5"/>
      <c r="T933" s="46"/>
      <c r="U933" s="1388" t="s">
        <v>589</v>
      </c>
      <c r="V933" s="1389"/>
      <c r="W933" s="1389"/>
      <c r="X933" s="1389"/>
      <c r="Y933" s="1389"/>
      <c r="Z933" s="1390"/>
      <c r="AA933" s="1426"/>
      <c r="AB933" s="1427"/>
      <c r="AC933" s="1427"/>
      <c r="AD933" s="1427"/>
      <c r="AE933" s="1427"/>
      <c r="AF933" s="1428"/>
      <c r="AZ933" s="34"/>
      <c r="BA933" s="34"/>
      <c r="BB933" s="34"/>
      <c r="BC933" s="34"/>
    </row>
    <row r="934" spans="6:55" ht="12.95" customHeight="1">
      <c r="F934" s="45" t="s">
        <v>675</v>
      </c>
      <c r="G934" s="5"/>
      <c r="H934" s="5"/>
      <c r="I934" s="5"/>
      <c r="J934" s="5"/>
      <c r="K934" s="5"/>
      <c r="L934" s="5"/>
      <c r="M934" s="5"/>
      <c r="N934" s="5"/>
      <c r="O934" s="5"/>
      <c r="P934" s="5"/>
      <c r="Q934" s="5"/>
      <c r="R934" s="5"/>
      <c r="S934" s="5"/>
      <c r="T934" s="46"/>
      <c r="U934" s="1388" t="s">
        <v>589</v>
      </c>
      <c r="V934" s="1389"/>
      <c r="W934" s="1389"/>
      <c r="X934" s="1389"/>
      <c r="Y934" s="1389"/>
      <c r="Z934" s="1390"/>
      <c r="AA934" s="1426"/>
      <c r="AB934" s="1427"/>
      <c r="AC934" s="1427"/>
      <c r="AD934" s="1427"/>
      <c r="AE934" s="1427"/>
      <c r="AF934" s="1428"/>
      <c r="AZ934" s="34"/>
      <c r="BA934" s="34"/>
      <c r="BB934" s="34"/>
      <c r="BC934" s="34"/>
    </row>
    <row r="935" spans="6:55" ht="12.95" customHeight="1">
      <c r="F935" s="1572" t="s">
        <v>2145</v>
      </c>
      <c r="G935" s="1573"/>
      <c r="H935" s="1573"/>
      <c r="I935" s="1573"/>
      <c r="J935" s="1573"/>
      <c r="K935" s="1573"/>
      <c r="L935" s="1573"/>
      <c r="M935" s="1573"/>
      <c r="N935" s="1573"/>
      <c r="O935" s="1573"/>
      <c r="P935" s="1573"/>
      <c r="Q935" s="1573"/>
      <c r="R935" s="1573"/>
      <c r="S935" s="1573"/>
      <c r="T935" s="1574"/>
      <c r="U935" s="1388" t="s">
        <v>589</v>
      </c>
      <c r="V935" s="1389"/>
      <c r="W935" s="1389"/>
      <c r="X935" s="1389"/>
      <c r="Y935" s="1389"/>
      <c r="Z935" s="1390"/>
      <c r="AA935" s="1426"/>
      <c r="AB935" s="1427"/>
      <c r="AC935" s="1427"/>
      <c r="AD935" s="1427"/>
      <c r="AE935" s="1427"/>
      <c r="AF935" s="1428"/>
      <c r="AZ935" s="34"/>
      <c r="BA935" s="34"/>
      <c r="BB935" s="34"/>
      <c r="BC935" s="34"/>
    </row>
    <row r="936" spans="6:55" ht="12.95" customHeight="1">
      <c r="F936" s="1572" t="s">
        <v>677</v>
      </c>
      <c r="G936" s="1573"/>
      <c r="H936" s="1573"/>
      <c r="I936" s="1573"/>
      <c r="J936" s="1573"/>
      <c r="K936" s="1573"/>
      <c r="L936" s="1573"/>
      <c r="M936" s="1573"/>
      <c r="N936" s="1573"/>
      <c r="O936" s="1573"/>
      <c r="P936" s="1573"/>
      <c r="Q936" s="1573"/>
      <c r="R936" s="1573"/>
      <c r="S936" s="1573"/>
      <c r="T936" s="1574"/>
      <c r="U936" s="1388" t="s">
        <v>589</v>
      </c>
      <c r="V936" s="1389"/>
      <c r="W936" s="1389"/>
      <c r="X936" s="1389"/>
      <c r="Y936" s="1389"/>
      <c r="Z936" s="1390"/>
      <c r="AA936" s="1426"/>
      <c r="AB936" s="1427"/>
      <c r="AC936" s="1427"/>
      <c r="AD936" s="1427"/>
      <c r="AE936" s="1427"/>
      <c r="AF936" s="1428"/>
      <c r="AU936" s="2"/>
      <c r="AZ936" s="34"/>
      <c r="BA936" s="34"/>
      <c r="BB936" s="34"/>
      <c r="BC936" s="34"/>
    </row>
    <row r="937" spans="6:55" ht="12.95" customHeight="1">
      <c r="F937" s="1572" t="s">
        <v>2146</v>
      </c>
      <c r="G937" s="1573"/>
      <c r="H937" s="1573"/>
      <c r="I937" s="1573"/>
      <c r="J937" s="1573"/>
      <c r="K937" s="1573"/>
      <c r="L937" s="1573"/>
      <c r="M937" s="1573"/>
      <c r="N937" s="1573"/>
      <c r="O937" s="1573"/>
      <c r="P937" s="1573"/>
      <c r="Q937" s="1573"/>
      <c r="R937" s="1573"/>
      <c r="S937" s="1573"/>
      <c r="T937" s="1574"/>
      <c r="U937" s="1388" t="s">
        <v>589</v>
      </c>
      <c r="V937" s="1389"/>
      <c r="W937" s="1389"/>
      <c r="X937" s="1389"/>
      <c r="Y937" s="1389"/>
      <c r="Z937" s="1390"/>
      <c r="AA937" s="1426"/>
      <c r="AB937" s="1427"/>
      <c r="AC937" s="1427"/>
      <c r="AD937" s="1427"/>
      <c r="AE937" s="1427"/>
      <c r="AF937" s="1428"/>
      <c r="AU937" s="2"/>
      <c r="AZ937" s="34"/>
      <c r="BA937" s="34"/>
      <c r="BB937" s="34"/>
      <c r="BC937" s="34"/>
    </row>
    <row r="938" spans="6:55" ht="12.95" customHeight="1">
      <c r="F938" s="1572" t="s">
        <v>2147</v>
      </c>
      <c r="G938" s="1573"/>
      <c r="H938" s="1573"/>
      <c r="I938" s="1573"/>
      <c r="J938" s="1573"/>
      <c r="K938" s="1573"/>
      <c r="L938" s="1573"/>
      <c r="M938" s="1573"/>
      <c r="N938" s="1573"/>
      <c r="O938" s="1573"/>
      <c r="P938" s="1573"/>
      <c r="Q938" s="1573"/>
      <c r="R938" s="1573"/>
      <c r="S938" s="1573"/>
      <c r="T938" s="1574"/>
      <c r="U938" s="1388" t="s">
        <v>589</v>
      </c>
      <c r="V938" s="1389"/>
      <c r="W938" s="1389"/>
      <c r="X938" s="1389"/>
      <c r="Y938" s="1389"/>
      <c r="Z938" s="1390"/>
      <c r="AA938" s="1426"/>
      <c r="AB938" s="1427"/>
      <c r="AC938" s="1427"/>
      <c r="AD938" s="1427"/>
      <c r="AE938" s="1427"/>
      <c r="AF938" s="1428"/>
      <c r="AU938" s="2"/>
      <c r="AZ938" s="34"/>
      <c r="BA938" s="34"/>
      <c r="BB938" s="34"/>
      <c r="BC938" s="34"/>
    </row>
    <row r="939" spans="6:55" ht="12.95" customHeight="1">
      <c r="F939" s="1572" t="s">
        <v>2148</v>
      </c>
      <c r="G939" s="1573"/>
      <c r="H939" s="1573"/>
      <c r="I939" s="1573"/>
      <c r="J939" s="1573"/>
      <c r="K939" s="1573"/>
      <c r="L939" s="1573"/>
      <c r="M939" s="1573"/>
      <c r="N939" s="1573"/>
      <c r="O939" s="1573"/>
      <c r="P939" s="1573"/>
      <c r="Q939" s="1573"/>
      <c r="R939" s="1573"/>
      <c r="S939" s="1573"/>
      <c r="T939" s="1574"/>
      <c r="U939" s="1388" t="s">
        <v>589</v>
      </c>
      <c r="V939" s="1389"/>
      <c r="W939" s="1389"/>
      <c r="X939" s="1389"/>
      <c r="Y939" s="1389"/>
      <c r="Z939" s="1390"/>
      <c r="AA939" s="1426"/>
      <c r="AB939" s="1427"/>
      <c r="AC939" s="1427"/>
      <c r="AD939" s="1427"/>
      <c r="AE939" s="1427"/>
      <c r="AF939" s="1428"/>
      <c r="AU939" s="2"/>
      <c r="AZ939" s="34"/>
      <c r="BA939" s="34"/>
      <c r="BB939" s="34"/>
      <c r="BC939" s="34"/>
    </row>
    <row r="940" spans="6:55" ht="12.95" customHeight="1">
      <c r="F940" s="1572" t="s">
        <v>2149</v>
      </c>
      <c r="G940" s="1573"/>
      <c r="H940" s="1573"/>
      <c r="I940" s="1573"/>
      <c r="J940" s="1573"/>
      <c r="K940" s="1573"/>
      <c r="L940" s="1573"/>
      <c r="M940" s="1573"/>
      <c r="N940" s="1573"/>
      <c r="O940" s="1573"/>
      <c r="P940" s="1573"/>
      <c r="Q940" s="1573"/>
      <c r="R940" s="1573"/>
      <c r="S940" s="1573"/>
      <c r="T940" s="1574"/>
      <c r="U940" s="1388" t="s">
        <v>543</v>
      </c>
      <c r="V940" s="1389"/>
      <c r="W940" s="1389"/>
      <c r="X940" s="1389"/>
      <c r="Y940" s="1389"/>
      <c r="Z940" s="1390"/>
      <c r="AA940" s="1426">
        <f>AO637+AO638</f>
        <v>26335307</v>
      </c>
      <c r="AB940" s="1427"/>
      <c r="AC940" s="1427"/>
      <c r="AD940" s="1427"/>
      <c r="AE940" s="1427"/>
      <c r="AF940" s="1428"/>
      <c r="AU940" s="2"/>
      <c r="AZ940" s="34"/>
      <c r="BA940" s="34"/>
      <c r="BB940" s="34"/>
      <c r="BC940" s="34"/>
    </row>
    <row r="941" spans="6:55" ht="12.95" customHeight="1">
      <c r="F941" s="1572" t="s">
        <v>2150</v>
      </c>
      <c r="G941" s="1573"/>
      <c r="H941" s="1573"/>
      <c r="I941" s="1573"/>
      <c r="J941" s="1573"/>
      <c r="K941" s="1573"/>
      <c r="L941" s="1573"/>
      <c r="M941" s="1573"/>
      <c r="N941" s="1573"/>
      <c r="O941" s="1573"/>
      <c r="P941" s="1573"/>
      <c r="Q941" s="1573"/>
      <c r="R941" s="1573"/>
      <c r="S941" s="1573"/>
      <c r="T941" s="1574"/>
      <c r="U941" s="1388" t="s">
        <v>589</v>
      </c>
      <c r="V941" s="1389"/>
      <c r="W941" s="1389"/>
      <c r="X941" s="1389"/>
      <c r="Y941" s="1389"/>
      <c r="Z941" s="1390"/>
      <c r="AA941" s="1426"/>
      <c r="AB941" s="1427"/>
      <c r="AC941" s="1427"/>
      <c r="AD941" s="1427"/>
      <c r="AE941" s="1427"/>
      <c r="AF941" s="1428"/>
      <c r="AZ941" s="30"/>
      <c r="BA941" s="30"/>
    </row>
    <row r="942" spans="6:55" ht="12.95" customHeight="1">
      <c r="F942" s="178" t="s">
        <v>674</v>
      </c>
      <c r="G942" s="5"/>
      <c r="H942" s="5"/>
      <c r="I942" s="5"/>
      <c r="J942" s="5"/>
      <c r="K942" s="5"/>
      <c r="L942" s="5"/>
      <c r="M942" s="5"/>
      <c r="N942" s="5"/>
      <c r="O942" s="5"/>
      <c r="P942" s="5"/>
      <c r="Q942" s="5"/>
      <c r="R942" s="5"/>
      <c r="S942" s="5"/>
      <c r="T942" s="46"/>
      <c r="U942" s="1388" t="s">
        <v>589</v>
      </c>
      <c r="V942" s="1389"/>
      <c r="W942" s="1389"/>
      <c r="X942" s="1389"/>
      <c r="Y942" s="1389"/>
      <c r="Z942" s="1390"/>
      <c r="AA942" s="1426"/>
      <c r="AB942" s="1427"/>
      <c r="AC942" s="1427"/>
      <c r="AD942" s="1427"/>
      <c r="AE942" s="1427"/>
      <c r="AF942" s="1428"/>
    </row>
    <row r="943" spans="6:55" ht="12.95" customHeight="1">
      <c r="F943" s="121" t="s">
        <v>1275</v>
      </c>
      <c r="G943" s="5"/>
      <c r="H943" s="5"/>
      <c r="I943" s="5"/>
      <c r="J943" s="5"/>
      <c r="K943" s="5"/>
      <c r="L943" s="5"/>
      <c r="M943" s="5"/>
      <c r="N943" s="5"/>
      <c r="O943" s="5"/>
      <c r="P943" s="5"/>
      <c r="Q943" s="5"/>
      <c r="R943" s="5"/>
      <c r="S943" s="5"/>
      <c r="T943" s="46"/>
      <c r="U943" s="1388" t="s">
        <v>589</v>
      </c>
      <c r="V943" s="1389"/>
      <c r="W943" s="1389"/>
      <c r="X943" s="1389"/>
      <c r="Y943" s="1389"/>
      <c r="Z943" s="1390"/>
      <c r="AA943" s="1426"/>
      <c r="AB943" s="1427"/>
      <c r="AC943" s="1427"/>
      <c r="AD943" s="1427"/>
      <c r="AE943" s="1427"/>
      <c r="AF943" s="1428"/>
      <c r="AZ943" s="30"/>
      <c r="BA943" s="14"/>
    </row>
    <row r="944" spans="6:55" ht="12.95" customHeight="1">
      <c r="F944" s="66" t="s">
        <v>800</v>
      </c>
      <c r="G944" s="5"/>
      <c r="H944" s="5"/>
      <c r="I944" s="5"/>
      <c r="J944" s="5"/>
      <c r="K944" s="5"/>
      <c r="L944" s="5"/>
      <c r="M944" s="5"/>
      <c r="N944" s="5"/>
      <c r="O944" s="5"/>
      <c r="P944" s="5"/>
      <c r="Q944" s="5"/>
      <c r="R944" s="5"/>
      <c r="S944" s="5"/>
      <c r="T944" s="46"/>
      <c r="U944" s="1388" t="s">
        <v>589</v>
      </c>
      <c r="V944" s="1389"/>
      <c r="W944" s="1389"/>
      <c r="X944" s="1389"/>
      <c r="Y944" s="1389"/>
      <c r="Z944" s="1390"/>
      <c r="AA944" s="1426"/>
      <c r="AB944" s="1427"/>
      <c r="AC944" s="1427"/>
      <c r="AD944" s="1427"/>
      <c r="AE944" s="1427"/>
      <c r="AF944" s="1428"/>
      <c r="AZ944" s="30"/>
      <c r="BA944" s="14"/>
    </row>
    <row r="945" spans="6:55" ht="12.95" customHeight="1">
      <c r="F945" s="1462" t="s">
        <v>2154</v>
      </c>
      <c r="G945" s="1463"/>
      <c r="H945" s="1463"/>
      <c r="I945" s="1463"/>
      <c r="J945" s="1463"/>
      <c r="K945" s="1463"/>
      <c r="L945" s="1463"/>
      <c r="M945" s="1463"/>
      <c r="N945" s="1463"/>
      <c r="O945" s="1463"/>
      <c r="P945" s="1463"/>
      <c r="Q945" s="1463"/>
      <c r="R945" s="1463"/>
      <c r="S945" s="1463"/>
      <c r="T945" s="1464"/>
      <c r="U945" s="1388" t="s">
        <v>589</v>
      </c>
      <c r="V945" s="1389"/>
      <c r="W945" s="1389"/>
      <c r="X945" s="1389"/>
      <c r="Y945" s="1389"/>
      <c r="Z945" s="1390"/>
      <c r="AA945" s="1426"/>
      <c r="AB945" s="1427"/>
      <c r="AC945" s="1427"/>
      <c r="AD945" s="1427"/>
      <c r="AE945" s="1427"/>
      <c r="AF945" s="1428"/>
      <c r="AZ945" s="30"/>
      <c r="BA945" s="14"/>
    </row>
    <row r="946" spans="6:55" ht="12.95" customHeight="1">
      <c r="F946" s="1462" t="s">
        <v>2155</v>
      </c>
      <c r="G946" s="1463"/>
      <c r="H946" s="1463"/>
      <c r="I946" s="1463"/>
      <c r="J946" s="1463"/>
      <c r="K946" s="1463"/>
      <c r="L946" s="1463"/>
      <c r="M946" s="1463"/>
      <c r="N946" s="1463"/>
      <c r="O946" s="1463"/>
      <c r="P946" s="1463"/>
      <c r="Q946" s="1463"/>
      <c r="R946" s="1463"/>
      <c r="S946" s="1463"/>
      <c r="T946" s="1464"/>
      <c r="U946" s="1388" t="s">
        <v>589</v>
      </c>
      <c r="V946" s="1389"/>
      <c r="W946" s="1389"/>
      <c r="X946" s="1389"/>
      <c r="Y946" s="1389"/>
      <c r="Z946" s="1390"/>
      <c r="AA946" s="1426"/>
      <c r="AB946" s="1427"/>
      <c r="AC946" s="1427"/>
      <c r="AD946" s="1427"/>
      <c r="AE946" s="1427"/>
      <c r="AF946" s="1428"/>
      <c r="AZ946" s="30"/>
      <c r="BA946" s="30"/>
    </row>
    <row r="947" spans="6:55" ht="12.95" customHeight="1">
      <c r="F947" s="1572" t="s">
        <v>2151</v>
      </c>
      <c r="G947" s="1573"/>
      <c r="H947" s="1573"/>
      <c r="I947" s="1573"/>
      <c r="J947" s="1573"/>
      <c r="K947" s="1573"/>
      <c r="L947" s="1573"/>
      <c r="M947" s="1573"/>
      <c r="N947" s="1573"/>
      <c r="O947" s="1573"/>
      <c r="P947" s="1573"/>
      <c r="Q947" s="1573"/>
      <c r="R947" s="1573"/>
      <c r="S947" s="1573"/>
      <c r="T947" s="1574"/>
      <c r="U947" s="1388" t="s">
        <v>589</v>
      </c>
      <c r="V947" s="1389"/>
      <c r="W947" s="1389"/>
      <c r="X947" s="1389"/>
      <c r="Y947" s="1389"/>
      <c r="Z947" s="1390"/>
      <c r="AA947" s="1426"/>
      <c r="AB947" s="1427"/>
      <c r="AC947" s="1427"/>
      <c r="AD947" s="1427"/>
      <c r="AE947" s="1427"/>
      <c r="AF947" s="1428"/>
      <c r="AZ947" s="30"/>
      <c r="BA947" s="30"/>
    </row>
    <row r="948" spans="6:55" ht="12.95" customHeight="1">
      <c r="F948" s="1572" t="s">
        <v>2152</v>
      </c>
      <c r="G948" s="1573"/>
      <c r="H948" s="1573"/>
      <c r="I948" s="1573"/>
      <c r="J948" s="1573"/>
      <c r="K948" s="1573"/>
      <c r="L948" s="1573"/>
      <c r="M948" s="1573"/>
      <c r="N948" s="1573"/>
      <c r="O948" s="1573"/>
      <c r="P948" s="1573"/>
      <c r="Q948" s="1573"/>
      <c r="R948" s="1573"/>
      <c r="S948" s="1573"/>
      <c r="T948" s="1574"/>
      <c r="U948" s="1388" t="s">
        <v>589</v>
      </c>
      <c r="V948" s="1389"/>
      <c r="W948" s="1389"/>
      <c r="X948" s="1389"/>
      <c r="Y948" s="1389"/>
      <c r="Z948" s="1390"/>
      <c r="AA948" s="1426"/>
      <c r="AB948" s="1427"/>
      <c r="AC948" s="1427"/>
      <c r="AD948" s="1427"/>
      <c r="AE948" s="1427"/>
      <c r="AF948" s="1428"/>
      <c r="AZ948" s="30"/>
      <c r="BA948" s="30"/>
    </row>
    <row r="949" spans="6:55" ht="12.95" customHeight="1">
      <c r="F949" s="1572" t="s">
        <v>2153</v>
      </c>
      <c r="G949" s="1573"/>
      <c r="H949" s="1573"/>
      <c r="I949" s="1573"/>
      <c r="J949" s="1573"/>
      <c r="K949" s="1573"/>
      <c r="L949" s="1573"/>
      <c r="M949" s="1573"/>
      <c r="N949" s="1573"/>
      <c r="O949" s="1573"/>
      <c r="P949" s="1573"/>
      <c r="Q949" s="1573"/>
      <c r="R949" s="1573"/>
      <c r="S949" s="1573"/>
      <c r="T949" s="1574"/>
      <c r="U949" s="1388" t="s">
        <v>589</v>
      </c>
      <c r="V949" s="1389"/>
      <c r="W949" s="1389"/>
      <c r="X949" s="1389"/>
      <c r="Y949" s="1389"/>
      <c r="Z949" s="1390"/>
      <c r="AA949" s="1426"/>
      <c r="AB949" s="1427"/>
      <c r="AC949" s="1427"/>
      <c r="AD949" s="1427"/>
      <c r="AE949" s="1427"/>
      <c r="AF949" s="1428"/>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388" t="s">
        <v>589</v>
      </c>
      <c r="V950" s="1389"/>
      <c r="W950" s="1389"/>
      <c r="X950" s="1389"/>
      <c r="Y950" s="1389"/>
      <c r="Z950" s="1390"/>
      <c r="AA950" s="1426"/>
      <c r="AB950" s="1427"/>
      <c r="AC950" s="1427"/>
      <c r="AD950" s="1427"/>
      <c r="AE950" s="1427"/>
      <c r="AF950" s="1428"/>
      <c r="AZ950" s="34"/>
      <c r="BA950" s="34"/>
      <c r="BB950" s="14"/>
      <c r="BC950" s="14"/>
    </row>
    <row r="951" spans="6:55" ht="12.95" customHeight="1">
      <c r="F951" s="1462" t="s">
        <v>2156</v>
      </c>
      <c r="G951" s="1463"/>
      <c r="H951" s="1463"/>
      <c r="I951" s="1463"/>
      <c r="J951" s="1463"/>
      <c r="K951" s="1463"/>
      <c r="L951" s="1463"/>
      <c r="M951" s="1463"/>
      <c r="N951" s="1463"/>
      <c r="O951" s="1463"/>
      <c r="P951" s="1463"/>
      <c r="Q951" s="1463"/>
      <c r="R951" s="1463"/>
      <c r="S951" s="1463"/>
      <c r="T951" s="1464"/>
      <c r="U951" s="1388" t="s">
        <v>589</v>
      </c>
      <c r="V951" s="1389"/>
      <c r="W951" s="1389"/>
      <c r="X951" s="1389"/>
      <c r="Y951" s="1389"/>
      <c r="Z951" s="1390"/>
      <c r="AA951" s="1426"/>
      <c r="AB951" s="1427"/>
      <c r="AC951" s="1427"/>
      <c r="AD951" s="1427"/>
      <c r="AE951" s="1427"/>
      <c r="AF951" s="1428"/>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388" t="s">
        <v>589</v>
      </c>
      <c r="V952" s="1389"/>
      <c r="W952" s="1389"/>
      <c r="X952" s="1389"/>
      <c r="Y952" s="1389"/>
      <c r="Z952" s="1390"/>
      <c r="AA952" s="1426"/>
      <c r="AB952" s="1427"/>
      <c r="AC952" s="1427"/>
      <c r="AD952" s="1427"/>
      <c r="AE952" s="1427"/>
      <c r="AF952" s="1428"/>
      <c r="AZ952" s="34"/>
      <c r="BA952" s="34"/>
      <c r="BB952" s="34"/>
      <c r="BC952" s="34"/>
    </row>
    <row r="953" spans="6:55" ht="12.95" customHeight="1">
      <c r="F953" s="1462" t="s">
        <v>2157</v>
      </c>
      <c r="G953" s="1463"/>
      <c r="H953" s="1463"/>
      <c r="I953" s="1463"/>
      <c r="J953" s="1463"/>
      <c r="K953" s="1463"/>
      <c r="L953" s="1463"/>
      <c r="M953" s="1463"/>
      <c r="N953" s="1463"/>
      <c r="O953" s="1463"/>
      <c r="P953" s="1463"/>
      <c r="Q953" s="1463"/>
      <c r="R953" s="1463"/>
      <c r="S953" s="1463"/>
      <c r="T953" s="1464"/>
      <c r="U953" s="1388" t="s">
        <v>589</v>
      </c>
      <c r="V953" s="1389"/>
      <c r="W953" s="1389"/>
      <c r="X953" s="1389"/>
      <c r="Y953" s="1389"/>
      <c r="Z953" s="1390"/>
      <c r="AA953" s="1426"/>
      <c r="AB953" s="1427"/>
      <c r="AC953" s="1427"/>
      <c r="AD953" s="1427"/>
      <c r="AE953" s="1427"/>
      <c r="AF953" s="1428"/>
      <c r="AZ953" s="34"/>
      <c r="BA953" s="34"/>
      <c r="BB953" s="34"/>
      <c r="BC953" s="34"/>
    </row>
    <row r="954" spans="6:55" ht="12.95" customHeight="1">
      <c r="F954" s="45" t="s">
        <v>804</v>
      </c>
      <c r="G954" s="5"/>
      <c r="H954" s="5"/>
      <c r="I954" s="5"/>
      <c r="J954" s="5"/>
      <c r="K954" s="5"/>
      <c r="L954" s="5"/>
      <c r="M954" s="5"/>
      <c r="N954" s="5"/>
      <c r="O954" s="5"/>
      <c r="P954" s="1388" t="s">
        <v>667</v>
      </c>
      <c r="Q954" s="1389"/>
      <c r="R954" s="1389"/>
      <c r="S954" s="1389"/>
      <c r="T954" s="1390"/>
      <c r="U954" s="1388" t="s">
        <v>589</v>
      </c>
      <c r="V954" s="1389"/>
      <c r="W954" s="1389"/>
      <c r="X954" s="1389"/>
      <c r="Y954" s="1389"/>
      <c r="Z954" s="1390"/>
      <c r="AA954" s="1426"/>
      <c r="AB954" s="1427"/>
      <c r="AC954" s="1427"/>
      <c r="AD954" s="1427"/>
      <c r="AE954" s="1427"/>
      <c r="AF954" s="1428"/>
      <c r="AZ954" s="34"/>
      <c r="BA954" s="34"/>
      <c r="BB954" s="34"/>
      <c r="BC954" s="34"/>
    </row>
    <row r="955" spans="6:55" ht="12.95" customHeight="1">
      <c r="F955" s="1572" t="s">
        <v>2144</v>
      </c>
      <c r="G955" s="1573"/>
      <c r="H955" s="1574"/>
      <c r="I955" s="1653" t="s">
        <v>333</v>
      </c>
      <c r="J955" s="1654"/>
      <c r="K955" s="1654"/>
      <c r="L955" s="1654"/>
      <c r="M955" s="1654"/>
      <c r="N955" s="1654"/>
      <c r="O955" s="1654"/>
      <c r="P955" s="1654"/>
      <c r="Q955" s="1654"/>
      <c r="R955" s="1654"/>
      <c r="S955" s="1654"/>
      <c r="T955" s="1655"/>
      <c r="U955" s="1388" t="s">
        <v>589</v>
      </c>
      <c r="V955" s="1389"/>
      <c r="W955" s="1389"/>
      <c r="X955" s="1389"/>
      <c r="Y955" s="1389"/>
      <c r="Z955" s="1390"/>
      <c r="AA955" s="1426"/>
      <c r="AB955" s="1427"/>
      <c r="AC955" s="1427"/>
      <c r="AD955" s="1427"/>
      <c r="AE955" s="1427"/>
      <c r="AF955" s="1428"/>
      <c r="AZ955" s="34"/>
      <c r="BA955" s="34"/>
      <c r="BB955" s="34"/>
      <c r="BC955" s="34"/>
    </row>
    <row r="956" spans="6:55" ht="12.95" customHeight="1">
      <c r="F956" s="45" t="s">
        <v>86</v>
      </c>
      <c r="G956" s="48"/>
      <c r="H956" s="48"/>
      <c r="I956" s="1653" t="s">
        <v>333</v>
      </c>
      <c r="J956" s="1654"/>
      <c r="K956" s="1654"/>
      <c r="L956" s="1654"/>
      <c r="M956" s="1654"/>
      <c r="N956" s="1654"/>
      <c r="O956" s="1654"/>
      <c r="P956" s="1654"/>
      <c r="Q956" s="1654"/>
      <c r="R956" s="1654"/>
      <c r="S956" s="1654"/>
      <c r="T956" s="1655"/>
      <c r="U956" s="1388" t="s">
        <v>589</v>
      </c>
      <c r="V956" s="1389"/>
      <c r="W956" s="1389"/>
      <c r="X956" s="1389"/>
      <c r="Y956" s="1389"/>
      <c r="Z956" s="1390"/>
      <c r="AA956" s="1426"/>
      <c r="AB956" s="1427"/>
      <c r="AC956" s="1427"/>
      <c r="AD956" s="1427"/>
      <c r="AE956" s="1427"/>
      <c r="AF956" s="1428"/>
      <c r="AZ956" s="34"/>
      <c r="BA956" s="34"/>
      <c r="BB956" s="34"/>
      <c r="BC956" s="34"/>
    </row>
    <row r="957" spans="6:55" ht="12.95" customHeight="1">
      <c r="F957" s="45" t="s">
        <v>10</v>
      </c>
      <c r="G957" s="48"/>
      <c r="H957" s="48"/>
      <c r="I957" s="1653" t="s">
        <v>2731</v>
      </c>
      <c r="J957" s="1651"/>
      <c r="K957" s="1651"/>
      <c r="L957" s="1651"/>
      <c r="M957" s="1651"/>
      <c r="N957" s="1651"/>
      <c r="O957" s="1651"/>
      <c r="P957" s="1651"/>
      <c r="Q957" s="1651"/>
      <c r="R957" s="1651"/>
      <c r="S957" s="1651"/>
      <c r="T957" s="1652"/>
      <c r="U957" s="1388" t="s">
        <v>543</v>
      </c>
      <c r="V957" s="1389"/>
      <c r="W957" s="1389"/>
      <c r="X957" s="1389"/>
      <c r="Y957" s="1389"/>
      <c r="Z957" s="1390"/>
      <c r="AA957" s="1426">
        <f>AO636</f>
        <v>21786974</v>
      </c>
      <c r="AB957" s="1427"/>
      <c r="AC957" s="1427"/>
      <c r="AD957" s="1427"/>
      <c r="AE957" s="1427"/>
      <c r="AF957" s="1428"/>
      <c r="AV957" s="2"/>
      <c r="AW957" s="2"/>
      <c r="AX957" s="2"/>
      <c r="AY957" s="2"/>
      <c r="AZ957" s="34"/>
      <c r="BA957" s="34"/>
      <c r="BB957" s="34"/>
      <c r="BC957" s="34"/>
    </row>
    <row r="958" spans="6:55" ht="12.95" customHeight="1">
      <c r="F958" s="47" t="s">
        <v>169</v>
      </c>
      <c r="G958" s="48"/>
      <c r="H958" s="48"/>
      <c r="I958" s="1650" t="s">
        <v>333</v>
      </c>
      <c r="J958" s="1651"/>
      <c r="K958" s="1651"/>
      <c r="L958" s="1651"/>
      <c r="M958" s="1651"/>
      <c r="N958" s="1651"/>
      <c r="O958" s="1651"/>
      <c r="P958" s="1651"/>
      <c r="Q958" s="1651"/>
      <c r="R958" s="1651"/>
      <c r="S958" s="1651"/>
      <c r="T958" s="1652"/>
      <c r="U958" s="1388" t="s">
        <v>589</v>
      </c>
      <c r="V958" s="1389"/>
      <c r="W958" s="1389"/>
      <c r="X958" s="1389"/>
      <c r="Y958" s="1389"/>
      <c r="Z958" s="1390"/>
      <c r="AA958" s="1426"/>
      <c r="AB958" s="1427"/>
      <c r="AC958" s="1427"/>
      <c r="AD958" s="1427"/>
      <c r="AE958" s="1427"/>
      <c r="AF958" s="1428"/>
      <c r="AU958" s="2"/>
      <c r="AZ958" s="34"/>
      <c r="BA958" s="34"/>
      <c r="BB958" s="34"/>
      <c r="BC958" s="34"/>
    </row>
    <row r="959" spans="6:55" ht="12.95" customHeight="1">
      <c r="F959" s="47" t="s">
        <v>169</v>
      </c>
      <c r="G959" s="48"/>
      <c r="H959" s="48"/>
      <c r="I959" s="1650" t="s">
        <v>333</v>
      </c>
      <c r="J959" s="1651"/>
      <c r="K959" s="1651"/>
      <c r="L959" s="1651"/>
      <c r="M959" s="1651"/>
      <c r="N959" s="1651"/>
      <c r="O959" s="1651"/>
      <c r="P959" s="1651"/>
      <c r="Q959" s="1651"/>
      <c r="R959" s="1651"/>
      <c r="S959" s="1651"/>
      <c r="T959" s="1652"/>
      <c r="U959" s="1388" t="s">
        <v>589</v>
      </c>
      <c r="V959" s="1389"/>
      <c r="W959" s="1389"/>
      <c r="X959" s="1389"/>
      <c r="Y959" s="1389"/>
      <c r="Z959" s="1390"/>
      <c r="AA959" s="1426"/>
      <c r="AB959" s="1427"/>
      <c r="AC959" s="1427"/>
      <c r="AD959" s="1427"/>
      <c r="AE959" s="1427"/>
      <c r="AF959" s="1428"/>
      <c r="AU959" s="2"/>
      <c r="AZ959" s="34"/>
      <c r="BA959" s="34"/>
      <c r="BB959" s="34"/>
      <c r="BC959" s="34"/>
    </row>
    <row r="960" spans="6:55" ht="12.95" customHeight="1">
      <c r="AU960" s="2"/>
      <c r="AZ960" s="34"/>
      <c r="BA960" s="34"/>
      <c r="BB960" s="34"/>
      <c r="BC960" s="34"/>
    </row>
    <row r="961" spans="1:64" ht="12.95" customHeight="1">
      <c r="A961" s="2" t="s">
        <v>574</v>
      </c>
      <c r="C961" s="2" t="s">
        <v>749</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86">
        <v>45743</v>
      </c>
      <c r="N964" s="1648"/>
      <c r="O964" s="1648"/>
      <c r="P964" s="1648"/>
      <c r="Q964" s="1648"/>
      <c r="R964" s="1648"/>
      <c r="S964" s="1649"/>
      <c r="U964" s="66" t="s">
        <v>11</v>
      </c>
      <c r="V964" s="5"/>
      <c r="W964" s="5"/>
      <c r="X964" s="5"/>
      <c r="Y964" s="5"/>
      <c r="Z964" s="5"/>
      <c r="AA964" s="5"/>
      <c r="AB964" s="5"/>
      <c r="AC964" s="5"/>
      <c r="AD964" s="46"/>
      <c r="AE964" s="1647" t="s">
        <v>589</v>
      </c>
      <c r="AF964" s="1648"/>
      <c r="AG964" s="1648"/>
      <c r="AH964" s="1648"/>
      <c r="AI964" s="1648"/>
      <c r="AJ964" s="1648"/>
      <c r="AK964" s="1649"/>
      <c r="AZ964" s="34"/>
      <c r="BA964" s="34"/>
      <c r="BB964" s="34"/>
      <c r="BC964" s="34"/>
    </row>
    <row r="965" spans="1:64" ht="12.95" customHeight="1">
      <c r="C965" s="66" t="s">
        <v>12</v>
      </c>
      <c r="D965" s="5"/>
      <c r="E965" s="5"/>
      <c r="F965" s="5"/>
      <c r="G965" s="5"/>
      <c r="H965" s="5"/>
      <c r="I965" s="5"/>
      <c r="J965" s="5"/>
      <c r="K965" s="5"/>
      <c r="L965" s="46"/>
      <c r="M965" s="1394" t="s">
        <v>2744</v>
      </c>
      <c r="N965" s="1395"/>
      <c r="O965" s="1395"/>
      <c r="P965" s="1395"/>
      <c r="Q965" s="1395"/>
      <c r="R965" s="1395"/>
      <c r="S965" s="1396"/>
      <c r="U965" s="66" t="s">
        <v>12</v>
      </c>
      <c r="V965" s="5"/>
      <c r="W965" s="5"/>
      <c r="X965" s="5"/>
      <c r="Y965" s="5"/>
      <c r="Z965" s="5"/>
      <c r="AA965" s="5"/>
      <c r="AB965" s="5"/>
      <c r="AC965" s="5"/>
      <c r="AD965" s="46"/>
      <c r="AE965" s="1394" t="s">
        <v>589</v>
      </c>
      <c r="AF965" s="1395"/>
      <c r="AG965" s="1395"/>
      <c r="AH965" s="1395"/>
      <c r="AI965" s="1395"/>
      <c r="AJ965" s="1395"/>
      <c r="AK965" s="1396"/>
      <c r="AZ965" s="34"/>
      <c r="BA965" s="34"/>
      <c r="BB965" s="34"/>
      <c r="BC965" s="34"/>
    </row>
    <row r="966" spans="1:64" ht="12.95" customHeight="1">
      <c r="C966" s="66" t="s">
        <v>878</v>
      </c>
      <c r="D966" s="5"/>
      <c r="E966" s="5"/>
      <c r="J966" s="1397" t="s">
        <v>2811</v>
      </c>
      <c r="K966" s="1398"/>
      <c r="L966" s="1398"/>
      <c r="M966" s="1398"/>
      <c r="N966" s="1398"/>
      <c r="O966" s="1398"/>
      <c r="P966" s="1398"/>
      <c r="Q966" s="1398"/>
      <c r="R966" s="1398"/>
      <c r="S966" s="1399"/>
      <c r="U966" s="66" t="s">
        <v>878</v>
      </c>
      <c r="V966" s="5"/>
      <c r="W966" s="5"/>
      <c r="AB966" s="1397" t="s">
        <v>306</v>
      </c>
      <c r="AC966" s="1398"/>
      <c r="AD966" s="1398"/>
      <c r="AE966" s="1398"/>
      <c r="AF966" s="1398"/>
      <c r="AG966" s="1398"/>
      <c r="AH966" s="1398"/>
      <c r="AI966" s="1398"/>
      <c r="AJ966" s="1398"/>
      <c r="AK966" s="1399"/>
      <c r="AZ966" s="34"/>
      <c r="BA966" s="34"/>
      <c r="BB966" s="34"/>
      <c r="BC966" s="34"/>
    </row>
    <row r="967" spans="1:64" ht="12.95" customHeight="1">
      <c r="C967" s="66" t="s">
        <v>13</v>
      </c>
      <c r="D967" s="5"/>
      <c r="E967" s="5"/>
      <c r="F967" s="5"/>
      <c r="G967" s="5"/>
      <c r="H967" s="5"/>
      <c r="I967" s="5"/>
      <c r="J967" s="5"/>
      <c r="K967" s="5"/>
      <c r="L967" s="46"/>
      <c r="M967" s="1563">
        <v>0.08</v>
      </c>
      <c r="N967" s="1564"/>
      <c r="O967" s="1564"/>
      <c r="P967" s="1564"/>
      <c r="Q967" s="1564"/>
      <c r="R967" s="1564"/>
      <c r="S967" s="1565"/>
      <c r="U967" s="66" t="s">
        <v>13</v>
      </c>
      <c r="V967" s="5"/>
      <c r="W967" s="5"/>
      <c r="X967" s="5"/>
      <c r="Y967" s="5"/>
      <c r="Z967" s="5"/>
      <c r="AA967" s="5"/>
      <c r="AB967" s="5"/>
      <c r="AC967" s="5"/>
      <c r="AD967" s="46"/>
      <c r="AE967" s="1563" t="s">
        <v>589</v>
      </c>
      <c r="AF967" s="1564"/>
      <c r="AG967" s="1564"/>
      <c r="AH967" s="1564"/>
      <c r="AI967" s="1564"/>
      <c r="AJ967" s="1564"/>
      <c r="AK967" s="1565"/>
      <c r="AZ967" s="34"/>
      <c r="BA967" s="34"/>
      <c r="BB967" s="34"/>
      <c r="BC967" s="34"/>
    </row>
    <row r="968" spans="1:64" ht="12.95" customHeight="1">
      <c r="C968" s="66" t="s">
        <v>14</v>
      </c>
      <c r="D968" s="5"/>
      <c r="E968" s="5"/>
      <c r="F968" s="5"/>
      <c r="G968" s="5"/>
      <c r="H968" s="5"/>
      <c r="I968" s="5"/>
      <c r="J968" s="5"/>
      <c r="K968" s="5"/>
      <c r="L968" s="46"/>
      <c r="M968" s="1575">
        <v>10</v>
      </c>
      <c r="N968" s="1576"/>
      <c r="O968" s="1576"/>
      <c r="P968" s="1576"/>
      <c r="Q968" s="1576"/>
      <c r="R968" s="1576"/>
      <c r="S968" s="1577"/>
      <c r="U968" s="66" t="s">
        <v>14</v>
      </c>
      <c r="V968" s="5"/>
      <c r="W968" s="5"/>
      <c r="X968" s="5"/>
      <c r="Y968" s="5"/>
      <c r="Z968" s="5"/>
      <c r="AA968" s="5"/>
      <c r="AB968" s="5"/>
      <c r="AC968" s="5"/>
      <c r="AD968" s="46"/>
      <c r="AE968" s="1578" t="s">
        <v>589</v>
      </c>
      <c r="AF968" s="1576"/>
      <c r="AG968" s="1576"/>
      <c r="AH968" s="1576"/>
      <c r="AI968" s="1576"/>
      <c r="AJ968" s="1576"/>
      <c r="AK968" s="1577"/>
      <c r="AV968" s="2"/>
      <c r="AW968" s="2"/>
      <c r="AX968" s="2"/>
      <c r="AY968" s="2"/>
      <c r="AZ968" s="34"/>
      <c r="BA968" s="34"/>
      <c r="BB968" s="34"/>
      <c r="BC968" s="34"/>
    </row>
    <row r="969" spans="1:64" ht="12.95" customHeight="1">
      <c r="C969" s="66" t="s">
        <v>15</v>
      </c>
      <c r="D969" s="5"/>
      <c r="E969" s="5"/>
      <c r="F969" s="5"/>
      <c r="G969" s="5"/>
      <c r="H969" s="5"/>
      <c r="I969" s="5"/>
      <c r="J969" s="5"/>
      <c r="K969" s="5"/>
      <c r="L969" s="46"/>
      <c r="M969" s="1426">
        <f>'Subsidy Contract Calculation'!J40</f>
        <v>219960</v>
      </c>
      <c r="N969" s="1427"/>
      <c r="O969" s="1427"/>
      <c r="P969" s="1427"/>
      <c r="Q969" s="1427"/>
      <c r="R969" s="1427"/>
      <c r="S969" s="1428"/>
      <c r="U969" s="66" t="s">
        <v>15</v>
      </c>
      <c r="V969" s="5"/>
      <c r="W969" s="5"/>
      <c r="X969" s="5"/>
      <c r="Y969" s="5"/>
      <c r="Z969" s="5"/>
      <c r="AA969" s="5"/>
      <c r="AB969" s="5"/>
      <c r="AC969" s="5"/>
      <c r="AD969" s="46"/>
      <c r="AE969" s="1630" t="s">
        <v>589</v>
      </c>
      <c r="AF969" s="1427"/>
      <c r="AG969" s="1427"/>
      <c r="AH969" s="1427"/>
      <c r="AI969" s="1427"/>
      <c r="AJ969" s="1427"/>
      <c r="AK969" s="1428"/>
      <c r="AV969" s="2"/>
      <c r="AW969" s="2"/>
      <c r="AX969" s="2"/>
      <c r="AY969" s="2"/>
      <c r="AZ969" s="34"/>
      <c r="BA969" s="34"/>
      <c r="BB969" s="34"/>
      <c r="BC969" s="34"/>
    </row>
    <row r="970" spans="1:64" ht="12.95" customHeight="1">
      <c r="C970" s="66" t="s">
        <v>16</v>
      </c>
      <c r="D970" s="5"/>
      <c r="E970" s="5"/>
      <c r="F970" s="5"/>
      <c r="G970" s="5"/>
      <c r="H970" s="5"/>
      <c r="I970" s="5"/>
      <c r="J970" s="5"/>
      <c r="K970" s="5"/>
      <c r="L970" s="46"/>
      <c r="M970" s="1426">
        <f>M969*M971</f>
        <v>4399200</v>
      </c>
      <c r="N970" s="1427"/>
      <c r="O970" s="1427"/>
      <c r="P970" s="1427"/>
      <c r="Q970" s="1427"/>
      <c r="R970" s="1427"/>
      <c r="S970" s="1428"/>
      <c r="U970" s="66" t="s">
        <v>16</v>
      </c>
      <c r="V970" s="5"/>
      <c r="W970" s="5"/>
      <c r="X970" s="5"/>
      <c r="Y970" s="5"/>
      <c r="Z970" s="5"/>
      <c r="AA970" s="5"/>
      <c r="AB970" s="5"/>
      <c r="AC970" s="5"/>
      <c r="AD970" s="46"/>
      <c r="AE970" s="1630" t="s">
        <v>589</v>
      </c>
      <c r="AF970" s="1427"/>
      <c r="AG970" s="1427"/>
      <c r="AH970" s="1427"/>
      <c r="AI970" s="1427"/>
      <c r="AJ970" s="1427"/>
      <c r="AK970" s="1428"/>
      <c r="AV970" s="2"/>
      <c r="AW970" s="2"/>
      <c r="AX970" s="2"/>
      <c r="AY970" s="2"/>
      <c r="AZ970" s="34"/>
      <c r="BB970" s="34"/>
      <c r="BC970" s="34"/>
    </row>
    <row r="971" spans="1:64" ht="12.95" customHeight="1">
      <c r="C971" s="121" t="s">
        <v>1648</v>
      </c>
      <c r="D971" s="5"/>
      <c r="E971" s="5"/>
      <c r="F971" s="5"/>
      <c r="G971" s="5"/>
      <c r="H971" s="5"/>
      <c r="I971" s="5"/>
      <c r="J971" s="5"/>
      <c r="K971" s="5"/>
      <c r="L971" s="46"/>
      <c r="M971" s="1423">
        <v>20</v>
      </c>
      <c r="N971" s="1424"/>
      <c r="O971" s="1424"/>
      <c r="P971" s="1424"/>
      <c r="Q971" s="1424"/>
      <c r="R971" s="1424"/>
      <c r="S971" s="1425"/>
      <c r="U971" s="121" t="s">
        <v>1648</v>
      </c>
      <c r="V971" s="5"/>
      <c r="W971" s="5"/>
      <c r="X971" s="5"/>
      <c r="Y971" s="5"/>
      <c r="Z971" s="5"/>
      <c r="AA971" s="5"/>
      <c r="AB971" s="5"/>
      <c r="AC971" s="5"/>
      <c r="AD971" s="46"/>
      <c r="AE971" s="1423"/>
      <c r="AF971" s="1424"/>
      <c r="AG971" s="1424"/>
      <c r="AH971" s="1424"/>
      <c r="AI971" s="1424"/>
      <c r="AJ971" s="1424"/>
      <c r="AK971" s="1425"/>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569</v>
      </c>
      <c r="G976" s="5"/>
      <c r="H976" s="5"/>
      <c r="I976" s="5"/>
      <c r="J976" s="5"/>
      <c r="K976" s="5"/>
      <c r="L976" s="46"/>
      <c r="M976" s="1391" t="s">
        <v>589</v>
      </c>
      <c r="N976" s="1392"/>
      <c r="O976" s="1392"/>
      <c r="P976" s="1392"/>
      <c r="Q976" s="1392"/>
      <c r="R976" s="1392"/>
      <c r="S976" s="1393"/>
      <c r="T976" s="66" t="s">
        <v>788</v>
      </c>
      <c r="U976" s="5"/>
      <c r="V976" s="5"/>
      <c r="W976" s="5"/>
      <c r="X976" s="5"/>
      <c r="Y976" s="5"/>
      <c r="Z976" s="46"/>
      <c r="AA976" s="1391" t="s">
        <v>589</v>
      </c>
      <c r="AB976" s="1392"/>
      <c r="AC976" s="1392"/>
      <c r="AD976" s="1392"/>
      <c r="AE976" s="1392"/>
      <c r="AF976" s="1392"/>
      <c r="AG976" s="139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570</v>
      </c>
      <c r="G977" s="5"/>
      <c r="H977" s="5"/>
      <c r="I977" s="5"/>
      <c r="J977" s="5"/>
      <c r="K977" s="5"/>
      <c r="L977" s="46"/>
      <c r="M977" s="1391" t="s">
        <v>589</v>
      </c>
      <c r="N977" s="1392"/>
      <c r="O977" s="1392"/>
      <c r="P977" s="1392"/>
      <c r="Q977" s="1392"/>
      <c r="R977" s="1392"/>
      <c r="S977" s="1393"/>
      <c r="T977" s="66" t="s">
        <v>787</v>
      </c>
      <c r="U977" s="5"/>
      <c r="V977" s="5"/>
      <c r="W977" s="5"/>
      <c r="X977" s="5"/>
      <c r="Y977" s="5"/>
      <c r="Z977" s="46"/>
      <c r="AA977" s="1391" t="s">
        <v>589</v>
      </c>
      <c r="AB977" s="1392"/>
      <c r="AC977" s="1392"/>
      <c r="AD977" s="1392"/>
      <c r="AE977" s="1392"/>
      <c r="AF977" s="1392"/>
      <c r="AG977" s="139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680" t="s">
        <v>589</v>
      </c>
      <c r="N978" s="1681"/>
      <c r="O978" s="1681"/>
      <c r="P978" s="1681"/>
      <c r="Q978" s="1681"/>
      <c r="R978" s="1681"/>
      <c r="S978" s="1682"/>
      <c r="T978" s="45" t="s">
        <v>336</v>
      </c>
      <c r="U978" s="5"/>
      <c r="V978" s="5"/>
      <c r="W978" s="5"/>
      <c r="X978" s="5"/>
      <c r="Y978" s="5"/>
      <c r="Z978" s="46"/>
      <c r="AA978" s="1391" t="s">
        <v>589</v>
      </c>
      <c r="AB978" s="1392"/>
      <c r="AC978" s="1392"/>
      <c r="AD978" s="1392"/>
      <c r="AE978" s="1392"/>
      <c r="AF978" s="1392"/>
      <c r="AG978" s="139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571</v>
      </c>
      <c r="G979" s="5"/>
      <c r="H979" s="5"/>
      <c r="I979" s="5"/>
      <c r="J979" s="5"/>
      <c r="K979" s="5"/>
      <c r="L979" s="46"/>
      <c r="M979" s="1391" t="s">
        <v>589</v>
      </c>
      <c r="N979" s="1392"/>
      <c r="O979" s="1392"/>
      <c r="P979" s="1392"/>
      <c r="Q979" s="1392"/>
      <c r="R979" s="1392"/>
      <c r="S979" s="1393"/>
      <c r="T979" s="45" t="s">
        <v>337</v>
      </c>
      <c r="U979" s="5"/>
      <c r="V979" s="5"/>
      <c r="W979" s="5"/>
      <c r="X979" s="5"/>
      <c r="Y979" s="5"/>
      <c r="Z979" s="46"/>
      <c r="AA979" s="1391" t="s">
        <v>589</v>
      </c>
      <c r="AB979" s="1392"/>
      <c r="AC979" s="1392"/>
      <c r="AD979" s="1392"/>
      <c r="AE979" s="1392"/>
      <c r="AF979" s="1392"/>
      <c r="AG979" s="139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462</v>
      </c>
      <c r="G980" s="5"/>
      <c r="H980" s="5"/>
      <c r="I980" s="5"/>
      <c r="J980" s="5"/>
      <c r="K980" s="5"/>
      <c r="L980" s="46"/>
      <c r="M980" s="1391" t="s">
        <v>589</v>
      </c>
      <c r="N980" s="1392"/>
      <c r="O980" s="1392"/>
      <c r="P980" s="1392"/>
      <c r="Q980" s="1392"/>
      <c r="R980" s="1392"/>
      <c r="S980" s="1393"/>
      <c r="T980" s="45" t="s">
        <v>375</v>
      </c>
      <c r="U980" s="5"/>
      <c r="V980" s="5"/>
      <c r="W980" s="5"/>
      <c r="X980" s="5"/>
      <c r="Y980" s="5"/>
      <c r="Z980" s="46"/>
      <c r="AA980" s="1391" t="s">
        <v>589</v>
      </c>
      <c r="AB980" s="1392"/>
      <c r="AC980" s="1392"/>
      <c r="AD980" s="1392"/>
      <c r="AE980" s="1392"/>
      <c r="AF980" s="1392"/>
      <c r="AG980" s="139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397" t="s">
        <v>306</v>
      </c>
      <c r="N981" s="1398"/>
      <c r="O981" s="1398"/>
      <c r="P981" s="1398"/>
      <c r="Q981" s="1398"/>
      <c r="R981" s="1398"/>
      <c r="S981" s="1399"/>
      <c r="T981" s="1401"/>
      <c r="U981" s="1402"/>
      <c r="V981" s="1402"/>
      <c r="W981" s="1402"/>
      <c r="X981" s="1402"/>
      <c r="Y981" s="1402"/>
      <c r="Z981" s="1403"/>
      <c r="AA981" s="1391" t="s">
        <v>589</v>
      </c>
      <c r="AB981" s="1392"/>
      <c r="AC981" s="1392"/>
      <c r="AD981" s="1392"/>
      <c r="AE981" s="1392"/>
      <c r="AF981" s="1392"/>
      <c r="AG981" s="139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463</v>
      </c>
      <c r="G982" s="42"/>
      <c r="H982" s="42"/>
      <c r="I982" s="42"/>
      <c r="J982" s="42"/>
      <c r="K982" s="42"/>
      <c r="L982" s="58"/>
      <c r="M982" s="1391" t="s">
        <v>589</v>
      </c>
      <c r="N982" s="1392"/>
      <c r="O982" s="1392"/>
      <c r="P982" s="1392"/>
      <c r="Q982" s="1392"/>
      <c r="R982" s="1392"/>
      <c r="S982" s="1393"/>
      <c r="T982" s="1401"/>
      <c r="U982" s="1402"/>
      <c r="V982" s="1402"/>
      <c r="W982" s="1402"/>
      <c r="X982" s="1402"/>
      <c r="Y982" s="1402"/>
      <c r="Z982" s="1403"/>
      <c r="AA982" s="1391" t="s">
        <v>589</v>
      </c>
      <c r="AB982" s="1392"/>
      <c r="AC982" s="1392"/>
      <c r="AD982" s="1392"/>
      <c r="AE982" s="1392"/>
      <c r="AF982" s="1392"/>
      <c r="AG982" s="139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94" t="s">
        <v>667</v>
      </c>
      <c r="P983" s="1595"/>
      <c r="Q983" s="92"/>
      <c r="R983" s="92"/>
      <c r="S983" s="93"/>
      <c r="T983" s="41" t="s">
        <v>169</v>
      </c>
      <c r="U983" s="42"/>
      <c r="V983" s="42"/>
      <c r="W983" s="1612" t="s">
        <v>333</v>
      </c>
      <c r="X983" s="1613"/>
      <c r="Y983" s="1613"/>
      <c r="Z983" s="1613"/>
      <c r="AA983" s="1613"/>
      <c r="AB983" s="1613"/>
      <c r="AC983" s="1613"/>
      <c r="AD983" s="1613"/>
      <c r="AE983" s="1613"/>
      <c r="AF983" s="1613"/>
      <c r="AG983" s="1614"/>
      <c r="AU983" s="68"/>
      <c r="AV983" s="95"/>
      <c r="AW983" s="95"/>
      <c r="AX983" s="95"/>
      <c r="AY983" s="95"/>
      <c r="AZ983" s="34"/>
      <c r="BB983" s="34"/>
      <c r="BC983" s="34"/>
      <c r="BD983" s="34"/>
      <c r="BE983" s="34"/>
      <c r="BF983" s="34"/>
      <c r="BG983" s="34"/>
      <c r="BH983" s="34"/>
      <c r="BI983" s="34"/>
      <c r="BJ983" s="34"/>
      <c r="BK983" s="34"/>
      <c r="BL983" s="34"/>
    </row>
    <row r="984" spans="1:64" ht="12.95" customHeight="1">
      <c r="F984" s="1656" t="s">
        <v>33</v>
      </c>
      <c r="G984" s="1522"/>
      <c r="H984" s="1522"/>
      <c r="I984" s="1522"/>
      <c r="J984" s="1522"/>
      <c r="K984" s="1522"/>
      <c r="L984" s="1522"/>
      <c r="M984" s="1391"/>
      <c r="N984" s="1392"/>
      <c r="O984" s="1392"/>
      <c r="P984" s="1392"/>
      <c r="Q984" s="1392"/>
      <c r="R984" s="1392"/>
      <c r="S984" s="1393"/>
      <c r="T984" s="47"/>
      <c r="U984" s="48"/>
      <c r="V984" s="48"/>
      <c r="W984" s="48"/>
      <c r="X984" s="48"/>
      <c r="Y984" s="48"/>
      <c r="Z984" s="124" t="s">
        <v>134</v>
      </c>
      <c r="AA984" s="1630"/>
      <c r="AB984" s="1631"/>
      <c r="AC984" s="1631"/>
      <c r="AD984" s="1631"/>
      <c r="AE984" s="1631"/>
      <c r="AF984" s="1631"/>
      <c r="AG984" s="1632"/>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83"/>
      <c r="BH985" s="1683"/>
      <c r="BI985" s="1683"/>
      <c r="BJ985" s="1683"/>
      <c r="BK985" s="1683"/>
      <c r="BL985" s="1683"/>
    </row>
    <row r="986" spans="1:64" ht="12.95" customHeight="1">
      <c r="AU986" s="68"/>
      <c r="AV986" s="68"/>
      <c r="AW986" s="68"/>
      <c r="AX986" s="68"/>
      <c r="AY986" s="68"/>
      <c r="AZ986" s="14"/>
      <c r="BA986" s="14"/>
      <c r="BB986" s="907"/>
      <c r="BC986" s="907"/>
      <c r="BD986" s="14"/>
      <c r="BE986" s="14"/>
      <c r="BF986" s="14"/>
      <c r="BG986" s="14"/>
      <c r="BH986" s="14"/>
      <c r="BI986" s="14"/>
      <c r="BJ986" s="14"/>
      <c r="BK986" s="14"/>
      <c r="BL986" s="14"/>
    </row>
    <row r="987" spans="1:64" ht="12.95" customHeight="1">
      <c r="AU987" s="68"/>
      <c r="AV987" s="68"/>
      <c r="AW987" s="68"/>
      <c r="AX987" s="68"/>
      <c r="AY987" s="68"/>
      <c r="AZ987" s="14"/>
      <c r="BA987" s="14"/>
      <c r="BB987" s="907"/>
      <c r="BC987" s="907"/>
    </row>
    <row r="988" spans="1:64" ht="12.95" customHeight="1">
      <c r="A988" s="1519" t="s">
        <v>546</v>
      </c>
      <c r="B988" s="1519"/>
      <c r="C988" s="1519"/>
      <c r="D988" s="1519"/>
      <c r="E988" s="1519"/>
      <c r="F988" s="1519"/>
      <c r="G988" s="1519"/>
      <c r="H988" s="1519"/>
      <c r="I988" s="1519"/>
      <c r="J988" s="1519"/>
      <c r="K988" s="1519"/>
      <c r="L988" s="1519"/>
      <c r="M988" s="1519"/>
      <c r="N988" s="1519"/>
      <c r="O988" s="1519"/>
      <c r="P988" s="1519"/>
      <c r="Q988" s="1519"/>
      <c r="R988" s="1519"/>
      <c r="S988" s="1519"/>
      <c r="T988" s="1519"/>
      <c r="U988" s="1519"/>
      <c r="V988" s="1519"/>
      <c r="W988" s="1519"/>
      <c r="X988" s="1519"/>
      <c r="Y988" s="1519"/>
      <c r="Z988" s="1519"/>
      <c r="AA988" s="1519"/>
      <c r="AB988" s="1519"/>
      <c r="AC988" s="1519"/>
      <c r="AD988" s="1519"/>
      <c r="AE988" s="1519"/>
      <c r="AF988" s="1519"/>
      <c r="AG988" s="1519"/>
      <c r="AH988" s="1519"/>
      <c r="AI988" s="1519"/>
      <c r="AJ988" s="1519"/>
      <c r="AK988" s="1519"/>
      <c r="AL988" s="1519"/>
      <c r="AM988" s="1519"/>
      <c r="AN988" s="1519"/>
      <c r="AO988" s="1519"/>
      <c r="AP988" s="1519"/>
      <c r="AQ988" s="1519"/>
      <c r="AR988" s="1519"/>
      <c r="AS988" s="1519"/>
      <c r="AT988" s="1519"/>
      <c r="AU988" s="68"/>
      <c r="AV988" s="68"/>
      <c r="AW988" s="68"/>
      <c r="AX988" s="68"/>
      <c r="AY988" s="68"/>
      <c r="AZ988" s="14"/>
      <c r="BA988" s="14"/>
      <c r="BB988" s="907"/>
      <c r="BC988" s="907"/>
    </row>
    <row r="989" spans="1:64" ht="12.95" customHeight="1">
      <c r="A989" s="1519"/>
      <c r="B989" s="1519"/>
      <c r="C989" s="1519"/>
      <c r="D989" s="1519"/>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L989" s="1519"/>
      <c r="AM989" s="1519"/>
      <c r="AN989" s="1519"/>
      <c r="AO989" s="1519"/>
      <c r="AP989" s="1519"/>
      <c r="AQ989" s="1519"/>
      <c r="AR989" s="1519"/>
      <c r="AS989" s="1519"/>
      <c r="AT989" s="1519"/>
      <c r="AU989" s="68"/>
      <c r="AV989" s="68"/>
      <c r="AW989" s="68"/>
      <c r="AX989" s="68"/>
      <c r="AY989" s="68"/>
      <c r="AZ989" s="30"/>
      <c r="BA989" s="14"/>
      <c r="BB989" s="14"/>
      <c r="BC989" s="14"/>
    </row>
    <row r="990" spans="1:64" ht="12.95" customHeight="1">
      <c r="A990" s="1519"/>
      <c r="B990" s="1519"/>
      <c r="C990" s="1519"/>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L990" s="1519"/>
      <c r="AM990" s="1519"/>
      <c r="AN990" s="1519"/>
      <c r="AO990" s="1519"/>
      <c r="AP990" s="1519"/>
      <c r="AQ990" s="1519"/>
      <c r="AR990" s="1519"/>
      <c r="AS990" s="1519"/>
      <c r="AT990" s="151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3"/>
      <c r="D994" s="1609" t="s">
        <v>636</v>
      </c>
      <c r="E994" s="1610"/>
      <c r="F994" s="1610"/>
      <c r="G994" s="1610"/>
      <c r="H994" s="1610"/>
      <c r="I994" s="1610"/>
      <c r="J994" s="1610"/>
      <c r="K994" s="1610"/>
      <c r="L994" s="1610"/>
      <c r="M994" s="1610"/>
      <c r="N994" s="1610"/>
      <c r="O994" s="1610"/>
      <c r="P994" s="1610"/>
      <c r="Q994" s="1611"/>
      <c r="R994" s="1609" t="s">
        <v>637</v>
      </c>
      <c r="S994" s="1610"/>
      <c r="T994" s="1610"/>
      <c r="U994" s="1610"/>
      <c r="V994" s="1610"/>
      <c r="W994" s="1610"/>
      <c r="X994" s="1610"/>
      <c r="Y994" s="1610"/>
      <c r="Z994" s="1610"/>
      <c r="AA994" s="1611"/>
      <c r="AB994" s="1609" t="s">
        <v>638</v>
      </c>
      <c r="AC994" s="1610"/>
      <c r="AD994" s="1610"/>
      <c r="AE994" s="1610"/>
      <c r="AF994" s="1610"/>
      <c r="AG994" s="1610"/>
      <c r="AH994" s="1610"/>
      <c r="AI994" s="1611"/>
      <c r="AJ994" s="1609" t="s">
        <v>639</v>
      </c>
      <c r="AK994" s="1610"/>
      <c r="AL994" s="1610"/>
      <c r="AM994" s="1610"/>
      <c r="AN994" s="1610"/>
      <c r="AO994" s="1610"/>
      <c r="AP994" s="1610"/>
      <c r="AQ994" s="1611"/>
      <c r="AR994" s="68"/>
      <c r="AS994" s="68"/>
      <c r="AT994" s="68"/>
      <c r="AU994" s="68"/>
      <c r="AV994" s="68"/>
      <c r="AW994" s="68"/>
      <c r="AX994" s="68"/>
      <c r="AY994" s="68"/>
      <c r="AZ994" s="30"/>
      <c r="BB994" s="14"/>
      <c r="BC994" s="14"/>
    </row>
    <row r="995" spans="1:55" ht="12.95" customHeight="1">
      <c r="A995" s="14"/>
      <c r="B995" s="73"/>
      <c r="C995" s="924"/>
      <c r="D995" s="1448" t="s">
        <v>631</v>
      </c>
      <c r="E995" s="1449"/>
      <c r="F995" s="1449"/>
      <c r="G995" s="1449"/>
      <c r="H995" s="1449"/>
      <c r="I995" s="1449"/>
      <c r="J995" s="1449"/>
      <c r="K995" s="1449"/>
      <c r="L995" s="1449"/>
      <c r="M995" s="1449"/>
      <c r="N995" s="1449"/>
      <c r="O995" s="1449"/>
      <c r="P995" s="1449"/>
      <c r="Q995" s="1450"/>
      <c r="R995" s="1451">
        <f>IF(ISNA(IF($CU$122="4%",(INDEX($CS$160:$CW$217,MATCH($DG$122,$CR$160:$CR$217,0),MATCH(D995,$CS$159:$CW$159,0))),(INDEX($CZ$160:$DD$217,MATCH($DG$122,$CY$160:$CY$217,0),MATCH(D995,$CZ$159:$DD$159,0))))),0,IF($CU$122="4%",(INDEX($CS$160:$CW$217,MATCH($DG$122,$CR$160:$CR$217,0),MATCH(D995,$CS$159:$CW$159,0))),(INDEX($CZ$160:$DD$217,MATCH($DG$122,$CY$160:$CY$217,0),MATCH(D995,$CZ$159:$DD$159,0)))))</f>
        <v>437727</v>
      </c>
      <c r="S995" s="1451"/>
      <c r="T995" s="1451"/>
      <c r="U995" s="1451"/>
      <c r="V995" s="1451"/>
      <c r="W995" s="1451"/>
      <c r="X995" s="1451"/>
      <c r="Y995" s="1451"/>
      <c r="Z995" s="1451"/>
      <c r="AA995" s="1451"/>
      <c r="AB995" s="1445">
        <f>CP810</f>
        <v>0</v>
      </c>
      <c r="AC995" s="1446"/>
      <c r="AD995" s="1446"/>
      <c r="AE995" s="1446"/>
      <c r="AF995" s="1446"/>
      <c r="AG995" s="1446"/>
      <c r="AH995" s="1446"/>
      <c r="AI995" s="1447"/>
      <c r="AJ995" s="1407">
        <f>IF(ISERROR((R995*AB995)),0,(R995*AB995))</f>
        <v>0</v>
      </c>
      <c r="AK995" s="1408"/>
      <c r="AL995" s="1408"/>
      <c r="AM995" s="1408"/>
      <c r="AN995" s="1408"/>
      <c r="AO995" s="1408"/>
      <c r="AP995" s="1408"/>
      <c r="AQ995" s="1409"/>
      <c r="AR995" s="68"/>
      <c r="AS995" s="68"/>
      <c r="AT995" s="68"/>
      <c r="AU995" s="68"/>
      <c r="AV995" s="68"/>
      <c r="AW995" s="68"/>
      <c r="AX995" s="68"/>
      <c r="AY995" s="68"/>
      <c r="AZ995" s="30"/>
      <c r="BB995" s="14"/>
      <c r="BC995" s="14"/>
    </row>
    <row r="996" spans="1:55" ht="12.95" customHeight="1">
      <c r="A996" s="14"/>
      <c r="B996" s="73"/>
      <c r="C996" s="83"/>
      <c r="D996" s="1448" t="s">
        <v>324</v>
      </c>
      <c r="E996" s="1449"/>
      <c r="F996" s="1449"/>
      <c r="G996" s="1449"/>
      <c r="H996" s="1449"/>
      <c r="I996" s="1449"/>
      <c r="J996" s="1449"/>
      <c r="K996" s="1449"/>
      <c r="L996" s="1449"/>
      <c r="M996" s="1449"/>
      <c r="N996" s="1449"/>
      <c r="O996" s="1449"/>
      <c r="P996" s="1449"/>
      <c r="Q996" s="1450"/>
      <c r="R996" s="1451">
        <f>IF(ISNA(IF($CU$122="4%",(INDEX($CS$160:$CW$217,MATCH($DG$122,$CR$160:$CR$217,0),MATCH(D996,$CS$159:$CW$159,0))),(INDEX($CZ$160:$DD$217,MATCH($DG$122,$CY$160:$CY$217,0),MATCH(D996,$CZ$159:$DD$159,0))))),0,IF($CU$122="4%",(INDEX($CS$160:$CW$217,MATCH($DG$122,$CR$160:$CR$217,0),MATCH(D996,$CS$159:$CW$159,0))),(INDEX($CZ$160:$DD$217,MATCH($DG$122,$CY$160:$CY$217,0),MATCH(D996,$CZ$159:$DD$159,0)))))</f>
        <v>504695</v>
      </c>
      <c r="S996" s="1451"/>
      <c r="T996" s="1451"/>
      <c r="U996" s="1451"/>
      <c r="V996" s="1451"/>
      <c r="W996" s="1451"/>
      <c r="X996" s="1451"/>
      <c r="Y996" s="1451"/>
      <c r="Z996" s="1451"/>
      <c r="AA996" s="1451"/>
      <c r="AB996" s="1445">
        <f>CU810</f>
        <v>58</v>
      </c>
      <c r="AC996" s="1446"/>
      <c r="AD996" s="1446"/>
      <c r="AE996" s="1446"/>
      <c r="AF996" s="1446"/>
      <c r="AG996" s="1446"/>
      <c r="AH996" s="1446"/>
      <c r="AI996" s="1447"/>
      <c r="AJ996" s="1407">
        <f>IF(ISERROR((R996*AB996)),0,(R996*AB996))</f>
        <v>29272310</v>
      </c>
      <c r="AK996" s="1408"/>
      <c r="AL996" s="1408"/>
      <c r="AM996" s="1408"/>
      <c r="AN996" s="1408"/>
      <c r="AO996" s="1408"/>
      <c r="AP996" s="1408"/>
      <c r="AQ996" s="1409"/>
      <c r="AR996" s="68"/>
      <c r="AS996" s="68"/>
      <c r="AT996" s="68"/>
      <c r="AU996" s="68"/>
      <c r="AV996" s="68"/>
      <c r="AW996" s="68"/>
      <c r="AX996" s="68"/>
      <c r="AY996" s="68"/>
      <c r="AZ996" s="30"/>
      <c r="BB996" s="14"/>
      <c r="BC996" s="14"/>
    </row>
    <row r="997" spans="1:55" ht="12.95" customHeight="1">
      <c r="A997" s="14"/>
      <c r="B997" s="73"/>
      <c r="C997" s="83"/>
      <c r="D997" s="1448" t="s">
        <v>163</v>
      </c>
      <c r="E997" s="1449"/>
      <c r="F997" s="1449"/>
      <c r="G997" s="1449"/>
      <c r="H997" s="1449"/>
      <c r="I997" s="1449"/>
      <c r="J997" s="1449"/>
      <c r="K997" s="1449"/>
      <c r="L997" s="1449"/>
      <c r="M997" s="1449"/>
      <c r="N997" s="1449"/>
      <c r="O997" s="1449"/>
      <c r="P997" s="1449"/>
      <c r="Q997" s="1450"/>
      <c r="R997" s="1451">
        <f>IF(ISNA(IF($CU$122="4%",(INDEX($CS$160:$CW$217,MATCH($DG$122,$CR$160:$CR$217,0),MATCH(D997,$CS$159:$CW$159,0))),(INDEX($CZ$160:$DD$217,MATCH($DG$122,$CY$160:$CY$217,0),MATCH(D997,$CZ$159:$DD$159,0))))),0,IF($CU$122="4%",(INDEX($CS$160:$CW$217,MATCH($DG$122,$CR$160:$CR$217,0),MATCH(D997,$CS$159:$CW$159,0))),(INDEX($CZ$160:$DD$217,MATCH($DG$122,$CY$160:$CY$217,0),MATCH(D997,$CZ$159:$DD$159,0)))))</f>
        <v>608800</v>
      </c>
      <c r="S997" s="1451"/>
      <c r="T997" s="1451"/>
      <c r="U997" s="1451"/>
      <c r="V997" s="1451"/>
      <c r="W997" s="1451"/>
      <c r="X997" s="1451"/>
      <c r="Y997" s="1451"/>
      <c r="Z997" s="1451"/>
      <c r="AA997" s="1451"/>
      <c r="AB997" s="1445">
        <f>CZ810</f>
        <v>33</v>
      </c>
      <c r="AC997" s="1446"/>
      <c r="AD997" s="1446"/>
      <c r="AE997" s="1446"/>
      <c r="AF997" s="1446"/>
      <c r="AG997" s="1446"/>
      <c r="AH997" s="1446"/>
      <c r="AI997" s="1447"/>
      <c r="AJ997" s="1407">
        <f>IF(ISERROR((R997*AB997)),0,(R997*AB997))</f>
        <v>20090400</v>
      </c>
      <c r="AK997" s="1408"/>
      <c r="AL997" s="1408"/>
      <c r="AM997" s="1408"/>
      <c r="AN997" s="1408"/>
      <c r="AO997" s="1408"/>
      <c r="AP997" s="1408"/>
      <c r="AQ997" s="1409"/>
      <c r="AR997" s="68"/>
      <c r="AS997" s="68"/>
      <c r="AT997" s="68"/>
      <c r="AU997" s="68"/>
      <c r="AV997" s="68"/>
      <c r="AW997" s="68"/>
      <c r="AX997" s="68"/>
      <c r="AY997" s="68"/>
      <c r="AZ997" s="30"/>
      <c r="BB997" s="14"/>
      <c r="BC997" s="14"/>
    </row>
    <row r="998" spans="1:55" ht="12.95" customHeight="1">
      <c r="A998" s="14"/>
      <c r="B998" s="73"/>
      <c r="C998" s="83"/>
      <c r="D998" s="1448" t="s">
        <v>164</v>
      </c>
      <c r="E998" s="1449"/>
      <c r="F998" s="1449"/>
      <c r="G998" s="1449"/>
      <c r="H998" s="1449"/>
      <c r="I998" s="1449"/>
      <c r="J998" s="1449"/>
      <c r="K998" s="1449"/>
      <c r="L998" s="1449"/>
      <c r="M998" s="1449"/>
      <c r="N998" s="1449"/>
      <c r="O998" s="1449"/>
      <c r="P998" s="1449"/>
      <c r="Q998" s="1450"/>
      <c r="R998" s="1451">
        <f>IF(ISNA(IF($CU$122="4%",(INDEX($CS$160:$CW$217,MATCH($DG$122,$CR$160:$CR$217,0),MATCH(D998,$CS$159:$CW$159,0))),(INDEX($CZ$160:$DD$217,MATCH($DG$122,$CY$160:$CY$217,0),MATCH(D998,$CZ$159:$DD$159,0))))),0,IF($CU$122="4%",(INDEX($CS$160:$CW$217,MATCH($DG$122,$CR$160:$CR$217,0),MATCH(D998,$CS$159:$CW$159,0))),(INDEX($CZ$160:$DD$217,MATCH($DG$122,$CY$160:$CY$217,0),MATCH(D998,$CZ$159:$DD$159,0)))))</f>
        <v>779264</v>
      </c>
      <c r="S998" s="1451"/>
      <c r="T998" s="1451"/>
      <c r="U998" s="1451"/>
      <c r="V998" s="1451"/>
      <c r="W998" s="1451"/>
      <c r="X998" s="1451"/>
      <c r="Y998" s="1451"/>
      <c r="Z998" s="1451"/>
      <c r="AA998" s="1451"/>
      <c r="AB998" s="1445">
        <f>DE810</f>
        <v>33</v>
      </c>
      <c r="AC998" s="1446"/>
      <c r="AD998" s="1446"/>
      <c r="AE998" s="1446"/>
      <c r="AF998" s="1446"/>
      <c r="AG998" s="1446"/>
      <c r="AH998" s="1446"/>
      <c r="AI998" s="1447"/>
      <c r="AJ998" s="1407">
        <f>IF(ISERROR((R998*AB998)),0,(R998*AB998))</f>
        <v>25715712</v>
      </c>
      <c r="AK998" s="1408"/>
      <c r="AL998" s="1408"/>
      <c r="AM998" s="1408"/>
      <c r="AN998" s="1408"/>
      <c r="AO998" s="1408"/>
      <c r="AP998" s="1408"/>
      <c r="AQ998" s="1409"/>
      <c r="AR998" s="68"/>
      <c r="AS998" s="68"/>
      <c r="AT998" s="68"/>
      <c r="AU998" s="68"/>
      <c r="AV998" s="68"/>
      <c r="AW998" s="68"/>
      <c r="AX998" s="68"/>
      <c r="AY998" s="68"/>
      <c r="AZ998" s="30"/>
      <c r="BA998" s="34"/>
      <c r="BB998" s="14"/>
      <c r="BC998" s="14"/>
    </row>
    <row r="999" spans="1:55" ht="12.95" customHeight="1">
      <c r="A999" s="14"/>
      <c r="B999" s="47"/>
      <c r="C999" s="78"/>
      <c r="D999" s="1448" t="s">
        <v>458</v>
      </c>
      <c r="E999" s="1449"/>
      <c r="F999" s="1449"/>
      <c r="G999" s="1449"/>
      <c r="H999" s="1449"/>
      <c r="I999" s="1449"/>
      <c r="J999" s="1449"/>
      <c r="K999" s="1449"/>
      <c r="L999" s="1449"/>
      <c r="M999" s="1449"/>
      <c r="N999" s="1449"/>
      <c r="O999" s="1449"/>
      <c r="P999" s="1449"/>
      <c r="Q999" s="1450"/>
      <c r="R999" s="1451">
        <f>IF(ISNA(IF($CU$122="4%",(INDEX($CS$160:$CW$217,MATCH($DG$122,$CR$160:$CR$217,0),MATCH(D999,$CS$159:$CW$159,0))),(INDEX($CZ$160:$DD$217,MATCH($DG$122,$CY$160:$CY$217,0),MATCH(D999,$CZ$159:$DD$159,0))))),0,IF($CU$122="4%",(INDEX($CS$160:$CW$217,MATCH($DG$122,$CR$160:$CR$217,0),MATCH(D999,$CS$159:$CW$159,0))),(INDEX($CZ$160:$DD$217,MATCH($DG$122,$CY$160:$CY$217,0),MATCH(D999,$CZ$159:$DD$159,0)))))</f>
        <v>868149</v>
      </c>
      <c r="S999" s="1451"/>
      <c r="T999" s="1451"/>
      <c r="U999" s="1451"/>
      <c r="V999" s="1451"/>
      <c r="W999" s="1451"/>
      <c r="X999" s="1451"/>
      <c r="Y999" s="1451"/>
      <c r="Z999" s="1451"/>
      <c r="AA999" s="1451"/>
      <c r="AB999" s="1445">
        <f>DO810+DJ810</f>
        <v>0</v>
      </c>
      <c r="AC999" s="1446"/>
      <c r="AD999" s="1446"/>
      <c r="AE999" s="1446"/>
      <c r="AF999" s="1446"/>
      <c r="AG999" s="1446"/>
      <c r="AH999" s="1446"/>
      <c r="AI999" s="1447"/>
      <c r="AJ999" s="1407">
        <f>IF(ISERROR((R999*AB999)),0,(R999*AB999))</f>
        <v>0</v>
      </c>
      <c r="AK999" s="1408"/>
      <c r="AL999" s="1408"/>
      <c r="AM999" s="1408"/>
      <c r="AN999" s="1408"/>
      <c r="AO999" s="1408"/>
      <c r="AP999" s="1408"/>
      <c r="AQ999" s="1409"/>
      <c r="AR999" s="68"/>
      <c r="AS999" s="68"/>
      <c r="AT999" s="68"/>
      <c r="AU999" s="68"/>
      <c r="AV999" s="68"/>
      <c r="AW999" s="68"/>
      <c r="AX999" s="68"/>
      <c r="AY999" s="68"/>
      <c r="AZ999" s="30"/>
      <c r="BB999" s="14"/>
      <c r="BC999" s="14"/>
    </row>
    <row r="1000" spans="1:55" ht="12.95" customHeight="1">
      <c r="A1000" s="14"/>
      <c r="B1000" s="1660" t="s">
        <v>789</v>
      </c>
      <c r="C1000" s="1661"/>
      <c r="D1000" s="1661"/>
      <c r="E1000" s="1661"/>
      <c r="F1000" s="1661"/>
      <c r="G1000" s="1661"/>
      <c r="H1000" s="1661"/>
      <c r="I1000" s="1661"/>
      <c r="J1000" s="1661"/>
      <c r="K1000" s="1661"/>
      <c r="L1000" s="1661"/>
      <c r="M1000" s="1661"/>
      <c r="N1000" s="1661"/>
      <c r="O1000" s="1661"/>
      <c r="P1000" s="1661"/>
      <c r="Q1000" s="1661"/>
      <c r="R1000" s="1661"/>
      <c r="S1000" s="1661"/>
      <c r="T1000" s="1661"/>
      <c r="U1000" s="1661"/>
      <c r="V1000" s="1661"/>
      <c r="W1000" s="1661"/>
      <c r="X1000" s="1661"/>
      <c r="Y1000" s="1661"/>
      <c r="Z1000" s="1661"/>
      <c r="AA1000" s="1662"/>
      <c r="AB1000" s="1445">
        <f>SUM(AB995:AI999)</f>
        <v>124</v>
      </c>
      <c r="AC1000" s="1446"/>
      <c r="AD1000" s="1446"/>
      <c r="AE1000" s="1446"/>
      <c r="AF1000" s="1446"/>
      <c r="AG1000" s="1446"/>
      <c r="AH1000" s="1446"/>
      <c r="AI1000" s="1447"/>
      <c r="AJ1000" s="1407"/>
      <c r="AK1000" s="1408"/>
      <c r="AL1000" s="1408"/>
      <c r="AM1000" s="1408"/>
      <c r="AN1000" s="1408"/>
      <c r="AO1000" s="1408"/>
      <c r="AP1000" s="1408"/>
      <c r="AQ1000" s="1409"/>
      <c r="AR1000" s="68"/>
      <c r="AS1000" s="68"/>
      <c r="AT1000" s="68"/>
      <c r="AU1000" s="68"/>
      <c r="AV1000" s="68"/>
      <c r="AW1000" s="68"/>
      <c r="AX1000" s="68"/>
      <c r="AY1000" s="68"/>
      <c r="AZ1000" s="34"/>
      <c r="BA1000" s="34"/>
      <c r="BB1000" s="14"/>
      <c r="BC1000" s="14"/>
    </row>
    <row r="1001" spans="1:55" ht="12.95" customHeight="1">
      <c r="A1001" s="14"/>
      <c r="B1001" s="1657" t="s">
        <v>510</v>
      </c>
      <c r="C1001" s="1658"/>
      <c r="D1001" s="1658"/>
      <c r="E1001" s="1658"/>
      <c r="F1001" s="1658"/>
      <c r="G1001" s="1658"/>
      <c r="H1001" s="1658"/>
      <c r="I1001" s="1658"/>
      <c r="J1001" s="1658"/>
      <c r="K1001" s="1658"/>
      <c r="L1001" s="1658"/>
      <c r="M1001" s="1658"/>
      <c r="N1001" s="1658"/>
      <c r="O1001" s="1658"/>
      <c r="P1001" s="1658"/>
      <c r="Q1001" s="1658"/>
      <c r="R1001" s="1658"/>
      <c r="S1001" s="1658"/>
      <c r="T1001" s="1658"/>
      <c r="U1001" s="1658"/>
      <c r="V1001" s="1658"/>
      <c r="W1001" s="1658"/>
      <c r="X1001" s="1658"/>
      <c r="Y1001" s="1658"/>
      <c r="Z1001" s="1658"/>
      <c r="AA1001" s="1658"/>
      <c r="AB1001" s="1658"/>
      <c r="AC1001" s="1658"/>
      <c r="AD1001" s="1658"/>
      <c r="AE1001" s="1658"/>
      <c r="AF1001" s="1658"/>
      <c r="AG1001" s="1658"/>
      <c r="AH1001" s="1658"/>
      <c r="AI1001" s="1659"/>
      <c r="AJ1001" s="1407">
        <f>SUM(AJ995:AQ999)</f>
        <v>75078422</v>
      </c>
      <c r="AK1001" s="1408"/>
      <c r="AL1001" s="1408"/>
      <c r="AM1001" s="1408"/>
      <c r="AN1001" s="1408"/>
      <c r="AO1001" s="1408"/>
      <c r="AP1001" s="1408"/>
      <c r="AQ1001" s="1409"/>
      <c r="AR1001" s="68"/>
      <c r="AS1001" s="68"/>
      <c r="AT1001" s="68"/>
      <c r="AU1001" s="68"/>
      <c r="AV1001" s="68"/>
      <c r="AW1001" s="68"/>
      <c r="AX1001" s="68"/>
      <c r="AY1001" s="68"/>
      <c r="AZ1001" s="34"/>
      <c r="BB1001" s="34"/>
      <c r="BC1001" s="34"/>
    </row>
    <row r="1002" spans="1:55" ht="12.95" customHeight="1">
      <c r="A1002" s="14"/>
      <c r="B1002" s="1410"/>
      <c r="C1002" s="1411"/>
      <c r="D1002" s="1411"/>
      <c r="E1002" s="1411"/>
      <c r="F1002" s="1411"/>
      <c r="G1002" s="1411"/>
      <c r="H1002" s="1411"/>
      <c r="I1002" s="1411"/>
      <c r="J1002" s="1411"/>
      <c r="K1002" s="1411"/>
      <c r="L1002" s="1411"/>
      <c r="M1002" s="1411"/>
      <c r="N1002" s="1411"/>
      <c r="O1002" s="1411"/>
      <c r="P1002" s="1411"/>
      <c r="Q1002" s="1411"/>
      <c r="R1002" s="1411"/>
      <c r="S1002" s="1411"/>
      <c r="T1002" s="1411"/>
      <c r="U1002" s="1411"/>
      <c r="V1002" s="1411"/>
      <c r="W1002" s="1411"/>
      <c r="X1002" s="1411"/>
      <c r="Y1002" s="1411"/>
      <c r="Z1002" s="1411"/>
      <c r="AA1002" s="1411"/>
      <c r="AB1002" s="1411"/>
      <c r="AC1002" s="1411"/>
      <c r="AD1002" s="1411"/>
      <c r="AE1002" s="1412"/>
      <c r="AF1002" s="1633" t="s">
        <v>664</v>
      </c>
      <c r="AG1002" s="1634"/>
      <c r="AH1002" s="1634"/>
      <c r="AI1002" s="1635"/>
      <c r="AJ1002" s="1410"/>
      <c r="AK1002" s="1411"/>
      <c r="AL1002" s="1411"/>
      <c r="AM1002" s="1411"/>
      <c r="AN1002" s="1411"/>
      <c r="AO1002" s="1411"/>
      <c r="AP1002" s="1411"/>
      <c r="AQ1002" s="1412"/>
      <c r="AR1002" s="68"/>
      <c r="AS1002" s="68"/>
      <c r="AT1002" s="68"/>
      <c r="AU1002" s="68"/>
      <c r="AV1002" s="68"/>
      <c r="AW1002" s="68"/>
      <c r="AX1002" s="68"/>
      <c r="AY1002" s="68"/>
      <c r="AZ1002" s="34"/>
      <c r="BA1002" s="34"/>
      <c r="BB1002" s="34"/>
      <c r="BC1002" s="34"/>
    </row>
    <row r="1003" spans="1:55" ht="12.95" customHeight="1">
      <c r="A1003" s="14"/>
      <c r="B1003" s="73"/>
      <c r="C1003" s="922" t="s">
        <v>666</v>
      </c>
      <c r="D1003" s="1560" t="s">
        <v>1218</v>
      </c>
      <c r="E1003" s="1561"/>
      <c r="F1003" s="1561"/>
      <c r="G1003" s="1561"/>
      <c r="H1003" s="1561"/>
      <c r="I1003" s="1561"/>
      <c r="J1003" s="1561"/>
      <c r="K1003" s="1561"/>
      <c r="L1003" s="1561"/>
      <c r="M1003" s="1561"/>
      <c r="N1003" s="1561"/>
      <c r="O1003" s="1561"/>
      <c r="P1003" s="1561"/>
      <c r="Q1003" s="1561"/>
      <c r="R1003" s="1561"/>
      <c r="S1003" s="1561"/>
      <c r="T1003" s="1561"/>
      <c r="U1003" s="1561"/>
      <c r="V1003" s="1561"/>
      <c r="W1003" s="1561"/>
      <c r="X1003" s="1561"/>
      <c r="Y1003" s="1561"/>
      <c r="Z1003" s="1561"/>
      <c r="AA1003" s="1561"/>
      <c r="AB1003" s="1561"/>
      <c r="AC1003" s="1561"/>
      <c r="AD1003" s="1561"/>
      <c r="AE1003" s="1562"/>
      <c r="AF1003" s="79"/>
      <c r="AG1003" s="1636" t="s">
        <v>543</v>
      </c>
      <c r="AH1003" s="1637"/>
      <c r="AI1003" s="87"/>
      <c r="AJ1003" s="1379">
        <f>ROUND(IF(AND(AG1003="yes",D1009&gt;0),AJ1001*0.2,0),0)</f>
        <v>15015684</v>
      </c>
      <c r="AK1003" s="1380"/>
      <c r="AL1003" s="1380"/>
      <c r="AM1003" s="1380"/>
      <c r="AN1003" s="1380"/>
      <c r="AO1003" s="1380"/>
      <c r="AP1003" s="1380"/>
      <c r="AQ1003" s="1381"/>
      <c r="AR1003" s="68"/>
      <c r="AS1003" s="68"/>
      <c r="AT1003" s="68"/>
      <c r="AU1003" s="68"/>
      <c r="AV1003" s="68"/>
      <c r="AW1003" s="68"/>
      <c r="AX1003" s="68"/>
      <c r="AY1003" s="68"/>
      <c r="AZ1003" s="34"/>
      <c r="BA1003" s="34"/>
      <c r="BB1003" s="34"/>
      <c r="BC1003" s="34"/>
    </row>
    <row r="1004" spans="1:55" ht="12.95" customHeight="1">
      <c r="A1004" s="14"/>
      <c r="B1004" s="256"/>
      <c r="C1004" s="255"/>
      <c r="D1004" s="1582" t="s">
        <v>2187</v>
      </c>
      <c r="E1004" s="1583"/>
      <c r="F1004" s="1583"/>
      <c r="G1004" s="1583"/>
      <c r="H1004" s="1583"/>
      <c r="I1004" s="1583"/>
      <c r="J1004" s="1583"/>
      <c r="K1004" s="1583"/>
      <c r="L1004" s="1583"/>
      <c r="M1004" s="1583"/>
      <c r="N1004" s="1583"/>
      <c r="O1004" s="1583"/>
      <c r="P1004" s="1583"/>
      <c r="Q1004" s="1583"/>
      <c r="R1004" s="1583"/>
      <c r="S1004" s="1583"/>
      <c r="T1004" s="1583"/>
      <c r="U1004" s="1583"/>
      <c r="V1004" s="1583"/>
      <c r="W1004" s="1583"/>
      <c r="X1004" s="1583"/>
      <c r="Y1004" s="1583"/>
      <c r="Z1004" s="1583"/>
      <c r="AA1004" s="1583"/>
      <c r="AB1004" s="1583"/>
      <c r="AC1004" s="1583"/>
      <c r="AD1004" s="1583"/>
      <c r="AE1004" s="1584"/>
      <c r="AF1004" s="73"/>
      <c r="AG1004" s="14"/>
      <c r="AH1004" s="14"/>
      <c r="AI1004" s="83"/>
      <c r="AJ1004" s="1382"/>
      <c r="AK1004" s="1383"/>
      <c r="AL1004" s="1383"/>
      <c r="AM1004" s="1383"/>
      <c r="AN1004" s="1383"/>
      <c r="AO1004" s="1383"/>
      <c r="AP1004" s="1383"/>
      <c r="AQ1004" s="1384"/>
      <c r="AR1004" s="68"/>
      <c r="AS1004" s="68"/>
      <c r="AT1004" s="68"/>
      <c r="AU1004" s="68"/>
      <c r="AV1004" s="68"/>
      <c r="AW1004" s="68"/>
      <c r="AX1004" s="68"/>
      <c r="AY1004" s="68"/>
      <c r="AZ1004" s="34"/>
      <c r="BA1004" s="34"/>
      <c r="BB1004" s="34"/>
      <c r="BC1004" s="34"/>
    </row>
    <row r="1005" spans="1:55" ht="12.95" customHeight="1">
      <c r="A1005" s="14"/>
      <c r="B1005" s="256"/>
      <c r="C1005" s="255"/>
      <c r="D1005" s="1582"/>
      <c r="E1005" s="1583"/>
      <c r="F1005" s="1583"/>
      <c r="G1005" s="1583"/>
      <c r="H1005" s="1583"/>
      <c r="I1005" s="1583"/>
      <c r="J1005" s="1583"/>
      <c r="K1005" s="1583"/>
      <c r="L1005" s="1583"/>
      <c r="M1005" s="1583"/>
      <c r="N1005" s="1583"/>
      <c r="O1005" s="1583"/>
      <c r="P1005" s="1583"/>
      <c r="Q1005" s="1583"/>
      <c r="R1005" s="1583"/>
      <c r="S1005" s="1583"/>
      <c r="T1005" s="1583"/>
      <c r="U1005" s="1583"/>
      <c r="V1005" s="1583"/>
      <c r="W1005" s="1583"/>
      <c r="X1005" s="1583"/>
      <c r="Y1005" s="1583"/>
      <c r="Z1005" s="1583"/>
      <c r="AA1005" s="1583"/>
      <c r="AB1005" s="1583"/>
      <c r="AC1005" s="1583"/>
      <c r="AD1005" s="1583"/>
      <c r="AE1005" s="1584"/>
      <c r="AF1005" s="73"/>
      <c r="AG1005" s="14"/>
      <c r="AH1005" s="14"/>
      <c r="AI1005" s="83"/>
      <c r="AJ1005" s="1382"/>
      <c r="AK1005" s="1383"/>
      <c r="AL1005" s="1383"/>
      <c r="AM1005" s="1383"/>
      <c r="AN1005" s="1383"/>
      <c r="AO1005" s="1383"/>
      <c r="AP1005" s="1383"/>
      <c r="AQ1005" s="1384"/>
      <c r="AR1005" s="68"/>
      <c r="AS1005" s="68"/>
      <c r="AT1005" s="68"/>
      <c r="AU1005" s="68"/>
      <c r="AV1005" s="68"/>
      <c r="AW1005" s="68"/>
      <c r="AX1005" s="68"/>
      <c r="AY1005" s="68"/>
      <c r="AZ1005" s="34"/>
      <c r="BA1005" s="34"/>
      <c r="BB1005" s="34"/>
      <c r="BC1005" s="34"/>
    </row>
    <row r="1006" spans="1:55" ht="12.95" customHeight="1">
      <c r="A1006" s="14"/>
      <c r="B1006" s="256"/>
      <c r="C1006" s="255"/>
      <c r="D1006" s="1582"/>
      <c r="E1006" s="1583"/>
      <c r="F1006" s="1583"/>
      <c r="G1006" s="1583"/>
      <c r="H1006" s="1583"/>
      <c r="I1006" s="1583"/>
      <c r="J1006" s="1583"/>
      <c r="K1006" s="1583"/>
      <c r="L1006" s="1583"/>
      <c r="M1006" s="1583"/>
      <c r="N1006" s="1583"/>
      <c r="O1006" s="1583"/>
      <c r="P1006" s="1583"/>
      <c r="Q1006" s="1583"/>
      <c r="R1006" s="1583"/>
      <c r="S1006" s="1583"/>
      <c r="T1006" s="1583"/>
      <c r="U1006" s="1583"/>
      <c r="V1006" s="1583"/>
      <c r="W1006" s="1583"/>
      <c r="X1006" s="1583"/>
      <c r="Y1006" s="1583"/>
      <c r="Z1006" s="1583"/>
      <c r="AA1006" s="1583"/>
      <c r="AB1006" s="1583"/>
      <c r="AC1006" s="1583"/>
      <c r="AD1006" s="1583"/>
      <c r="AE1006" s="1584"/>
      <c r="AF1006" s="73"/>
      <c r="AG1006" s="14"/>
      <c r="AH1006" s="14"/>
      <c r="AI1006" s="83"/>
      <c r="AJ1006" s="1382"/>
      <c r="AK1006" s="1383"/>
      <c r="AL1006" s="1383"/>
      <c r="AM1006" s="1383"/>
      <c r="AN1006" s="1383"/>
      <c r="AO1006" s="1383"/>
      <c r="AP1006" s="1383"/>
      <c r="AQ1006" s="1384"/>
      <c r="AR1006" s="68"/>
      <c r="AS1006" s="68"/>
      <c r="AT1006" s="68"/>
      <c r="AU1006" s="68"/>
      <c r="AV1006" s="68"/>
      <c r="AW1006" s="68"/>
      <c r="AX1006" s="68"/>
      <c r="AY1006" s="68"/>
      <c r="AZ1006" s="34"/>
      <c r="BA1006" s="34"/>
      <c r="BB1006" s="34"/>
      <c r="BC1006" s="34"/>
    </row>
    <row r="1007" spans="1:55" ht="12.95" customHeight="1">
      <c r="A1007" s="14"/>
      <c r="B1007" s="256"/>
      <c r="C1007" s="255"/>
      <c r="D1007" s="1582"/>
      <c r="E1007" s="1583"/>
      <c r="F1007" s="1583"/>
      <c r="G1007" s="1583"/>
      <c r="H1007" s="1583"/>
      <c r="I1007" s="1583"/>
      <c r="J1007" s="1583"/>
      <c r="K1007" s="1583"/>
      <c r="L1007" s="1583"/>
      <c r="M1007" s="1583"/>
      <c r="N1007" s="1583"/>
      <c r="O1007" s="1583"/>
      <c r="P1007" s="1583"/>
      <c r="Q1007" s="1583"/>
      <c r="R1007" s="1583"/>
      <c r="S1007" s="1583"/>
      <c r="T1007" s="1583"/>
      <c r="U1007" s="1583"/>
      <c r="V1007" s="1583"/>
      <c r="W1007" s="1583"/>
      <c r="X1007" s="1583"/>
      <c r="Y1007" s="1583"/>
      <c r="Z1007" s="1583"/>
      <c r="AA1007" s="1583"/>
      <c r="AB1007" s="1583"/>
      <c r="AC1007" s="1583"/>
      <c r="AD1007" s="1583"/>
      <c r="AE1007" s="1584"/>
      <c r="AF1007" s="73"/>
      <c r="AG1007" s="14"/>
      <c r="AH1007" s="14"/>
      <c r="AI1007" s="83"/>
      <c r="AJ1007" s="1382"/>
      <c r="AK1007" s="1383"/>
      <c r="AL1007" s="1383"/>
      <c r="AM1007" s="1383"/>
      <c r="AN1007" s="1383"/>
      <c r="AO1007" s="1383"/>
      <c r="AP1007" s="1383"/>
      <c r="AQ1007" s="1384"/>
      <c r="AR1007" s="68"/>
      <c r="AS1007" s="68"/>
      <c r="AT1007" s="68"/>
      <c r="AU1007" s="68"/>
      <c r="AV1007" s="68"/>
      <c r="AW1007" s="68"/>
      <c r="AX1007" s="68"/>
      <c r="AY1007" s="68"/>
      <c r="AZ1007" s="34"/>
      <c r="BA1007" s="34"/>
      <c r="BB1007" s="34"/>
      <c r="BC1007" s="34"/>
    </row>
    <row r="1008" spans="1:55" ht="12.95" customHeight="1">
      <c r="A1008" s="14"/>
      <c r="B1008" s="256"/>
      <c r="C1008" s="255"/>
      <c r="D1008" s="1585" t="s">
        <v>2158</v>
      </c>
      <c r="E1008" s="1586"/>
      <c r="F1008" s="1586"/>
      <c r="G1008" s="1586"/>
      <c r="H1008" s="1586"/>
      <c r="I1008" s="1586"/>
      <c r="J1008" s="1586"/>
      <c r="K1008" s="1586"/>
      <c r="L1008" s="1586"/>
      <c r="M1008" s="1586"/>
      <c r="N1008" s="1586"/>
      <c r="O1008" s="1586"/>
      <c r="P1008" s="1586"/>
      <c r="Q1008" s="1586"/>
      <c r="R1008" s="1586"/>
      <c r="S1008" s="1586"/>
      <c r="T1008" s="1586"/>
      <c r="U1008" s="1586"/>
      <c r="V1008" s="1586"/>
      <c r="W1008" s="1586"/>
      <c r="X1008" s="1586"/>
      <c r="Y1008" s="1586"/>
      <c r="Z1008" s="1586"/>
      <c r="AA1008" s="1586"/>
      <c r="AB1008" s="1586"/>
      <c r="AC1008" s="1586"/>
      <c r="AD1008" s="1586"/>
      <c r="AE1008" s="1587"/>
      <c r="AF1008" s="73"/>
      <c r="AG1008" s="14"/>
      <c r="AH1008" s="14"/>
      <c r="AI1008" s="83"/>
      <c r="AJ1008" s="1382"/>
      <c r="AK1008" s="1383"/>
      <c r="AL1008" s="1383"/>
      <c r="AM1008" s="1383"/>
      <c r="AN1008" s="1383"/>
      <c r="AO1008" s="1383"/>
      <c r="AP1008" s="1383"/>
      <c r="AQ1008" s="1384"/>
      <c r="AR1008" s="68"/>
      <c r="AS1008" s="68"/>
      <c r="AT1008" s="68"/>
      <c r="AU1008" s="68"/>
      <c r="AV1008" s="68"/>
      <c r="AW1008" s="68"/>
      <c r="AX1008" s="68"/>
      <c r="AY1008" s="68"/>
      <c r="AZ1008" s="34"/>
      <c r="BA1008" s="34"/>
      <c r="BB1008" s="34"/>
      <c r="BC1008" s="34"/>
    </row>
    <row r="1009" spans="1:55" ht="12.95" customHeight="1">
      <c r="A1009" s="14"/>
      <c r="B1009" s="256"/>
      <c r="C1009" s="255"/>
      <c r="D1009" s="1579" t="s">
        <v>2812</v>
      </c>
      <c r="E1009" s="1580"/>
      <c r="F1009" s="1580"/>
      <c r="G1009" s="1580"/>
      <c r="H1009" s="1580"/>
      <c r="I1009" s="1580"/>
      <c r="J1009" s="1580"/>
      <c r="K1009" s="1580"/>
      <c r="L1009" s="1580"/>
      <c r="M1009" s="1580"/>
      <c r="N1009" s="1580"/>
      <c r="O1009" s="1580"/>
      <c r="P1009" s="1580"/>
      <c r="Q1009" s="1580"/>
      <c r="R1009" s="1580"/>
      <c r="S1009" s="1580"/>
      <c r="T1009" s="1580"/>
      <c r="U1009" s="1580"/>
      <c r="V1009" s="1580"/>
      <c r="W1009" s="1580"/>
      <c r="X1009" s="1580"/>
      <c r="Y1009" s="1580"/>
      <c r="Z1009" s="1580"/>
      <c r="AA1009" s="1580"/>
      <c r="AB1009" s="1580"/>
      <c r="AC1009" s="1580"/>
      <c r="AD1009" s="1580"/>
      <c r="AE1009" s="1581"/>
      <c r="AF1009" s="77"/>
      <c r="AG1009" s="7"/>
      <c r="AH1009" s="7"/>
      <c r="AI1009" s="78"/>
      <c r="AJ1009" s="1385"/>
      <c r="AK1009" s="1386"/>
      <c r="AL1009" s="1386"/>
      <c r="AM1009" s="1386"/>
      <c r="AN1009" s="1386"/>
      <c r="AO1009" s="1386"/>
      <c r="AP1009" s="1386"/>
      <c r="AQ1009" s="1387"/>
      <c r="AR1009" s="68"/>
      <c r="AS1009" s="68"/>
      <c r="AT1009" s="68"/>
      <c r="AU1009" s="68"/>
      <c r="AV1009" s="68"/>
      <c r="AW1009" s="68"/>
      <c r="AX1009" s="68"/>
      <c r="AY1009" s="68"/>
      <c r="AZ1009" s="34"/>
      <c r="BA1009" s="34"/>
      <c r="BB1009" s="34"/>
      <c r="BC1009" s="34"/>
    </row>
    <row r="1010" spans="1:55" ht="12.95" customHeight="1">
      <c r="A1010" s="14"/>
      <c r="B1010" s="254"/>
      <c r="C1010" s="317"/>
      <c r="D1010" s="1588" t="s">
        <v>1284</v>
      </c>
      <c r="E1010" s="1589"/>
      <c r="F1010" s="1589"/>
      <c r="G1010" s="1589"/>
      <c r="H1010" s="1589"/>
      <c r="I1010" s="1589"/>
      <c r="J1010" s="1589"/>
      <c r="K1010" s="1589"/>
      <c r="L1010" s="1589"/>
      <c r="M1010" s="1589"/>
      <c r="N1010" s="1589"/>
      <c r="O1010" s="1589"/>
      <c r="P1010" s="1589"/>
      <c r="Q1010" s="1589"/>
      <c r="R1010" s="1589"/>
      <c r="S1010" s="1589"/>
      <c r="T1010" s="1589"/>
      <c r="U1010" s="1589"/>
      <c r="V1010" s="1589"/>
      <c r="W1010" s="1589"/>
      <c r="X1010" s="1589"/>
      <c r="Y1010" s="1589"/>
      <c r="Z1010" s="1589"/>
      <c r="AA1010" s="1589"/>
      <c r="AB1010" s="1589"/>
      <c r="AC1010" s="1589"/>
      <c r="AD1010" s="1589"/>
      <c r="AE1010" s="1590"/>
      <c r="AF1010" s="79"/>
      <c r="AG1010" s="1607" t="s">
        <v>543</v>
      </c>
      <c r="AH1010" s="1608"/>
      <c r="AI1010" s="87"/>
      <c r="AJ1010" s="1379">
        <f>ROUND(IF(AG1010="yes",AJ1001*0.05,0),0)</f>
        <v>3753921</v>
      </c>
      <c r="AK1010" s="1380"/>
      <c r="AL1010" s="1380"/>
      <c r="AM1010" s="1380"/>
      <c r="AN1010" s="1380"/>
      <c r="AO1010" s="1380"/>
      <c r="AP1010" s="1380"/>
      <c r="AQ1010" s="1381"/>
      <c r="AR1010" s="68"/>
      <c r="AS1010" s="68"/>
      <c r="AT1010" s="68"/>
      <c r="AU1010" s="68"/>
      <c r="AV1010" s="68"/>
      <c r="AW1010" s="68"/>
      <c r="AX1010" s="68"/>
      <c r="AY1010" s="68"/>
      <c r="AZ1010" s="34"/>
      <c r="BA1010" s="34"/>
      <c r="BB1010" s="34"/>
      <c r="BC1010" s="34"/>
    </row>
    <row r="1011" spans="1:55" ht="12.95" customHeight="1">
      <c r="A1011" s="14"/>
      <c r="B1011" s="256"/>
      <c r="C1011" s="82"/>
      <c r="D1011" s="1582" t="s">
        <v>1282</v>
      </c>
      <c r="E1011" s="1583"/>
      <c r="F1011" s="1583"/>
      <c r="G1011" s="1583"/>
      <c r="H1011" s="1583"/>
      <c r="I1011" s="1583"/>
      <c r="J1011" s="1583"/>
      <c r="K1011" s="1583"/>
      <c r="L1011" s="1583"/>
      <c r="M1011" s="1583"/>
      <c r="N1011" s="1583"/>
      <c r="O1011" s="1583"/>
      <c r="P1011" s="1583"/>
      <c r="Q1011" s="1583"/>
      <c r="R1011" s="1583"/>
      <c r="S1011" s="1583"/>
      <c r="T1011" s="1583"/>
      <c r="U1011" s="1583"/>
      <c r="V1011" s="1583"/>
      <c r="W1011" s="1583"/>
      <c r="X1011" s="1583"/>
      <c r="Y1011" s="1583"/>
      <c r="Z1011" s="1583"/>
      <c r="AA1011" s="1583"/>
      <c r="AB1011" s="1583"/>
      <c r="AC1011" s="1583"/>
      <c r="AD1011" s="1583"/>
      <c r="AE1011" s="1584"/>
      <c r="AF1011" s="73"/>
      <c r="AG1011" s="14"/>
      <c r="AH1011" s="14"/>
      <c r="AI1011" s="83"/>
      <c r="AJ1011" s="1382"/>
      <c r="AK1011" s="1383"/>
      <c r="AL1011" s="1383"/>
      <c r="AM1011" s="1383"/>
      <c r="AN1011" s="1383"/>
      <c r="AO1011" s="1383"/>
      <c r="AP1011" s="1383"/>
      <c r="AQ1011" s="1384"/>
      <c r="AR1011" s="68"/>
      <c r="AS1011" s="68"/>
      <c r="AT1011" s="68"/>
      <c r="AU1011" s="68"/>
      <c r="AV1011" s="68"/>
      <c r="AW1011" s="68"/>
      <c r="AX1011" s="68"/>
      <c r="AY1011" s="34"/>
      <c r="AZ1011" s="34"/>
      <c r="BB1011" s="34"/>
    </row>
    <row r="1012" spans="1:55" ht="12.95" customHeight="1">
      <c r="A1012" s="14"/>
      <c r="B1012" s="256"/>
      <c r="C1012" s="82"/>
      <c r="D1012" s="1582"/>
      <c r="E1012" s="1583"/>
      <c r="F1012" s="1583"/>
      <c r="G1012" s="1583"/>
      <c r="H1012" s="1583"/>
      <c r="I1012" s="1583"/>
      <c r="J1012" s="1583"/>
      <c r="K1012" s="1583"/>
      <c r="L1012" s="1583"/>
      <c r="M1012" s="1583"/>
      <c r="N1012" s="1583"/>
      <c r="O1012" s="1583"/>
      <c r="P1012" s="1583"/>
      <c r="Q1012" s="1583"/>
      <c r="R1012" s="1583"/>
      <c r="S1012" s="1583"/>
      <c r="T1012" s="1583"/>
      <c r="U1012" s="1583"/>
      <c r="V1012" s="1583"/>
      <c r="W1012" s="1583"/>
      <c r="X1012" s="1583"/>
      <c r="Y1012" s="1583"/>
      <c r="Z1012" s="1583"/>
      <c r="AA1012" s="1583"/>
      <c r="AB1012" s="1583"/>
      <c r="AC1012" s="1583"/>
      <c r="AD1012" s="1583"/>
      <c r="AE1012" s="1584"/>
      <c r="AF1012" s="73"/>
      <c r="AG1012" s="14"/>
      <c r="AH1012" s="14"/>
      <c r="AI1012" s="83"/>
      <c r="AJ1012" s="1382"/>
      <c r="AK1012" s="1383"/>
      <c r="AL1012" s="1383"/>
      <c r="AM1012" s="1383"/>
      <c r="AN1012" s="1383"/>
      <c r="AO1012" s="1383"/>
      <c r="AP1012" s="1383"/>
      <c r="AQ1012" s="1384"/>
      <c r="AR1012" s="68"/>
      <c r="AS1012" s="68"/>
      <c r="AT1012" s="68"/>
      <c r="AU1012" s="68"/>
      <c r="AV1012" s="68"/>
      <c r="AW1012" s="68"/>
      <c r="AX1012" s="68"/>
      <c r="AY1012" s="909">
        <f>G761+O805</f>
        <v>122</v>
      </c>
      <c r="AZ1012" s="34"/>
      <c r="BB1012" s="34"/>
    </row>
    <row r="1013" spans="1:55" ht="12.95" customHeight="1">
      <c r="A1013" s="14"/>
      <c r="B1013" s="256"/>
      <c r="C1013" s="82"/>
      <c r="D1013" s="1582"/>
      <c r="E1013" s="1583"/>
      <c r="F1013" s="1583"/>
      <c r="G1013" s="1583"/>
      <c r="H1013" s="1583"/>
      <c r="I1013" s="1583"/>
      <c r="J1013" s="1583"/>
      <c r="K1013" s="1583"/>
      <c r="L1013" s="1583"/>
      <c r="M1013" s="1583"/>
      <c r="N1013" s="1583"/>
      <c r="O1013" s="1583"/>
      <c r="P1013" s="1583"/>
      <c r="Q1013" s="1583"/>
      <c r="R1013" s="1583"/>
      <c r="S1013" s="1583"/>
      <c r="T1013" s="1583"/>
      <c r="U1013" s="1583"/>
      <c r="V1013" s="1583"/>
      <c r="W1013" s="1583"/>
      <c r="X1013" s="1583"/>
      <c r="Y1013" s="1583"/>
      <c r="Z1013" s="1583"/>
      <c r="AA1013" s="1583"/>
      <c r="AB1013" s="1583"/>
      <c r="AC1013" s="1583"/>
      <c r="AD1013" s="1583"/>
      <c r="AE1013" s="1584"/>
      <c r="AF1013" s="73"/>
      <c r="AG1013" s="14"/>
      <c r="AH1013" s="14"/>
      <c r="AI1013" s="83"/>
      <c r="AJ1013" s="1382"/>
      <c r="AK1013" s="1383"/>
      <c r="AL1013" s="1383"/>
      <c r="AM1013" s="1383"/>
      <c r="AN1013" s="1383"/>
      <c r="AO1013" s="1383"/>
      <c r="AP1013" s="1383"/>
      <c r="AQ1013" s="1384"/>
      <c r="AR1013" s="68"/>
      <c r="AS1013" s="68"/>
      <c r="AT1013" s="68"/>
      <c r="AU1013" s="68"/>
      <c r="AV1013" s="68"/>
      <c r="AW1013" s="68"/>
      <c r="AX1013" s="68"/>
      <c r="AY1013" s="14"/>
      <c r="AZ1013" s="34"/>
      <c r="BB1013" s="34"/>
    </row>
    <row r="1014" spans="1:55" ht="12.95" customHeight="1">
      <c r="A1014" s="14"/>
      <c r="B1014" s="256"/>
      <c r="C1014" s="82"/>
      <c r="D1014" s="1582"/>
      <c r="E1014" s="1583"/>
      <c r="F1014" s="1583"/>
      <c r="G1014" s="1583"/>
      <c r="H1014" s="1583"/>
      <c r="I1014" s="1583"/>
      <c r="J1014" s="1583"/>
      <c r="K1014" s="1583"/>
      <c r="L1014" s="1583"/>
      <c r="M1014" s="1583"/>
      <c r="N1014" s="1583"/>
      <c r="O1014" s="1583"/>
      <c r="P1014" s="1583"/>
      <c r="Q1014" s="1583"/>
      <c r="R1014" s="1583"/>
      <c r="S1014" s="1583"/>
      <c r="T1014" s="1583"/>
      <c r="U1014" s="1583"/>
      <c r="V1014" s="1583"/>
      <c r="W1014" s="1583"/>
      <c r="X1014" s="1583"/>
      <c r="Y1014" s="1583"/>
      <c r="Z1014" s="1583"/>
      <c r="AA1014" s="1583"/>
      <c r="AB1014" s="1583"/>
      <c r="AC1014" s="1583"/>
      <c r="AD1014" s="1583"/>
      <c r="AE1014" s="1584"/>
      <c r="AF1014" s="73"/>
      <c r="AG1014" s="14"/>
      <c r="AH1014" s="14"/>
      <c r="AI1014" s="83"/>
      <c r="AJ1014" s="1382"/>
      <c r="AK1014" s="1383"/>
      <c r="AL1014" s="1383"/>
      <c r="AM1014" s="1383"/>
      <c r="AN1014" s="1383"/>
      <c r="AO1014" s="1383"/>
      <c r="AP1014" s="1383"/>
      <c r="AQ1014" s="1384"/>
      <c r="AR1014" s="68"/>
      <c r="AS1014" s="68"/>
      <c r="AT1014" s="68"/>
      <c r="AU1014" s="68"/>
      <c r="AV1014" s="68"/>
      <c r="AW1014" s="68"/>
      <c r="AX1014" s="68"/>
      <c r="AY1014" s="908">
        <f>ROUNDDOWN(X1057/I1057,2)</f>
        <v>0.24</v>
      </c>
      <c r="AZ1014" s="34"/>
      <c r="BB1014" s="34"/>
    </row>
    <row r="1015" spans="1:55" ht="12.95" customHeight="1">
      <c r="A1015" s="14"/>
      <c r="B1015" s="75"/>
      <c r="C1015" s="76"/>
      <c r="D1015" s="1585"/>
      <c r="E1015" s="1586"/>
      <c r="F1015" s="1586"/>
      <c r="G1015" s="1586"/>
      <c r="H1015" s="1586"/>
      <c r="I1015" s="1586"/>
      <c r="J1015" s="1586"/>
      <c r="K1015" s="1586"/>
      <c r="L1015" s="1586"/>
      <c r="M1015" s="1586"/>
      <c r="N1015" s="1586"/>
      <c r="O1015" s="1586"/>
      <c r="P1015" s="1586"/>
      <c r="Q1015" s="1586"/>
      <c r="R1015" s="1586"/>
      <c r="S1015" s="1586"/>
      <c r="T1015" s="1586"/>
      <c r="U1015" s="1586"/>
      <c r="V1015" s="1586"/>
      <c r="W1015" s="1586"/>
      <c r="X1015" s="1586"/>
      <c r="Y1015" s="1586"/>
      <c r="Z1015" s="1586"/>
      <c r="AA1015" s="1586"/>
      <c r="AB1015" s="1586"/>
      <c r="AC1015" s="1586"/>
      <c r="AD1015" s="1586"/>
      <c r="AE1015" s="1587"/>
      <c r="AF1015" s="77"/>
      <c r="AG1015" s="7"/>
      <c r="AH1015" s="7"/>
      <c r="AI1015" s="78"/>
      <c r="AJ1015" s="1385"/>
      <c r="AK1015" s="1386"/>
      <c r="AL1015" s="1386"/>
      <c r="AM1015" s="1386"/>
      <c r="AN1015" s="1386"/>
      <c r="AO1015" s="1386"/>
      <c r="AP1015" s="1386"/>
      <c r="AQ1015" s="1387"/>
      <c r="AR1015" s="68"/>
      <c r="AS1015" s="68"/>
      <c r="AT1015" s="68"/>
      <c r="AU1015" s="68"/>
      <c r="AV1015" s="68"/>
      <c r="AW1015" s="68"/>
      <c r="AX1015" s="68"/>
      <c r="AY1015" s="908">
        <f>ROUNDDOWN(X1061/I1061,2)</f>
        <v>0.25</v>
      </c>
      <c r="AZ1015" s="34"/>
      <c r="BB1015" s="34"/>
    </row>
    <row r="1016" spans="1:55" ht="12.95" customHeight="1">
      <c r="A1016" s="14"/>
      <c r="B1016" s="254"/>
      <c r="C1016" s="80" t="s">
        <v>670</v>
      </c>
      <c r="D1016" s="1588" t="s">
        <v>1670</v>
      </c>
      <c r="E1016" s="1589"/>
      <c r="F1016" s="1589"/>
      <c r="G1016" s="1589"/>
      <c r="H1016" s="1589"/>
      <c r="I1016" s="1589"/>
      <c r="J1016" s="1589"/>
      <c r="K1016" s="1589"/>
      <c r="L1016" s="1589"/>
      <c r="M1016" s="1589"/>
      <c r="N1016" s="1589"/>
      <c r="O1016" s="1589"/>
      <c r="P1016" s="1589"/>
      <c r="Q1016" s="1589"/>
      <c r="R1016" s="1589"/>
      <c r="S1016" s="1589"/>
      <c r="T1016" s="1589"/>
      <c r="U1016" s="1589"/>
      <c r="V1016" s="1589"/>
      <c r="W1016" s="1589"/>
      <c r="X1016" s="1589"/>
      <c r="Y1016" s="1589"/>
      <c r="Z1016" s="1589"/>
      <c r="AA1016" s="1589"/>
      <c r="AB1016" s="1589"/>
      <c r="AC1016" s="1589"/>
      <c r="AD1016" s="1589"/>
      <c r="AE1016" s="1590"/>
      <c r="AF1016" s="86"/>
      <c r="AG1016" s="1607" t="s">
        <v>543</v>
      </c>
      <c r="AH1016" s="1608"/>
      <c r="AI1016" s="87"/>
      <c r="AJ1016" s="1379">
        <f>ROUND(IF(AG1016="yes",AJ1001*0.1,0),0)</f>
        <v>7507842</v>
      </c>
      <c r="AK1016" s="1380"/>
      <c r="AL1016" s="1380"/>
      <c r="AM1016" s="1380"/>
      <c r="AN1016" s="1380"/>
      <c r="AO1016" s="1380"/>
      <c r="AP1016" s="1380"/>
      <c r="AQ1016" s="1381"/>
      <c r="AR1016" s="68"/>
      <c r="AS1016" s="68"/>
      <c r="AT1016" s="68"/>
      <c r="AU1016" s="68"/>
      <c r="AV1016" s="68"/>
      <c r="AW1016" s="68"/>
      <c r="AX1016" s="68"/>
      <c r="BB1016" s="34"/>
    </row>
    <row r="1017" spans="1:55" ht="12.95" customHeight="1">
      <c r="A1017" s="14"/>
      <c r="B1017" s="73"/>
      <c r="C1017" s="74"/>
      <c r="D1017" s="1598" t="s">
        <v>1283</v>
      </c>
      <c r="E1017" s="1599"/>
      <c r="F1017" s="1599"/>
      <c r="G1017" s="1599"/>
      <c r="H1017" s="1599"/>
      <c r="I1017" s="1599"/>
      <c r="J1017" s="1599"/>
      <c r="K1017" s="1599"/>
      <c r="L1017" s="1599"/>
      <c r="M1017" s="1599"/>
      <c r="N1017" s="1599"/>
      <c r="O1017" s="1599"/>
      <c r="P1017" s="1599"/>
      <c r="Q1017" s="1599"/>
      <c r="R1017" s="1599"/>
      <c r="S1017" s="1599"/>
      <c r="T1017" s="1599"/>
      <c r="U1017" s="1599"/>
      <c r="V1017" s="1599"/>
      <c r="W1017" s="1599"/>
      <c r="X1017" s="1599"/>
      <c r="Y1017" s="1599"/>
      <c r="Z1017" s="1599"/>
      <c r="AA1017" s="1599"/>
      <c r="AB1017" s="1599"/>
      <c r="AC1017" s="1599"/>
      <c r="AD1017" s="1599"/>
      <c r="AE1017" s="1600"/>
      <c r="AF1017" s="73"/>
      <c r="AI1017" s="83"/>
      <c r="AJ1017" s="1382"/>
      <c r="AK1017" s="1383"/>
      <c r="AL1017" s="1383"/>
      <c r="AM1017" s="1383"/>
      <c r="AN1017" s="1383"/>
      <c r="AO1017" s="1383"/>
      <c r="AP1017" s="1383"/>
      <c r="AQ1017" s="1384"/>
      <c r="AR1017" s="68"/>
      <c r="AS1017" s="68"/>
      <c r="AT1017" s="68"/>
      <c r="AU1017" s="68"/>
      <c r="AV1017" s="68"/>
      <c r="AW1017" s="68"/>
      <c r="AX1017" s="68"/>
    </row>
    <row r="1018" spans="1:55" ht="12.95" customHeight="1">
      <c r="A1018" s="14"/>
      <c r="B1018" s="73"/>
      <c r="C1018" s="74"/>
      <c r="D1018" s="1598"/>
      <c r="E1018" s="1599"/>
      <c r="F1018" s="1599"/>
      <c r="G1018" s="1599"/>
      <c r="H1018" s="1599"/>
      <c r="I1018" s="1599"/>
      <c r="J1018" s="1599"/>
      <c r="K1018" s="1599"/>
      <c r="L1018" s="1599"/>
      <c r="M1018" s="1599"/>
      <c r="N1018" s="1599"/>
      <c r="O1018" s="1599"/>
      <c r="P1018" s="1599"/>
      <c r="Q1018" s="1599"/>
      <c r="R1018" s="1599"/>
      <c r="S1018" s="1599"/>
      <c r="T1018" s="1599"/>
      <c r="U1018" s="1599"/>
      <c r="V1018" s="1599"/>
      <c r="W1018" s="1599"/>
      <c r="X1018" s="1599"/>
      <c r="Y1018" s="1599"/>
      <c r="Z1018" s="1599"/>
      <c r="AA1018" s="1599"/>
      <c r="AB1018" s="1599"/>
      <c r="AC1018" s="1599"/>
      <c r="AD1018" s="1599"/>
      <c r="AE1018" s="1600"/>
      <c r="AF1018" s="73"/>
      <c r="AG1018" s="14"/>
      <c r="AH1018" s="14"/>
      <c r="AI1018" s="83"/>
      <c r="AJ1018" s="1382"/>
      <c r="AK1018" s="1383"/>
      <c r="AL1018" s="1383"/>
      <c r="AM1018" s="1383"/>
      <c r="AN1018" s="1383"/>
      <c r="AO1018" s="1383"/>
      <c r="AP1018" s="1383"/>
      <c r="AQ1018" s="1384"/>
      <c r="AR1018" s="68"/>
      <c r="AS1018" s="68"/>
      <c r="AT1018" s="68"/>
      <c r="AU1018" s="68"/>
      <c r="AV1018" s="68"/>
      <c r="AW1018" s="68"/>
      <c r="AX1018" s="68"/>
    </row>
    <row r="1019" spans="1:55" ht="12.95" customHeight="1">
      <c r="A1019" s="14"/>
      <c r="B1019" s="85"/>
      <c r="C1019" s="76"/>
      <c r="D1019" s="1591"/>
      <c r="E1019" s="1592"/>
      <c r="F1019" s="1592"/>
      <c r="G1019" s="1592"/>
      <c r="H1019" s="1592"/>
      <c r="I1019" s="1592"/>
      <c r="J1019" s="1592"/>
      <c r="K1019" s="1592"/>
      <c r="L1019" s="1592"/>
      <c r="M1019" s="1592"/>
      <c r="N1019" s="1592"/>
      <c r="O1019" s="1592"/>
      <c r="P1019" s="1592"/>
      <c r="Q1019" s="1592"/>
      <c r="R1019" s="1592"/>
      <c r="S1019" s="1592"/>
      <c r="T1019" s="1592"/>
      <c r="U1019" s="1592"/>
      <c r="V1019" s="1592"/>
      <c r="W1019" s="1592"/>
      <c r="X1019" s="1592"/>
      <c r="Y1019" s="1592"/>
      <c r="Z1019" s="1592"/>
      <c r="AA1019" s="1592"/>
      <c r="AB1019" s="1592"/>
      <c r="AC1019" s="1592"/>
      <c r="AD1019" s="1592"/>
      <c r="AE1019" s="1593"/>
      <c r="AF1019" s="77"/>
      <c r="AG1019" s="7"/>
      <c r="AH1019" s="7"/>
      <c r="AI1019" s="78"/>
      <c r="AJ1019" s="1385"/>
      <c r="AK1019" s="1386"/>
      <c r="AL1019" s="1386"/>
      <c r="AM1019" s="1386"/>
      <c r="AN1019" s="1386"/>
      <c r="AO1019" s="1386"/>
      <c r="AP1019" s="1386"/>
      <c r="AQ1019" s="1387"/>
      <c r="AR1019" s="68"/>
      <c r="AS1019" s="68"/>
      <c r="AT1019" s="68"/>
      <c r="AU1019" s="68"/>
      <c r="AV1019" s="68"/>
      <c r="AW1019" s="68"/>
      <c r="AX1019" s="68"/>
    </row>
    <row r="1020" spans="1:55" ht="12.95" customHeight="1">
      <c r="A1020" s="14"/>
      <c r="B1020" s="79"/>
      <c r="C1020" s="80" t="s">
        <v>211</v>
      </c>
      <c r="D1020" s="1588" t="s">
        <v>1285</v>
      </c>
      <c r="E1020" s="1589"/>
      <c r="F1020" s="1589"/>
      <c r="G1020" s="1589"/>
      <c r="H1020" s="1589"/>
      <c r="I1020" s="1589"/>
      <c r="J1020" s="1589"/>
      <c r="K1020" s="1589"/>
      <c r="L1020" s="1589"/>
      <c r="M1020" s="1589"/>
      <c r="N1020" s="1589"/>
      <c r="O1020" s="1589"/>
      <c r="P1020" s="1589"/>
      <c r="Q1020" s="1589"/>
      <c r="R1020" s="1589"/>
      <c r="S1020" s="1589"/>
      <c r="T1020" s="1589"/>
      <c r="U1020" s="1589"/>
      <c r="V1020" s="1589"/>
      <c r="W1020" s="1589"/>
      <c r="X1020" s="1589"/>
      <c r="Y1020" s="1589"/>
      <c r="Z1020" s="1589"/>
      <c r="AA1020" s="1589"/>
      <c r="AB1020" s="1589"/>
      <c r="AC1020" s="1589"/>
      <c r="AD1020" s="1589"/>
      <c r="AE1020" s="1590"/>
      <c r="AF1020" s="79"/>
      <c r="AG1020" s="1607" t="s">
        <v>667</v>
      </c>
      <c r="AH1020" s="1608"/>
      <c r="AI1020" s="87"/>
      <c r="AJ1020" s="1379">
        <f>ROUND(IF(AG1020="yes",AJ1001*0.02,0),0)</f>
        <v>0</v>
      </c>
      <c r="AK1020" s="1380"/>
      <c r="AL1020" s="1380"/>
      <c r="AM1020" s="1380"/>
      <c r="AN1020" s="1380"/>
      <c r="AO1020" s="1380"/>
      <c r="AP1020" s="1380"/>
      <c r="AQ1020" s="1381"/>
      <c r="AR1020" s="68"/>
      <c r="AS1020" s="68"/>
      <c r="AT1020" s="68"/>
      <c r="AU1020" s="68"/>
      <c r="AV1020" s="68"/>
      <c r="AW1020" s="68"/>
      <c r="AX1020" s="68"/>
    </row>
    <row r="1021" spans="1:55" ht="14.25" customHeight="1">
      <c r="A1021" s="14"/>
      <c r="B1021" s="73"/>
      <c r="C1021" s="74"/>
      <c r="D1021" s="1591" t="s">
        <v>1286</v>
      </c>
      <c r="E1021" s="1592"/>
      <c r="F1021" s="1592"/>
      <c r="G1021" s="1592"/>
      <c r="H1021" s="1592"/>
      <c r="I1021" s="1592"/>
      <c r="J1021" s="1592"/>
      <c r="K1021" s="1592"/>
      <c r="L1021" s="1592"/>
      <c r="M1021" s="1592"/>
      <c r="N1021" s="1592"/>
      <c r="O1021" s="1592"/>
      <c r="P1021" s="1592"/>
      <c r="Q1021" s="1592"/>
      <c r="R1021" s="1592"/>
      <c r="S1021" s="1592"/>
      <c r="T1021" s="1592"/>
      <c r="U1021" s="1592"/>
      <c r="V1021" s="1592"/>
      <c r="W1021" s="1592"/>
      <c r="X1021" s="1592"/>
      <c r="Y1021" s="1592"/>
      <c r="Z1021" s="1592"/>
      <c r="AA1021" s="1592"/>
      <c r="AB1021" s="1592"/>
      <c r="AC1021" s="1592"/>
      <c r="AD1021" s="1592"/>
      <c r="AE1021" s="1593"/>
      <c r="AF1021" s="77"/>
      <c r="AG1021" s="7"/>
      <c r="AH1021" s="7"/>
      <c r="AI1021" s="78"/>
      <c r="AJ1021" s="1385"/>
      <c r="AK1021" s="1386"/>
      <c r="AL1021" s="1386"/>
      <c r="AM1021" s="1386"/>
      <c r="AN1021" s="1386"/>
      <c r="AO1021" s="1386"/>
      <c r="AP1021" s="1386"/>
      <c r="AQ1021" s="1387"/>
      <c r="AR1021" s="68"/>
      <c r="AS1021" s="68"/>
      <c r="AT1021" s="68"/>
      <c r="AU1021" s="68"/>
      <c r="AV1021" s="68"/>
      <c r="AW1021" s="68"/>
      <c r="AX1021" s="3" t="s">
        <v>1816</v>
      </c>
      <c r="AZ1021" s="3" t="s">
        <v>2530</v>
      </c>
    </row>
    <row r="1022" spans="1:55" ht="12.95" customHeight="1">
      <c r="A1022" s="14"/>
      <c r="B1022" s="79"/>
      <c r="C1022" s="80" t="s">
        <v>214</v>
      </c>
      <c r="D1022" s="1588" t="s">
        <v>1287</v>
      </c>
      <c r="E1022" s="1589"/>
      <c r="F1022" s="1589"/>
      <c r="G1022" s="1589"/>
      <c r="H1022" s="1589"/>
      <c r="I1022" s="1589"/>
      <c r="J1022" s="1589"/>
      <c r="K1022" s="1589"/>
      <c r="L1022" s="1589"/>
      <c r="M1022" s="1589"/>
      <c r="N1022" s="1589"/>
      <c r="O1022" s="1589"/>
      <c r="P1022" s="1589"/>
      <c r="Q1022" s="1589"/>
      <c r="R1022" s="1589"/>
      <c r="S1022" s="1589"/>
      <c r="T1022" s="1589"/>
      <c r="U1022" s="1589"/>
      <c r="V1022" s="1589"/>
      <c r="W1022" s="1589"/>
      <c r="X1022" s="1589"/>
      <c r="Y1022" s="1589"/>
      <c r="Z1022" s="1589"/>
      <c r="AA1022" s="1589"/>
      <c r="AB1022" s="1589"/>
      <c r="AC1022" s="1589"/>
      <c r="AD1022" s="1589"/>
      <c r="AE1022" s="1590"/>
      <c r="AF1022" s="79"/>
      <c r="AG1022" s="1607" t="s">
        <v>667</v>
      </c>
      <c r="AH1022" s="1608"/>
      <c r="AI1022" s="79"/>
      <c r="AJ1022" s="1379">
        <f>ROUND(IF(AG1022="yes",AJ1001*0.02,0),0)</f>
        <v>0</v>
      </c>
      <c r="AK1022" s="1380"/>
      <c r="AL1022" s="1380"/>
      <c r="AM1022" s="1380"/>
      <c r="AN1022" s="1380"/>
      <c r="AO1022" s="1380"/>
      <c r="AP1022" s="1380"/>
      <c r="AQ1022" s="1381"/>
      <c r="AR1022" s="68"/>
      <c r="AS1022" s="68"/>
      <c r="AT1022" s="68"/>
      <c r="AU1022" s="68"/>
      <c r="AV1022" s="68"/>
      <c r="AW1022" s="68"/>
      <c r="AX1022" s="3">
        <v>1</v>
      </c>
      <c r="AY1022" s="200">
        <f>IF((_xlfn.XLOOKUP(AX1022,$C$1074:$C$1112,$A$1074:$A$1112,"",0,1))="Yes",AZ1022,0)</f>
        <v>0.2</v>
      </c>
      <c r="AZ1022" s="1188">
        <v>0.2</v>
      </c>
    </row>
    <row r="1023" spans="1:55" ht="12.95" customHeight="1">
      <c r="A1023" s="14"/>
      <c r="B1023" s="73"/>
      <c r="C1023" s="74"/>
      <c r="D1023" s="1598" t="s">
        <v>1288</v>
      </c>
      <c r="E1023" s="1599"/>
      <c r="F1023" s="1599"/>
      <c r="G1023" s="1599"/>
      <c r="H1023" s="1599"/>
      <c r="I1023" s="1599"/>
      <c r="J1023" s="1599"/>
      <c r="K1023" s="1599"/>
      <c r="L1023" s="1599"/>
      <c r="M1023" s="1599"/>
      <c r="N1023" s="1599"/>
      <c r="O1023" s="1599"/>
      <c r="P1023" s="1599"/>
      <c r="Q1023" s="1599"/>
      <c r="R1023" s="1599"/>
      <c r="S1023" s="1599"/>
      <c r="T1023" s="1599"/>
      <c r="U1023" s="1599"/>
      <c r="V1023" s="1599"/>
      <c r="W1023" s="1599"/>
      <c r="X1023" s="1599"/>
      <c r="Y1023" s="1599"/>
      <c r="Z1023" s="1599"/>
      <c r="AA1023" s="1599"/>
      <c r="AB1023" s="1599"/>
      <c r="AC1023" s="1599"/>
      <c r="AD1023" s="1599"/>
      <c r="AE1023" s="1600"/>
      <c r="AF1023" s="1363" t="str">
        <f>IF(AND(AG1022="yes",T212&lt;&gt;1),"The project may not be eligible for this boost","")</f>
        <v/>
      </c>
      <c r="AG1023" s="1364"/>
      <c r="AH1023" s="1364"/>
      <c r="AI1023" s="1365"/>
      <c r="AJ1023" s="1382"/>
      <c r="AK1023" s="1383"/>
      <c r="AL1023" s="1383"/>
      <c r="AM1023" s="1383"/>
      <c r="AN1023" s="1383"/>
      <c r="AO1023" s="1383"/>
      <c r="AP1023" s="1383"/>
      <c r="AQ1023" s="1384"/>
      <c r="AR1023" s="68"/>
      <c r="AS1023" s="68"/>
      <c r="AT1023" s="68"/>
      <c r="AU1023" s="68"/>
      <c r="AV1023" s="68"/>
      <c r="AW1023" s="68"/>
      <c r="AX1023" s="3">
        <v>2</v>
      </c>
      <c r="AY1023" s="200">
        <f t="shared" ref="AY1023:AY1032" si="55">IF((_xlfn.XLOOKUP(AX1023,$C$1074:$C$1112,$A$1074:$A$1112,"",0,1))="Yes",AZ1023,0)</f>
        <v>0</v>
      </c>
      <c r="AZ1023" s="1188">
        <v>0.15</v>
      </c>
    </row>
    <row r="1024" spans="1:55" ht="12.95" customHeight="1">
      <c r="A1024" s="14"/>
      <c r="B1024" s="75"/>
      <c r="C1024" s="76"/>
      <c r="D1024" s="1591"/>
      <c r="E1024" s="1592"/>
      <c r="F1024" s="1592"/>
      <c r="G1024" s="1592"/>
      <c r="H1024" s="1592"/>
      <c r="I1024" s="1592"/>
      <c r="J1024" s="1592"/>
      <c r="K1024" s="1592"/>
      <c r="L1024" s="1592"/>
      <c r="M1024" s="1592"/>
      <c r="N1024" s="1592"/>
      <c r="O1024" s="1592"/>
      <c r="P1024" s="1592"/>
      <c r="Q1024" s="1592"/>
      <c r="R1024" s="1592"/>
      <c r="S1024" s="1592"/>
      <c r="T1024" s="1592"/>
      <c r="U1024" s="1592"/>
      <c r="V1024" s="1592"/>
      <c r="W1024" s="1592"/>
      <c r="X1024" s="1592"/>
      <c r="Y1024" s="1592"/>
      <c r="Z1024" s="1592"/>
      <c r="AA1024" s="1592"/>
      <c r="AB1024" s="1592"/>
      <c r="AC1024" s="1592"/>
      <c r="AD1024" s="1592"/>
      <c r="AE1024" s="1593"/>
      <c r="AF1024" s="1366"/>
      <c r="AG1024" s="1367"/>
      <c r="AH1024" s="1367"/>
      <c r="AI1024" s="1368"/>
      <c r="AJ1024" s="1385"/>
      <c r="AK1024" s="1386"/>
      <c r="AL1024" s="1386"/>
      <c r="AM1024" s="1386"/>
      <c r="AN1024" s="1386"/>
      <c r="AO1024" s="1386"/>
      <c r="AP1024" s="1386"/>
      <c r="AQ1024" s="1387"/>
      <c r="AR1024" s="68"/>
      <c r="AS1024" s="68"/>
      <c r="AT1024" s="68"/>
      <c r="AU1024" s="68"/>
      <c r="AV1024" s="68"/>
      <c r="AW1024" s="68"/>
      <c r="AX1024" s="3">
        <v>3</v>
      </c>
      <c r="AY1024" s="200">
        <f t="shared" si="55"/>
        <v>0</v>
      </c>
      <c r="AZ1024" s="1188">
        <v>0.05</v>
      </c>
    </row>
    <row r="1025" spans="1:52" ht="12.95" customHeight="1">
      <c r="A1025" s="14"/>
      <c r="B1025" s="79"/>
      <c r="C1025" s="80" t="s">
        <v>217</v>
      </c>
      <c r="D1025" s="1560" t="s">
        <v>2188</v>
      </c>
      <c r="E1025" s="1561"/>
      <c r="F1025" s="1561"/>
      <c r="G1025" s="1561"/>
      <c r="H1025" s="1561"/>
      <c r="I1025" s="1561"/>
      <c r="J1025" s="1561"/>
      <c r="K1025" s="1561"/>
      <c r="L1025" s="1561"/>
      <c r="M1025" s="1561"/>
      <c r="N1025" s="1561"/>
      <c r="O1025" s="1561"/>
      <c r="P1025" s="1561"/>
      <c r="Q1025" s="1561"/>
      <c r="R1025" s="1561"/>
      <c r="S1025" s="1561"/>
      <c r="T1025" s="1561"/>
      <c r="U1025" s="1561"/>
      <c r="V1025" s="1561"/>
      <c r="W1025" s="1561"/>
      <c r="X1025" s="1561"/>
      <c r="Y1025" s="1561"/>
      <c r="Z1025" s="1561"/>
      <c r="AA1025" s="1561"/>
      <c r="AB1025" s="1561"/>
      <c r="AC1025" s="1561"/>
      <c r="AD1025" s="1561"/>
      <c r="AE1025" s="1562"/>
      <c r="AF1025" s="79"/>
      <c r="AG1025" s="1607" t="s">
        <v>543</v>
      </c>
      <c r="AH1025" s="1608"/>
      <c r="AI1025" s="87"/>
      <c r="AJ1025" s="1379">
        <f>IF(AG1025="yes",AJ1001*AY1033,0)</f>
        <v>15015684.4</v>
      </c>
      <c r="AK1025" s="1380"/>
      <c r="AL1025" s="1380"/>
      <c r="AM1025" s="1380"/>
      <c r="AN1025" s="1380"/>
      <c r="AO1025" s="1380"/>
      <c r="AP1025" s="1380"/>
      <c r="AQ1025" s="1381"/>
      <c r="AR1025" s="68"/>
      <c r="AS1025" s="68"/>
      <c r="AT1025" s="68"/>
      <c r="AU1025" s="68"/>
      <c r="AV1025" s="68"/>
      <c r="AW1025" s="68"/>
      <c r="AX1025" s="3">
        <v>4</v>
      </c>
      <c r="AY1025" s="200">
        <f t="shared" si="55"/>
        <v>0</v>
      </c>
      <c r="AZ1025" s="1188">
        <v>0.02</v>
      </c>
    </row>
    <row r="1026" spans="1:52" ht="12.95" customHeight="1">
      <c r="A1026" s="14"/>
      <c r="B1026" s="73"/>
      <c r="C1026" s="74"/>
      <c r="D1026" s="1598" t="s">
        <v>2596</v>
      </c>
      <c r="E1026" s="1599"/>
      <c r="F1026" s="1599"/>
      <c r="G1026" s="1599"/>
      <c r="H1026" s="1599"/>
      <c r="I1026" s="1599"/>
      <c r="J1026" s="1599"/>
      <c r="K1026" s="1599"/>
      <c r="L1026" s="1599"/>
      <c r="M1026" s="1599"/>
      <c r="N1026" s="1599"/>
      <c r="O1026" s="1599"/>
      <c r="P1026" s="1599"/>
      <c r="Q1026" s="1599"/>
      <c r="R1026" s="1599"/>
      <c r="S1026" s="1599"/>
      <c r="T1026" s="1599"/>
      <c r="U1026" s="1599"/>
      <c r="V1026" s="1599"/>
      <c r="W1026" s="1599"/>
      <c r="X1026" s="1599"/>
      <c r="Y1026" s="1599"/>
      <c r="Z1026" s="1599"/>
      <c r="AA1026" s="1599"/>
      <c r="AB1026" s="1599"/>
      <c r="AC1026" s="1599"/>
      <c r="AD1026" s="1599"/>
      <c r="AE1026" s="1600"/>
      <c r="AF1026" s="1357" t="str">
        <f>IF(AND(AG1025="Yes",AY1033=0),AY1036,"")</f>
        <v/>
      </c>
      <c r="AG1026" s="1358"/>
      <c r="AH1026" s="1358"/>
      <c r="AI1026" s="1359"/>
      <c r="AJ1026" s="1382"/>
      <c r="AK1026" s="1383"/>
      <c r="AL1026" s="1383"/>
      <c r="AM1026" s="1383"/>
      <c r="AN1026" s="1383"/>
      <c r="AO1026" s="1383"/>
      <c r="AP1026" s="1383"/>
      <c r="AQ1026" s="1384"/>
      <c r="AR1026" s="68"/>
      <c r="AS1026" s="68"/>
      <c r="AT1026" s="68"/>
      <c r="AU1026" s="68"/>
      <c r="AV1026" s="68"/>
      <c r="AW1026" s="68"/>
      <c r="AX1026" s="3">
        <v>5</v>
      </c>
      <c r="AY1026" s="200">
        <f t="shared" si="55"/>
        <v>0</v>
      </c>
      <c r="AZ1026" s="1188">
        <v>0.04</v>
      </c>
    </row>
    <row r="1027" spans="1:52" ht="12.95" customHeight="1">
      <c r="A1027" s="14"/>
      <c r="B1027" s="73"/>
      <c r="C1027" s="74"/>
      <c r="D1027" s="1598"/>
      <c r="E1027" s="1599"/>
      <c r="F1027" s="1599"/>
      <c r="G1027" s="1599"/>
      <c r="H1027" s="1599"/>
      <c r="I1027" s="1599"/>
      <c r="J1027" s="1599"/>
      <c r="K1027" s="1599"/>
      <c r="L1027" s="1599"/>
      <c r="M1027" s="1599"/>
      <c r="N1027" s="1599"/>
      <c r="O1027" s="1599"/>
      <c r="P1027" s="1599"/>
      <c r="Q1027" s="1599"/>
      <c r="R1027" s="1599"/>
      <c r="S1027" s="1599"/>
      <c r="T1027" s="1599"/>
      <c r="U1027" s="1599"/>
      <c r="V1027" s="1599"/>
      <c r="W1027" s="1599"/>
      <c r="X1027" s="1599"/>
      <c r="Y1027" s="1599"/>
      <c r="Z1027" s="1599"/>
      <c r="AA1027" s="1599"/>
      <c r="AB1027" s="1599"/>
      <c r="AC1027" s="1599"/>
      <c r="AD1027" s="1599"/>
      <c r="AE1027" s="1600"/>
      <c r="AF1027" s="1357"/>
      <c r="AG1027" s="1358"/>
      <c r="AH1027" s="1358"/>
      <c r="AI1027" s="1359"/>
      <c r="AJ1027" s="1382"/>
      <c r="AK1027" s="1383"/>
      <c r="AL1027" s="1383"/>
      <c r="AM1027" s="1383"/>
      <c r="AN1027" s="1383"/>
      <c r="AO1027" s="1383"/>
      <c r="AP1027" s="1383"/>
      <c r="AQ1027" s="1384"/>
      <c r="AR1027" s="68"/>
      <c r="AS1027" s="68"/>
      <c r="AT1027" s="68"/>
      <c r="AU1027" s="68"/>
      <c r="AV1027" s="68"/>
      <c r="AW1027" s="68"/>
      <c r="AX1027" s="3">
        <v>6</v>
      </c>
      <c r="AY1027" s="200">
        <f t="shared" si="55"/>
        <v>0</v>
      </c>
      <c r="AZ1027" s="1188">
        <v>0.04</v>
      </c>
    </row>
    <row r="1028" spans="1:52" ht="12.95" customHeight="1">
      <c r="A1028" s="14"/>
      <c r="B1028" s="81"/>
      <c r="C1028" s="82"/>
      <c r="D1028" s="1591"/>
      <c r="E1028" s="1592"/>
      <c r="F1028" s="1592"/>
      <c r="G1028" s="1592"/>
      <c r="H1028" s="1592"/>
      <c r="I1028" s="1592"/>
      <c r="J1028" s="1592"/>
      <c r="K1028" s="1592"/>
      <c r="L1028" s="1592"/>
      <c r="M1028" s="1592"/>
      <c r="N1028" s="1592"/>
      <c r="O1028" s="1592"/>
      <c r="P1028" s="1592"/>
      <c r="Q1028" s="1592"/>
      <c r="R1028" s="1592"/>
      <c r="S1028" s="1592"/>
      <c r="T1028" s="1592"/>
      <c r="U1028" s="1592"/>
      <c r="V1028" s="1592"/>
      <c r="W1028" s="1592"/>
      <c r="X1028" s="1592"/>
      <c r="Y1028" s="1592"/>
      <c r="Z1028" s="1592"/>
      <c r="AA1028" s="1592"/>
      <c r="AB1028" s="1592"/>
      <c r="AC1028" s="1592"/>
      <c r="AD1028" s="1592"/>
      <c r="AE1028" s="1593"/>
      <c r="AF1028" s="1360"/>
      <c r="AG1028" s="1361"/>
      <c r="AH1028" s="1361"/>
      <c r="AI1028" s="1362"/>
      <c r="AJ1028" s="1385"/>
      <c r="AK1028" s="1386"/>
      <c r="AL1028" s="1386"/>
      <c r="AM1028" s="1386"/>
      <c r="AN1028" s="1386"/>
      <c r="AO1028" s="1386"/>
      <c r="AP1028" s="1386"/>
      <c r="AQ1028" s="1387"/>
      <c r="AR1028" s="68"/>
      <c r="AS1028" s="68"/>
      <c r="AT1028" s="68"/>
      <c r="AU1028" s="68"/>
      <c r="AV1028" s="68"/>
      <c r="AW1028" s="68"/>
      <c r="AX1028" s="3">
        <v>7</v>
      </c>
      <c r="AY1028" s="200">
        <f t="shared" si="55"/>
        <v>0</v>
      </c>
      <c r="AZ1028" s="1188">
        <v>0.01</v>
      </c>
    </row>
    <row r="1029" spans="1:52" ht="12.95" customHeight="1">
      <c r="A1029" s="14"/>
      <c r="B1029" s="79"/>
      <c r="C1029" s="80" t="s">
        <v>222</v>
      </c>
      <c r="D1029" s="1638" t="s">
        <v>1289</v>
      </c>
      <c r="E1029" s="1639"/>
      <c r="F1029" s="1639"/>
      <c r="G1029" s="1639"/>
      <c r="H1029" s="1639"/>
      <c r="I1029" s="1639"/>
      <c r="J1029" s="1639"/>
      <c r="K1029" s="1639"/>
      <c r="L1029" s="1639"/>
      <c r="M1029" s="1639"/>
      <c r="N1029" s="1639"/>
      <c r="O1029" s="1639"/>
      <c r="P1029" s="1639"/>
      <c r="Q1029" s="1639"/>
      <c r="R1029" s="1639"/>
      <c r="S1029" s="1639"/>
      <c r="T1029" s="1639"/>
      <c r="U1029" s="1639"/>
      <c r="V1029" s="1639"/>
      <c r="W1029" s="1639"/>
      <c r="X1029" s="1639"/>
      <c r="Y1029" s="1639"/>
      <c r="Z1029" s="1639"/>
      <c r="AA1029" s="1639"/>
      <c r="AB1029" s="1639"/>
      <c r="AC1029" s="1639"/>
      <c r="AD1029" s="1639"/>
      <c r="AE1029" s="1640"/>
      <c r="AF1029" s="79"/>
      <c r="AG1029" s="1607" t="s">
        <v>667</v>
      </c>
      <c r="AH1029" s="1608"/>
      <c r="AI1029" s="87"/>
      <c r="AJ1029" s="1379">
        <f>ROUND(IF(AND(AG1029="Yes",J1033&lt;&gt;"N/A",AF1032&lt;&gt;""),MIN(AF1032,(0.15*AJ1001)),0),0)</f>
        <v>0</v>
      </c>
      <c r="AK1029" s="1380"/>
      <c r="AL1029" s="1380"/>
      <c r="AM1029" s="1380"/>
      <c r="AN1029" s="1380"/>
      <c r="AO1029" s="1380"/>
      <c r="AP1029" s="1380"/>
      <c r="AQ1029" s="1381"/>
      <c r="AR1029" s="68"/>
      <c r="AS1029" s="68"/>
      <c r="AT1029" s="68"/>
      <c r="AU1029" s="68"/>
      <c r="AV1029" s="68"/>
      <c r="AW1029" s="68"/>
      <c r="AX1029" s="3">
        <v>8</v>
      </c>
      <c r="AY1029" s="200">
        <f t="shared" si="55"/>
        <v>0</v>
      </c>
      <c r="AZ1029" s="1188">
        <v>0.01</v>
      </c>
    </row>
    <row r="1030" spans="1:52" ht="12.95" customHeight="1">
      <c r="A1030" s="14"/>
      <c r="B1030" s="81"/>
      <c r="C1030" s="84"/>
      <c r="D1030" s="1641"/>
      <c r="E1030" s="1642"/>
      <c r="F1030" s="1642"/>
      <c r="G1030" s="1642"/>
      <c r="H1030" s="1642"/>
      <c r="I1030" s="1642"/>
      <c r="J1030" s="1642"/>
      <c r="K1030" s="1642"/>
      <c r="L1030" s="1642"/>
      <c r="M1030" s="1642"/>
      <c r="N1030" s="1642"/>
      <c r="O1030" s="1642"/>
      <c r="P1030" s="1642"/>
      <c r="Q1030" s="1642"/>
      <c r="R1030" s="1642"/>
      <c r="S1030" s="1642"/>
      <c r="T1030" s="1642"/>
      <c r="U1030" s="1642"/>
      <c r="V1030" s="1642"/>
      <c r="W1030" s="1642"/>
      <c r="X1030" s="1642"/>
      <c r="Y1030" s="1642"/>
      <c r="Z1030" s="1642"/>
      <c r="AA1030" s="1642"/>
      <c r="AB1030" s="1642"/>
      <c r="AC1030" s="1642"/>
      <c r="AD1030" s="1642"/>
      <c r="AE1030" s="1643"/>
      <c r="AF1030" s="1615" t="str">
        <f>IF(AG1029="yes","Please Select Type and Enter Amount:","")</f>
        <v/>
      </c>
      <c r="AG1030" s="1616"/>
      <c r="AH1030" s="1616"/>
      <c r="AI1030" s="1617"/>
      <c r="AJ1030" s="1382"/>
      <c r="AK1030" s="1383"/>
      <c r="AL1030" s="1383"/>
      <c r="AM1030" s="1383"/>
      <c r="AN1030" s="1383"/>
      <c r="AO1030" s="1383"/>
      <c r="AP1030" s="1383"/>
      <c r="AQ1030" s="1384"/>
      <c r="AR1030" s="68"/>
      <c r="AS1030" s="68"/>
      <c r="AT1030" s="68"/>
      <c r="AU1030" s="68"/>
      <c r="AV1030" s="68"/>
      <c r="AW1030" s="68"/>
      <c r="AX1030" s="3">
        <v>9</v>
      </c>
      <c r="AY1030" s="200">
        <f t="shared" si="55"/>
        <v>0</v>
      </c>
      <c r="AZ1030" s="1188">
        <v>0.01</v>
      </c>
    </row>
    <row r="1031" spans="1:52" ht="12.95" customHeight="1">
      <c r="A1031" s="14"/>
      <c r="B1031" s="81"/>
      <c r="C1031" s="84"/>
      <c r="D1031" s="1598" t="s">
        <v>1290</v>
      </c>
      <c r="E1031" s="1599"/>
      <c r="F1031" s="1599"/>
      <c r="G1031" s="1599"/>
      <c r="H1031" s="1599"/>
      <c r="I1031" s="1599"/>
      <c r="J1031" s="1599"/>
      <c r="K1031" s="1599"/>
      <c r="L1031" s="1599"/>
      <c r="M1031" s="1599"/>
      <c r="N1031" s="1599"/>
      <c r="O1031" s="1599"/>
      <c r="P1031" s="1599"/>
      <c r="Q1031" s="1599"/>
      <c r="R1031" s="1599"/>
      <c r="S1031" s="1599"/>
      <c r="T1031" s="1599"/>
      <c r="U1031" s="1599"/>
      <c r="V1031" s="1599"/>
      <c r="W1031" s="1599"/>
      <c r="X1031" s="1599"/>
      <c r="Y1031" s="1599"/>
      <c r="Z1031" s="1599"/>
      <c r="AA1031" s="1599"/>
      <c r="AB1031" s="1599"/>
      <c r="AC1031" s="1599"/>
      <c r="AD1031" s="1599"/>
      <c r="AE1031" s="1600"/>
      <c r="AF1031" s="1615"/>
      <c r="AG1031" s="1616"/>
      <c r="AH1031" s="1616"/>
      <c r="AI1031" s="1617"/>
      <c r="AJ1031" s="1382"/>
      <c r="AK1031" s="1383"/>
      <c r="AL1031" s="1383"/>
      <c r="AM1031" s="1383"/>
      <c r="AN1031" s="1383"/>
      <c r="AO1031" s="1383"/>
      <c r="AP1031" s="1383"/>
      <c r="AQ1031" s="1384"/>
      <c r="AR1031" s="68"/>
      <c r="AS1031" s="68"/>
      <c r="AT1031" s="68"/>
      <c r="AU1031" s="68"/>
      <c r="AV1031" s="68"/>
      <c r="AW1031" s="68"/>
      <c r="AX1031" s="3">
        <v>10</v>
      </c>
      <c r="AY1031" s="200">
        <f t="shared" si="55"/>
        <v>0</v>
      </c>
      <c r="AZ1031" s="1188">
        <v>0.02</v>
      </c>
    </row>
    <row r="1032" spans="1:52" ht="12.95" customHeight="1">
      <c r="A1032" s="14"/>
      <c r="B1032" s="81"/>
      <c r="C1032" s="84"/>
      <c r="D1032" s="1598"/>
      <c r="E1032" s="1599"/>
      <c r="F1032" s="1599"/>
      <c r="G1032" s="1599"/>
      <c r="H1032" s="1599"/>
      <c r="I1032" s="1599"/>
      <c r="J1032" s="1599"/>
      <c r="K1032" s="1599"/>
      <c r="L1032" s="1599"/>
      <c r="M1032" s="1599"/>
      <c r="N1032" s="1599"/>
      <c r="O1032" s="1599"/>
      <c r="P1032" s="1599"/>
      <c r="Q1032" s="1599"/>
      <c r="R1032" s="1599"/>
      <c r="S1032" s="1599"/>
      <c r="T1032" s="1599"/>
      <c r="U1032" s="1599"/>
      <c r="V1032" s="1599"/>
      <c r="W1032" s="1599"/>
      <c r="X1032" s="1599"/>
      <c r="Y1032" s="1599"/>
      <c r="Z1032" s="1599"/>
      <c r="AA1032" s="1599"/>
      <c r="AB1032" s="1599"/>
      <c r="AC1032" s="1599"/>
      <c r="AD1032" s="1599"/>
      <c r="AE1032" s="1600"/>
      <c r="AF1032" s="1400"/>
      <c r="AG1032" s="1400"/>
      <c r="AH1032" s="1400"/>
      <c r="AI1032" s="1400"/>
      <c r="AJ1032" s="1382"/>
      <c r="AK1032" s="1383"/>
      <c r="AL1032" s="1383"/>
      <c r="AM1032" s="1383"/>
      <c r="AN1032" s="1383"/>
      <c r="AO1032" s="1383"/>
      <c r="AP1032" s="1383"/>
      <c r="AQ1032" s="1384"/>
      <c r="AR1032" s="68"/>
      <c r="AS1032" s="68"/>
      <c r="AT1032" s="68"/>
      <c r="AU1032" s="68"/>
      <c r="AV1032" s="68"/>
      <c r="AW1032" s="68"/>
      <c r="AX1032" s="3">
        <v>11</v>
      </c>
      <c r="AY1032" s="200">
        <f t="shared" si="55"/>
        <v>0</v>
      </c>
      <c r="AZ1032" s="1188">
        <v>0.02</v>
      </c>
    </row>
    <row r="1033" spans="1:52" ht="12.95" customHeight="1">
      <c r="A1033" s="14"/>
      <c r="B1033" s="81"/>
      <c r="C1033" s="84"/>
      <c r="D1033" s="525" t="s">
        <v>358</v>
      </c>
      <c r="E1033" s="90"/>
      <c r="F1033" s="90"/>
      <c r="G1033" s="104"/>
      <c r="H1033" s="104"/>
      <c r="I1033" s="49"/>
      <c r="J1033" s="1404" t="s">
        <v>589</v>
      </c>
      <c r="K1033" s="1405"/>
      <c r="L1033" s="1405"/>
      <c r="M1033" s="1405"/>
      <c r="N1033" s="1405"/>
      <c r="O1033" s="1405"/>
      <c r="P1033" s="1405"/>
      <c r="Q1033" s="1405"/>
      <c r="R1033" s="1405"/>
      <c r="S1033" s="1405"/>
      <c r="T1033" s="1405"/>
      <c r="U1033" s="1405"/>
      <c r="V1033" s="1405"/>
      <c r="W1033" s="1405"/>
      <c r="X1033" s="1405"/>
      <c r="Y1033" s="1405"/>
      <c r="Z1033" s="1405"/>
      <c r="AA1033" s="1405"/>
      <c r="AB1033" s="1405"/>
      <c r="AC1033" s="1405"/>
      <c r="AD1033" s="1405"/>
      <c r="AE1033" s="1406"/>
      <c r="AF1033" s="1400"/>
      <c r="AG1033" s="1400"/>
      <c r="AH1033" s="1400"/>
      <c r="AI1033" s="1400"/>
      <c r="AJ1033" s="1385"/>
      <c r="AK1033" s="1386"/>
      <c r="AL1033" s="1386"/>
      <c r="AM1033" s="1386"/>
      <c r="AN1033" s="1386"/>
      <c r="AO1033" s="1386"/>
      <c r="AP1033" s="1386"/>
      <c r="AQ1033" s="1387"/>
      <c r="AR1033" s="68"/>
      <c r="AS1033" s="68"/>
      <c r="AT1033" s="68"/>
      <c r="AU1033" s="68"/>
      <c r="AV1033" s="68"/>
      <c r="AW1033" s="68"/>
      <c r="AX1033" s="1026" t="s">
        <v>2529</v>
      </c>
      <c r="AY1033" s="201">
        <f>IF(SUM(AY1022:AY1032)&lt;=0.2,SUM(AY1022:AY1032),0.2)</f>
        <v>0.2</v>
      </c>
    </row>
    <row r="1034" spans="1:52" ht="12.95" customHeight="1">
      <c r="A1034" s="14"/>
      <c r="B1034" s="79"/>
      <c r="C1034" s="80" t="s">
        <v>228</v>
      </c>
      <c r="D1034" s="1588" t="s">
        <v>1291</v>
      </c>
      <c r="E1034" s="1589"/>
      <c r="F1034" s="1589"/>
      <c r="G1034" s="1589"/>
      <c r="H1034" s="1589"/>
      <c r="I1034" s="1589"/>
      <c r="J1034" s="1589"/>
      <c r="K1034" s="1589"/>
      <c r="L1034" s="1589"/>
      <c r="M1034" s="1589"/>
      <c r="N1034" s="1589"/>
      <c r="O1034" s="1589"/>
      <c r="P1034" s="1589"/>
      <c r="Q1034" s="1589"/>
      <c r="R1034" s="1589"/>
      <c r="S1034" s="1589"/>
      <c r="T1034" s="1589"/>
      <c r="U1034" s="1589"/>
      <c r="V1034" s="1589"/>
      <c r="W1034" s="1589"/>
      <c r="X1034" s="1589"/>
      <c r="Y1034" s="1589"/>
      <c r="Z1034" s="1589"/>
      <c r="AA1034" s="1589"/>
      <c r="AB1034" s="1589"/>
      <c r="AC1034" s="1589"/>
      <c r="AD1034" s="1589"/>
      <c r="AE1034" s="1590"/>
      <c r="AF1034" s="79"/>
      <c r="AG1034" s="1607" t="s">
        <v>543</v>
      </c>
      <c r="AH1034" s="1608"/>
      <c r="AI1034" s="87"/>
      <c r="AJ1034" s="1379">
        <f>ROUND(IF(AG1034="Yes",AF1036,0),0)</f>
        <v>574216</v>
      </c>
      <c r="AK1034" s="1380"/>
      <c r="AL1034" s="1380"/>
      <c r="AM1034" s="1380"/>
      <c r="AN1034" s="1380"/>
      <c r="AO1034" s="1380"/>
      <c r="AP1034" s="1380"/>
      <c r="AQ1034" s="1381"/>
      <c r="AR1034" s="68"/>
      <c r="AS1034" s="68"/>
      <c r="AT1034" s="68"/>
      <c r="AU1034" s="68"/>
      <c r="AV1034" s="68"/>
      <c r="AW1034" s="68"/>
      <c r="AX1034" s="68"/>
      <c r="AY1034" s="68"/>
    </row>
    <row r="1035" spans="1:52" ht="12.95" customHeight="1">
      <c r="A1035" s="14"/>
      <c r="B1035" s="73"/>
      <c r="C1035" s="74"/>
      <c r="D1035" s="1598" t="s">
        <v>1677</v>
      </c>
      <c r="E1035" s="1599"/>
      <c r="F1035" s="1599"/>
      <c r="G1035" s="1599"/>
      <c r="H1035" s="1599"/>
      <c r="I1035" s="1599"/>
      <c r="J1035" s="1599"/>
      <c r="K1035" s="1599"/>
      <c r="L1035" s="1599"/>
      <c r="M1035" s="1599"/>
      <c r="N1035" s="1599"/>
      <c r="O1035" s="1599"/>
      <c r="P1035" s="1599"/>
      <c r="Q1035" s="1599"/>
      <c r="R1035" s="1599"/>
      <c r="S1035" s="1599"/>
      <c r="T1035" s="1599"/>
      <c r="U1035" s="1599"/>
      <c r="V1035" s="1599"/>
      <c r="W1035" s="1599"/>
      <c r="X1035" s="1599"/>
      <c r="Y1035" s="1599"/>
      <c r="Z1035" s="1599"/>
      <c r="AA1035" s="1599"/>
      <c r="AB1035" s="1599"/>
      <c r="AC1035" s="1599"/>
      <c r="AD1035" s="1599"/>
      <c r="AE1035" s="1600"/>
      <c r="AF1035" s="1644" t="str">
        <f>IF(AG1034="yes","Enter Amount:","")</f>
        <v>Enter Amount:</v>
      </c>
      <c r="AG1035" s="1645"/>
      <c r="AH1035" s="1645"/>
      <c r="AI1035" s="1646"/>
      <c r="AJ1035" s="1382"/>
      <c r="AK1035" s="1383"/>
      <c r="AL1035" s="1383"/>
      <c r="AM1035" s="1383"/>
      <c r="AN1035" s="1383"/>
      <c r="AO1035" s="1383"/>
      <c r="AP1035" s="1383"/>
      <c r="AQ1035" s="1384"/>
      <c r="AR1035" s="68"/>
      <c r="AS1035" s="68"/>
      <c r="AT1035" s="68"/>
      <c r="AU1035" s="68"/>
      <c r="AV1035" s="68"/>
      <c r="AW1035" s="68"/>
      <c r="AX1035" s="68"/>
      <c r="AY1035" s="68"/>
    </row>
    <row r="1036" spans="1:52" ht="12.95" customHeight="1">
      <c r="A1036" s="14"/>
      <c r="B1036" s="73"/>
      <c r="C1036" s="74"/>
      <c r="D1036" s="1598"/>
      <c r="E1036" s="1599"/>
      <c r="F1036" s="1599"/>
      <c r="G1036" s="1599"/>
      <c r="H1036" s="1599"/>
      <c r="I1036" s="1599"/>
      <c r="J1036" s="1599"/>
      <c r="K1036" s="1599"/>
      <c r="L1036" s="1599"/>
      <c r="M1036" s="1599"/>
      <c r="N1036" s="1599"/>
      <c r="O1036" s="1599"/>
      <c r="P1036" s="1599"/>
      <c r="Q1036" s="1599"/>
      <c r="R1036" s="1599"/>
      <c r="S1036" s="1599"/>
      <c r="T1036" s="1599"/>
      <c r="U1036" s="1599"/>
      <c r="V1036" s="1599"/>
      <c r="W1036" s="1599"/>
      <c r="X1036" s="1599"/>
      <c r="Y1036" s="1599"/>
      <c r="Z1036" s="1599"/>
      <c r="AA1036" s="1599"/>
      <c r="AB1036" s="1599"/>
      <c r="AC1036" s="1599"/>
      <c r="AD1036" s="1599"/>
      <c r="AE1036" s="1600"/>
      <c r="AF1036" s="1400">
        <f>'Sources and Uses Budget'!B85</f>
        <v>574216</v>
      </c>
      <c r="AG1036" s="1400"/>
      <c r="AH1036" s="1400"/>
      <c r="AI1036" s="1400"/>
      <c r="AJ1036" s="1382"/>
      <c r="AK1036" s="1383"/>
      <c r="AL1036" s="1383"/>
      <c r="AM1036" s="1383"/>
      <c r="AN1036" s="1383"/>
      <c r="AO1036" s="1383"/>
      <c r="AP1036" s="1383"/>
      <c r="AQ1036" s="138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91"/>
      <c r="E1037" s="1592"/>
      <c r="F1037" s="1592"/>
      <c r="G1037" s="1592"/>
      <c r="H1037" s="1592"/>
      <c r="I1037" s="1592"/>
      <c r="J1037" s="1592"/>
      <c r="K1037" s="1592"/>
      <c r="L1037" s="1592"/>
      <c r="M1037" s="1592"/>
      <c r="N1037" s="1592"/>
      <c r="O1037" s="1592"/>
      <c r="P1037" s="1592"/>
      <c r="Q1037" s="1592"/>
      <c r="R1037" s="1592"/>
      <c r="S1037" s="1592"/>
      <c r="T1037" s="1592"/>
      <c r="U1037" s="1592"/>
      <c r="V1037" s="1592"/>
      <c r="W1037" s="1592"/>
      <c r="X1037" s="1592"/>
      <c r="Y1037" s="1592"/>
      <c r="Z1037" s="1592"/>
      <c r="AA1037" s="1592"/>
      <c r="AB1037" s="1592"/>
      <c r="AC1037" s="1592"/>
      <c r="AD1037" s="1592"/>
      <c r="AE1037" s="1593"/>
      <c r="AF1037" s="1400"/>
      <c r="AG1037" s="1400"/>
      <c r="AH1037" s="1400"/>
      <c r="AI1037" s="1400"/>
      <c r="AJ1037" s="1385"/>
      <c r="AK1037" s="1386"/>
      <c r="AL1037" s="1386"/>
      <c r="AM1037" s="1386"/>
      <c r="AN1037" s="1386"/>
      <c r="AO1037" s="1386"/>
      <c r="AP1037" s="1386"/>
      <c r="AQ1037" s="1387"/>
      <c r="AR1037" s="68"/>
      <c r="AS1037" s="68"/>
      <c r="AT1037" s="68"/>
      <c r="AU1037" s="68"/>
      <c r="AV1037" s="68"/>
      <c r="AW1037" s="68"/>
      <c r="AX1037" s="68"/>
      <c r="AY1037" s="68"/>
    </row>
    <row r="1038" spans="1:52" ht="12.95" customHeight="1">
      <c r="A1038" s="14"/>
      <c r="B1038" s="79"/>
      <c r="C1038" s="80" t="s">
        <v>233</v>
      </c>
      <c r="D1038" s="1560" t="s">
        <v>1292</v>
      </c>
      <c r="E1038" s="1561"/>
      <c r="F1038" s="1561"/>
      <c r="G1038" s="1561"/>
      <c r="H1038" s="1561"/>
      <c r="I1038" s="1561"/>
      <c r="J1038" s="1561"/>
      <c r="K1038" s="1561"/>
      <c r="L1038" s="1561"/>
      <c r="M1038" s="1561"/>
      <c r="N1038" s="1561"/>
      <c r="O1038" s="1561"/>
      <c r="P1038" s="1561"/>
      <c r="Q1038" s="1561"/>
      <c r="R1038" s="1561"/>
      <c r="S1038" s="1561"/>
      <c r="T1038" s="1561"/>
      <c r="U1038" s="1561"/>
      <c r="V1038" s="1561"/>
      <c r="W1038" s="1561"/>
      <c r="X1038" s="1561"/>
      <c r="Y1038" s="1561"/>
      <c r="Z1038" s="1561"/>
      <c r="AA1038" s="1561"/>
      <c r="AB1038" s="1561"/>
      <c r="AC1038" s="1561"/>
      <c r="AD1038" s="1561"/>
      <c r="AE1038" s="1562"/>
      <c r="AF1038" s="79"/>
      <c r="AG1038" s="1607" t="s">
        <v>543</v>
      </c>
      <c r="AH1038" s="1608"/>
      <c r="AI1038" s="87"/>
      <c r="AJ1038" s="1379">
        <f>ROUND(IF(AG1038="yes",(AJ1001*0.1),0),0)</f>
        <v>7507842</v>
      </c>
      <c r="AK1038" s="1380"/>
      <c r="AL1038" s="1380"/>
      <c r="AM1038" s="1380"/>
      <c r="AN1038" s="1380"/>
      <c r="AO1038" s="1380"/>
      <c r="AP1038" s="1380"/>
      <c r="AQ1038" s="1381"/>
      <c r="AR1038" s="68"/>
      <c r="AS1038" s="68"/>
      <c r="AT1038" s="68"/>
      <c r="AU1038" s="68"/>
      <c r="AV1038" s="68"/>
      <c r="AW1038" s="68"/>
      <c r="AX1038" s="68"/>
      <c r="AY1038" s="68"/>
    </row>
    <row r="1039" spans="1:52" ht="12.95" customHeight="1">
      <c r="A1039" s="14"/>
      <c r="B1039" s="73"/>
      <c r="C1039" s="74"/>
      <c r="D1039" s="1598" t="s">
        <v>1293</v>
      </c>
      <c r="E1039" s="1599"/>
      <c r="F1039" s="1599"/>
      <c r="G1039" s="1599"/>
      <c r="H1039" s="1599"/>
      <c r="I1039" s="1599"/>
      <c r="J1039" s="1599"/>
      <c r="K1039" s="1599"/>
      <c r="L1039" s="1599"/>
      <c r="M1039" s="1599"/>
      <c r="N1039" s="1599"/>
      <c r="O1039" s="1599"/>
      <c r="P1039" s="1599"/>
      <c r="Q1039" s="1599"/>
      <c r="R1039" s="1599"/>
      <c r="S1039" s="1599"/>
      <c r="T1039" s="1599"/>
      <c r="U1039" s="1599"/>
      <c r="V1039" s="1599"/>
      <c r="W1039" s="1599"/>
      <c r="X1039" s="1599"/>
      <c r="Y1039" s="1599"/>
      <c r="Z1039" s="1599"/>
      <c r="AA1039" s="1599"/>
      <c r="AB1039" s="1599"/>
      <c r="AC1039" s="1599"/>
      <c r="AD1039" s="1599"/>
      <c r="AE1039" s="1600"/>
      <c r="AF1039" s="73"/>
      <c r="AG1039" s="14"/>
      <c r="AH1039" s="14"/>
      <c r="AI1039" s="83"/>
      <c r="AJ1039" s="1382"/>
      <c r="AK1039" s="1383"/>
      <c r="AL1039" s="1383"/>
      <c r="AM1039" s="1383"/>
      <c r="AN1039" s="1383"/>
      <c r="AO1039" s="1383"/>
      <c r="AP1039" s="1383"/>
      <c r="AQ1039" s="1384"/>
      <c r="AR1039" s="68"/>
      <c r="AS1039" s="68"/>
      <c r="AT1039" s="68"/>
      <c r="AU1039" s="68"/>
      <c r="AV1039" s="68"/>
      <c r="AW1039" s="68"/>
      <c r="AX1039" s="68"/>
      <c r="AY1039" s="68"/>
    </row>
    <row r="1040" spans="1:52" ht="12.95" customHeight="1">
      <c r="A1040" s="14"/>
      <c r="B1040" s="77"/>
      <c r="C1040" s="74"/>
      <c r="D1040" s="1591"/>
      <c r="E1040" s="1592"/>
      <c r="F1040" s="1592"/>
      <c r="G1040" s="1592"/>
      <c r="H1040" s="1592"/>
      <c r="I1040" s="1592"/>
      <c r="J1040" s="1592"/>
      <c r="K1040" s="1592"/>
      <c r="L1040" s="1592"/>
      <c r="M1040" s="1592"/>
      <c r="N1040" s="1592"/>
      <c r="O1040" s="1592"/>
      <c r="P1040" s="1592"/>
      <c r="Q1040" s="1592"/>
      <c r="R1040" s="1592"/>
      <c r="S1040" s="1592"/>
      <c r="T1040" s="1592"/>
      <c r="U1040" s="1592"/>
      <c r="V1040" s="1592"/>
      <c r="W1040" s="1592"/>
      <c r="X1040" s="1592"/>
      <c r="Y1040" s="1592"/>
      <c r="Z1040" s="1592"/>
      <c r="AA1040" s="1592"/>
      <c r="AB1040" s="1592"/>
      <c r="AC1040" s="1592"/>
      <c r="AD1040" s="1592"/>
      <c r="AE1040" s="1593"/>
      <c r="AF1040" s="73"/>
      <c r="AG1040" s="14"/>
      <c r="AH1040" s="14"/>
      <c r="AI1040" s="83"/>
      <c r="AJ1040" s="1385"/>
      <c r="AK1040" s="1386"/>
      <c r="AL1040" s="1386"/>
      <c r="AM1040" s="1386"/>
      <c r="AN1040" s="1386"/>
      <c r="AO1040" s="1386"/>
      <c r="AP1040" s="1386"/>
      <c r="AQ1040" s="1387"/>
      <c r="AR1040" s="68"/>
      <c r="AS1040" s="68"/>
      <c r="AT1040" s="68"/>
      <c r="AU1040" s="68"/>
      <c r="AV1040" s="68"/>
      <c r="AW1040" s="68"/>
      <c r="AX1040" s="68"/>
      <c r="AY1040" s="68"/>
    </row>
    <row r="1041" spans="1:57" ht="12.95" customHeight="1">
      <c r="A1041" s="14"/>
      <c r="B1041" s="73"/>
      <c r="C1041" s="338" t="s">
        <v>685</v>
      </c>
      <c r="D1041" s="1588" t="s">
        <v>1673</v>
      </c>
      <c r="E1041" s="1589"/>
      <c r="F1041" s="1589"/>
      <c r="G1041" s="1589"/>
      <c r="H1041" s="1589"/>
      <c r="I1041" s="1589"/>
      <c r="J1041" s="1589"/>
      <c r="K1041" s="1589"/>
      <c r="L1041" s="1589"/>
      <c r="M1041" s="1589"/>
      <c r="N1041" s="1589"/>
      <c r="O1041" s="1589"/>
      <c r="P1041" s="1589"/>
      <c r="Q1041" s="1589"/>
      <c r="R1041" s="1589"/>
      <c r="S1041" s="1589"/>
      <c r="T1041" s="1589"/>
      <c r="U1041" s="1589"/>
      <c r="V1041" s="1589"/>
      <c r="W1041" s="1589"/>
      <c r="X1041" s="1589"/>
      <c r="Y1041" s="1589"/>
      <c r="Z1041" s="1589"/>
      <c r="AA1041" s="1589"/>
      <c r="AB1041" s="1589"/>
      <c r="AC1041" s="1589"/>
      <c r="AD1041" s="1589"/>
      <c r="AE1041" s="1590"/>
      <c r="AF1041" s="79"/>
      <c r="AG1041" s="1607" t="s">
        <v>667</v>
      </c>
      <c r="AH1041" s="1608"/>
      <c r="AI1041" s="87"/>
      <c r="AJ1041" s="1379">
        <f>ROUND(IF(AG1041="yes",(AJ1001*0.15),0),0)</f>
        <v>0</v>
      </c>
      <c r="AK1041" s="1380"/>
      <c r="AL1041" s="1380"/>
      <c r="AM1041" s="1380"/>
      <c r="AN1041" s="1380"/>
      <c r="AO1041" s="1380"/>
      <c r="AP1041" s="1380"/>
      <c r="AQ1041" s="1381"/>
      <c r="AR1041" s="68"/>
      <c r="AS1041" s="68"/>
      <c r="AT1041" s="68"/>
      <c r="AU1041" s="68"/>
      <c r="AV1041" s="68"/>
      <c r="AW1041" s="68"/>
      <c r="AX1041" s="68"/>
      <c r="AY1041" s="68"/>
    </row>
    <row r="1042" spans="1:57" ht="12.95" customHeight="1">
      <c r="A1042" s="14"/>
      <c r="B1042" s="73"/>
      <c r="C1042" s="74"/>
      <c r="D1042" s="1621" t="s">
        <v>1674</v>
      </c>
      <c r="E1042" s="1286"/>
      <c r="F1042" s="1286"/>
      <c r="G1042" s="1286"/>
      <c r="H1042" s="1286"/>
      <c r="I1042" s="1286"/>
      <c r="J1042" s="1286"/>
      <c r="K1042" s="1286"/>
      <c r="L1042" s="1286"/>
      <c r="M1042" s="1286"/>
      <c r="N1042" s="1286"/>
      <c r="O1042" s="1286"/>
      <c r="P1042" s="1286"/>
      <c r="Q1042" s="1286"/>
      <c r="R1042" s="1286"/>
      <c r="S1042" s="1286"/>
      <c r="T1042" s="1286"/>
      <c r="U1042" s="1286"/>
      <c r="V1042" s="1286"/>
      <c r="W1042" s="1286"/>
      <c r="X1042" s="1286"/>
      <c r="Y1042" s="1286"/>
      <c r="Z1042" s="1286"/>
      <c r="AA1042" s="1286"/>
      <c r="AB1042" s="1286"/>
      <c r="AC1042" s="1286"/>
      <c r="AD1042" s="1286"/>
      <c r="AE1042" s="1622"/>
      <c r="AF1042" s="910"/>
      <c r="AG1042" s="911"/>
      <c r="AH1042" s="911"/>
      <c r="AI1042" s="912"/>
      <c r="AJ1042" s="1382"/>
      <c r="AK1042" s="1383"/>
      <c r="AL1042" s="1383"/>
      <c r="AM1042" s="1383"/>
      <c r="AN1042" s="1383"/>
      <c r="AO1042" s="1383"/>
      <c r="AP1042" s="1383"/>
      <c r="AQ1042" s="1384"/>
      <c r="AR1042" s="68"/>
      <c r="AS1042" s="68"/>
      <c r="AT1042" s="68"/>
      <c r="AU1042" s="68"/>
      <c r="AV1042" s="68"/>
      <c r="AW1042" s="68"/>
      <c r="AX1042" s="68"/>
      <c r="AY1042" s="68"/>
    </row>
    <row r="1043" spans="1:57" ht="12.95" customHeight="1">
      <c r="A1043" s="14"/>
      <c r="B1043" s="73"/>
      <c r="C1043" s="74"/>
      <c r="D1043" s="1621"/>
      <c r="E1043" s="1286"/>
      <c r="F1043" s="1286"/>
      <c r="G1043" s="1286"/>
      <c r="H1043" s="1286"/>
      <c r="I1043" s="1286"/>
      <c r="J1043" s="1286"/>
      <c r="K1043" s="1286"/>
      <c r="L1043" s="1286"/>
      <c r="M1043" s="1286"/>
      <c r="N1043" s="1286"/>
      <c r="O1043" s="1286"/>
      <c r="P1043" s="1286"/>
      <c r="Q1043" s="1286"/>
      <c r="R1043" s="1286"/>
      <c r="S1043" s="1286"/>
      <c r="T1043" s="1286"/>
      <c r="U1043" s="1286"/>
      <c r="V1043" s="1286"/>
      <c r="W1043" s="1286"/>
      <c r="X1043" s="1286"/>
      <c r="Y1043" s="1286"/>
      <c r="Z1043" s="1286"/>
      <c r="AA1043" s="1286"/>
      <c r="AB1043" s="1286"/>
      <c r="AC1043" s="1286"/>
      <c r="AD1043" s="1286"/>
      <c r="AE1043" s="1622"/>
      <c r="AF1043" s="910"/>
      <c r="AG1043" s="911"/>
      <c r="AH1043" s="911"/>
      <c r="AI1043" s="912"/>
      <c r="AJ1043" s="1382"/>
      <c r="AK1043" s="1383"/>
      <c r="AL1043" s="1383"/>
      <c r="AM1043" s="1383"/>
      <c r="AN1043" s="1383"/>
      <c r="AO1043" s="1383"/>
      <c r="AP1043" s="1383"/>
      <c r="AQ1043" s="1384"/>
      <c r="AR1043" s="68"/>
      <c r="AS1043" s="68"/>
      <c r="AT1043" s="68"/>
      <c r="AU1043" s="68"/>
      <c r="AV1043" s="68"/>
      <c r="AW1043" s="68"/>
      <c r="AX1043" s="68"/>
      <c r="AY1043" s="68"/>
    </row>
    <row r="1044" spans="1:57" ht="12.95" customHeight="1">
      <c r="A1044" s="14"/>
      <c r="B1044" s="73"/>
      <c r="C1044" s="74"/>
      <c r="D1044" s="1623"/>
      <c r="E1044" s="1624"/>
      <c r="F1044" s="1624"/>
      <c r="G1044" s="1624"/>
      <c r="H1044" s="1624"/>
      <c r="I1044" s="1624"/>
      <c r="J1044" s="1624"/>
      <c r="K1044" s="1624"/>
      <c r="L1044" s="1624"/>
      <c r="M1044" s="1624"/>
      <c r="N1044" s="1624"/>
      <c r="O1044" s="1624"/>
      <c r="P1044" s="1624"/>
      <c r="Q1044" s="1624"/>
      <c r="R1044" s="1624"/>
      <c r="S1044" s="1624"/>
      <c r="T1044" s="1624"/>
      <c r="U1044" s="1624"/>
      <c r="V1044" s="1624"/>
      <c r="W1044" s="1624"/>
      <c r="X1044" s="1624"/>
      <c r="Y1044" s="1624"/>
      <c r="Z1044" s="1624"/>
      <c r="AA1044" s="1624"/>
      <c r="AB1044" s="1624"/>
      <c r="AC1044" s="1624"/>
      <c r="AD1044" s="1624"/>
      <c r="AE1044" s="1625"/>
      <c r="AF1044" s="913"/>
      <c r="AG1044" s="914"/>
      <c r="AH1044" s="914"/>
      <c r="AI1044" s="915"/>
      <c r="AJ1044" s="1385"/>
      <c r="AK1044" s="1386"/>
      <c r="AL1044" s="1386"/>
      <c r="AM1044" s="1386"/>
      <c r="AN1044" s="1386"/>
      <c r="AO1044" s="1386"/>
      <c r="AP1044" s="1386"/>
      <c r="AQ1044" s="1387"/>
      <c r="AR1044" s="68"/>
      <c r="AS1044" s="68"/>
      <c r="AT1044" s="68"/>
      <c r="AU1044" s="68"/>
      <c r="AV1044" s="68"/>
      <c r="AW1044" s="68"/>
      <c r="AX1044" s="68"/>
      <c r="AY1044" s="68"/>
    </row>
    <row r="1045" spans="1:57" ht="12.95" customHeight="1">
      <c r="A1045" s="14"/>
      <c r="B1045" s="73"/>
      <c r="C1045" s="338" t="s">
        <v>685</v>
      </c>
      <c r="D1045" s="1560" t="s">
        <v>1675</v>
      </c>
      <c r="E1045" s="1561"/>
      <c r="F1045" s="1561"/>
      <c r="G1045" s="1561"/>
      <c r="H1045" s="1561"/>
      <c r="I1045" s="1561"/>
      <c r="J1045" s="1561"/>
      <c r="K1045" s="1561"/>
      <c r="L1045" s="1561"/>
      <c r="M1045" s="1561"/>
      <c r="N1045" s="1561"/>
      <c r="O1045" s="1561"/>
      <c r="P1045" s="1561"/>
      <c r="Q1045" s="1561"/>
      <c r="R1045" s="1561"/>
      <c r="S1045" s="1561"/>
      <c r="T1045" s="1561"/>
      <c r="U1045" s="1561"/>
      <c r="V1045" s="1561"/>
      <c r="W1045" s="1561"/>
      <c r="X1045" s="1561"/>
      <c r="Y1045" s="1561"/>
      <c r="Z1045" s="1561"/>
      <c r="AA1045" s="1561"/>
      <c r="AB1045" s="1561"/>
      <c r="AC1045" s="1561"/>
      <c r="AD1045" s="1561"/>
      <c r="AE1045" s="1562"/>
      <c r="AF1045" s="73"/>
      <c r="AG1045" s="1626" t="s">
        <v>543</v>
      </c>
      <c r="AH1045" s="1627"/>
      <c r="AI1045" s="83"/>
      <c r="AJ1045" s="1379">
        <f>ROUND(IF(AND(AG1045="yes",AJ1041=0),(AJ1001*0.1),0),0)</f>
        <v>7507842</v>
      </c>
      <c r="AK1045" s="1380"/>
      <c r="AL1045" s="1380"/>
      <c r="AM1045" s="1380"/>
      <c r="AN1045" s="1380"/>
      <c r="AO1045" s="1380"/>
      <c r="AP1045" s="1380"/>
      <c r="AQ1045" s="1381"/>
      <c r="AR1045" s="68"/>
      <c r="AS1045" s="68"/>
      <c r="AT1045" s="68"/>
      <c r="AU1045" s="68"/>
      <c r="AV1045" s="68"/>
      <c r="AW1045" s="68"/>
      <c r="AX1045" s="68"/>
      <c r="AY1045" s="68"/>
    </row>
    <row r="1046" spans="1:57" ht="12.95" customHeight="1">
      <c r="A1046" s="14"/>
      <c r="B1046" s="73"/>
      <c r="C1046" s="74"/>
      <c r="D1046" s="1621" t="s">
        <v>1676</v>
      </c>
      <c r="E1046" s="1286"/>
      <c r="F1046" s="1286"/>
      <c r="G1046" s="1286"/>
      <c r="H1046" s="1286"/>
      <c r="I1046" s="1286"/>
      <c r="J1046" s="1286"/>
      <c r="K1046" s="1286"/>
      <c r="L1046" s="1286"/>
      <c r="M1046" s="1286"/>
      <c r="N1046" s="1286"/>
      <c r="O1046" s="1286"/>
      <c r="P1046" s="1286"/>
      <c r="Q1046" s="1286"/>
      <c r="R1046" s="1286"/>
      <c r="S1046" s="1286"/>
      <c r="T1046" s="1286"/>
      <c r="U1046" s="1286"/>
      <c r="V1046" s="1286"/>
      <c r="W1046" s="1286"/>
      <c r="X1046" s="1286"/>
      <c r="Y1046" s="1286"/>
      <c r="Z1046" s="1286"/>
      <c r="AA1046" s="1286"/>
      <c r="AB1046" s="1286"/>
      <c r="AC1046" s="1286"/>
      <c r="AD1046" s="1286"/>
      <c r="AE1046" s="1622"/>
      <c r="AF1046" s="73"/>
      <c r="AG1046" s="14"/>
      <c r="AH1046" s="14"/>
      <c r="AI1046" s="83"/>
      <c r="AJ1046" s="1382"/>
      <c r="AK1046" s="1383"/>
      <c r="AL1046" s="1383"/>
      <c r="AM1046" s="1383"/>
      <c r="AN1046" s="1383"/>
      <c r="AO1046" s="1383"/>
      <c r="AP1046" s="1383"/>
      <c r="AQ1046" s="1384"/>
      <c r="AR1046" s="68"/>
      <c r="AS1046" s="68"/>
      <c r="AT1046" s="68"/>
      <c r="AU1046" s="68"/>
      <c r="AV1046" s="68"/>
      <c r="AW1046" s="68"/>
      <c r="AX1046" s="68"/>
      <c r="AY1046" s="68"/>
    </row>
    <row r="1047" spans="1:57" ht="12.95" customHeight="1">
      <c r="A1047" s="14"/>
      <c r="B1047" s="73"/>
      <c r="C1047" s="74"/>
      <c r="D1047" s="1621"/>
      <c r="E1047" s="1286"/>
      <c r="F1047" s="1286"/>
      <c r="G1047" s="1286"/>
      <c r="H1047" s="1286"/>
      <c r="I1047" s="1286"/>
      <c r="J1047" s="1286"/>
      <c r="K1047" s="1286"/>
      <c r="L1047" s="1286"/>
      <c r="M1047" s="1286"/>
      <c r="N1047" s="1286"/>
      <c r="O1047" s="1286"/>
      <c r="P1047" s="1286"/>
      <c r="Q1047" s="1286"/>
      <c r="R1047" s="1286"/>
      <c r="S1047" s="1286"/>
      <c r="T1047" s="1286"/>
      <c r="U1047" s="1286"/>
      <c r="V1047" s="1286"/>
      <c r="W1047" s="1286"/>
      <c r="X1047" s="1286"/>
      <c r="Y1047" s="1286"/>
      <c r="Z1047" s="1286"/>
      <c r="AA1047" s="1286"/>
      <c r="AB1047" s="1286"/>
      <c r="AC1047" s="1286"/>
      <c r="AD1047" s="1286"/>
      <c r="AE1047" s="1622"/>
      <c r="AF1047" s="73"/>
      <c r="AG1047" s="14"/>
      <c r="AH1047" s="14"/>
      <c r="AI1047" s="83"/>
      <c r="AJ1047" s="1382"/>
      <c r="AK1047" s="1383"/>
      <c r="AL1047" s="1383"/>
      <c r="AM1047" s="1383"/>
      <c r="AN1047" s="1383"/>
      <c r="AO1047" s="1383"/>
      <c r="AP1047" s="1383"/>
      <c r="AQ1047" s="1384"/>
      <c r="AR1047" s="68"/>
      <c r="AS1047" s="68"/>
      <c r="AT1047" s="68"/>
      <c r="AU1047" s="68"/>
      <c r="AV1047" s="68"/>
      <c r="AW1047" s="68"/>
      <c r="AX1047" s="68"/>
      <c r="AY1047" s="68"/>
      <c r="BA1047" s="1175">
        <f>IFERROR(('Sources and Uses Budget'!$C$17+'Sources and Uses Budget'!$C$18+'Sources and Uses Budget'!$C$22)/$AG$446,0)</f>
        <v>0</v>
      </c>
      <c r="BB1047" s="1175" t="s">
        <v>2417</v>
      </c>
      <c r="BC1047" s="1175"/>
      <c r="BD1047" s="1175"/>
      <c r="BE1047" s="1175"/>
    </row>
    <row r="1048" spans="1:57" ht="12.95" customHeight="1">
      <c r="A1048" s="14"/>
      <c r="B1048" s="73"/>
      <c r="C1048" s="74"/>
      <c r="D1048" s="1621"/>
      <c r="E1048" s="1286"/>
      <c r="F1048" s="1286"/>
      <c r="G1048" s="1286"/>
      <c r="H1048" s="1286"/>
      <c r="I1048" s="1286"/>
      <c r="J1048" s="1286"/>
      <c r="K1048" s="1286"/>
      <c r="L1048" s="1286"/>
      <c r="M1048" s="1286"/>
      <c r="N1048" s="1286"/>
      <c r="O1048" s="1286"/>
      <c r="P1048" s="1286"/>
      <c r="Q1048" s="1286"/>
      <c r="R1048" s="1286"/>
      <c r="S1048" s="1286"/>
      <c r="T1048" s="1286"/>
      <c r="U1048" s="1286"/>
      <c r="V1048" s="1286"/>
      <c r="W1048" s="1286"/>
      <c r="X1048" s="1286"/>
      <c r="Y1048" s="1286"/>
      <c r="Z1048" s="1286"/>
      <c r="AA1048" s="1286"/>
      <c r="AB1048" s="1286"/>
      <c r="AC1048" s="1286"/>
      <c r="AD1048" s="1286"/>
      <c r="AE1048" s="1622"/>
      <c r="AF1048" s="73"/>
      <c r="AG1048" s="14"/>
      <c r="AH1048" s="14"/>
      <c r="AI1048" s="83"/>
      <c r="AJ1048" s="1382"/>
      <c r="AK1048" s="1383"/>
      <c r="AL1048" s="1383"/>
      <c r="AM1048" s="1383"/>
      <c r="AN1048" s="1383"/>
      <c r="AO1048" s="1383"/>
      <c r="AP1048" s="1383"/>
      <c r="AQ1048" s="1384"/>
      <c r="AR1048" s="68"/>
      <c r="AS1048" s="68"/>
      <c r="AT1048" s="68"/>
      <c r="AU1048" s="68"/>
      <c r="AV1048" s="68"/>
      <c r="AW1048" s="68"/>
      <c r="AX1048" s="68"/>
      <c r="AY1048" s="68"/>
      <c r="BA1048">
        <f>IFERROR((($CI$761+$CM$761)/$AG$449),0)</f>
        <v>0.5</v>
      </c>
      <c r="BB1048" s="3" t="s">
        <v>2421</v>
      </c>
    </row>
    <row r="1049" spans="1:57" ht="12.95" customHeight="1">
      <c r="A1049" s="14"/>
      <c r="B1049" s="73"/>
      <c r="C1049" s="74"/>
      <c r="D1049" s="1623"/>
      <c r="E1049" s="1624"/>
      <c r="F1049" s="1624"/>
      <c r="G1049" s="1624"/>
      <c r="H1049" s="1624"/>
      <c r="I1049" s="1624"/>
      <c r="J1049" s="1624"/>
      <c r="K1049" s="1624"/>
      <c r="L1049" s="1624"/>
      <c r="M1049" s="1624"/>
      <c r="N1049" s="1624"/>
      <c r="O1049" s="1624"/>
      <c r="P1049" s="1624"/>
      <c r="Q1049" s="1624"/>
      <c r="R1049" s="1624"/>
      <c r="S1049" s="1624"/>
      <c r="T1049" s="1624"/>
      <c r="U1049" s="1624"/>
      <c r="V1049" s="1624"/>
      <c r="W1049" s="1624"/>
      <c r="X1049" s="1624"/>
      <c r="Y1049" s="1624"/>
      <c r="Z1049" s="1624"/>
      <c r="AA1049" s="1624"/>
      <c r="AB1049" s="1624"/>
      <c r="AC1049" s="1624"/>
      <c r="AD1049" s="1624"/>
      <c r="AE1049" s="1625"/>
      <c r="AF1049" s="73"/>
      <c r="AG1049" s="14"/>
      <c r="AH1049" s="14"/>
      <c r="AI1049" s="83"/>
      <c r="AJ1049" s="1382"/>
      <c r="AK1049" s="1383"/>
      <c r="AL1049" s="1383"/>
      <c r="AM1049" s="1383"/>
      <c r="AN1049" s="1383"/>
      <c r="AO1049" s="1383"/>
      <c r="AP1049" s="1383"/>
      <c r="AQ1049" s="1384"/>
      <c r="AR1049" s="68"/>
      <c r="AS1049" s="68"/>
      <c r="AT1049" s="68"/>
      <c r="AU1049" s="68"/>
      <c r="AV1049" s="68"/>
      <c r="AW1049" s="68"/>
      <c r="AX1049" s="68"/>
      <c r="AY1049" s="68"/>
      <c r="BA1049" t="b">
        <f>'Points System'!AJ163="Yes"</f>
        <v>0</v>
      </c>
      <c r="BB1049" s="3" t="s">
        <v>2418</v>
      </c>
    </row>
    <row r="1050" spans="1:57" ht="12.95" customHeight="1">
      <c r="A1050" s="14"/>
      <c r="B1050" s="79"/>
      <c r="C1050" s="131" t="s">
        <v>1008</v>
      </c>
      <c r="D1050" s="1588" t="s">
        <v>1294</v>
      </c>
      <c r="E1050" s="1589"/>
      <c r="F1050" s="1589"/>
      <c r="G1050" s="1589"/>
      <c r="H1050" s="1589"/>
      <c r="I1050" s="1589"/>
      <c r="J1050" s="1589"/>
      <c r="K1050" s="1589"/>
      <c r="L1050" s="1589"/>
      <c r="M1050" s="1589"/>
      <c r="N1050" s="1589"/>
      <c r="O1050" s="1589"/>
      <c r="P1050" s="1589"/>
      <c r="Q1050" s="1589"/>
      <c r="R1050" s="1589"/>
      <c r="S1050" s="1589"/>
      <c r="T1050" s="1589"/>
      <c r="U1050" s="1589"/>
      <c r="V1050" s="1589"/>
      <c r="W1050" s="1589"/>
      <c r="X1050" s="1589"/>
      <c r="Y1050" s="1589"/>
      <c r="Z1050" s="1589"/>
      <c r="AA1050" s="1589"/>
      <c r="AB1050" s="1589"/>
      <c r="AC1050" s="1589"/>
      <c r="AD1050" s="1589"/>
      <c r="AE1050" s="1590"/>
      <c r="AF1050" s="79"/>
      <c r="AG1050" s="1607" t="s">
        <v>667</v>
      </c>
      <c r="AH1050" s="1608"/>
      <c r="AI1050" s="87"/>
      <c r="AJ1050" s="1379">
        <f>ROUND(IF(AG1050="yes",(AJ1001*0.1),0),0)</f>
        <v>0</v>
      </c>
      <c r="AK1050" s="1380"/>
      <c r="AL1050" s="1380"/>
      <c r="AM1050" s="1380"/>
      <c r="AN1050" s="1380"/>
      <c r="AO1050" s="1380"/>
      <c r="AP1050" s="1380"/>
      <c r="AQ1050" s="1381"/>
      <c r="AR1050" s="68"/>
      <c r="AS1050" s="68"/>
      <c r="AT1050" s="68"/>
      <c r="AU1050" s="68"/>
      <c r="AV1050" s="68"/>
      <c r="AW1050" s="68"/>
      <c r="AX1050" s="68"/>
      <c r="AY1050" s="68"/>
      <c r="BA1050">
        <f>Q212</f>
        <v>10</v>
      </c>
      <c r="BB1050" s="3" t="s">
        <v>2419</v>
      </c>
    </row>
    <row r="1051" spans="1:57" ht="12.95" customHeight="1">
      <c r="A1051" s="14"/>
      <c r="B1051" s="73"/>
      <c r="C1051" s="74"/>
      <c r="D1051" s="1598" t="s">
        <v>2097</v>
      </c>
      <c r="E1051" s="1599"/>
      <c r="F1051" s="1599"/>
      <c r="G1051" s="1599"/>
      <c r="H1051" s="1599"/>
      <c r="I1051" s="1599"/>
      <c r="J1051" s="1599"/>
      <c r="K1051" s="1599"/>
      <c r="L1051" s="1599"/>
      <c r="M1051" s="1599"/>
      <c r="N1051" s="1599"/>
      <c r="O1051" s="1599"/>
      <c r="P1051" s="1599"/>
      <c r="Q1051" s="1599"/>
      <c r="R1051" s="1599"/>
      <c r="S1051" s="1599"/>
      <c r="T1051" s="1599"/>
      <c r="U1051" s="1599"/>
      <c r="V1051" s="1599"/>
      <c r="W1051" s="1599"/>
      <c r="X1051" s="1599"/>
      <c r="Y1051" s="1599"/>
      <c r="Z1051" s="1599"/>
      <c r="AA1051" s="1599"/>
      <c r="AB1051" s="1599"/>
      <c r="AC1051" s="1599"/>
      <c r="AD1051" s="1599"/>
      <c r="AE1051" s="1600"/>
      <c r="AF1051" s="73"/>
      <c r="AG1051" s="14"/>
      <c r="AH1051" s="14"/>
      <c r="AI1051" s="83"/>
      <c r="AJ1051" s="1382"/>
      <c r="AK1051" s="1383"/>
      <c r="AL1051" s="1383"/>
      <c r="AM1051" s="1383"/>
      <c r="AN1051" s="1383"/>
      <c r="AO1051" s="1383"/>
      <c r="AP1051" s="1383"/>
      <c r="AQ1051" s="1384"/>
      <c r="AR1051" s="68"/>
      <c r="AS1051" s="68"/>
      <c r="AT1051" s="68"/>
      <c r="AU1051" s="68"/>
      <c r="AV1051" s="68"/>
      <c r="AW1051" s="68"/>
      <c r="AX1051" s="68"/>
      <c r="AY1051" s="68"/>
      <c r="BA1051" s="1176">
        <f>T212</f>
        <v>8.1967213114754092E-2</v>
      </c>
      <c r="BB1051" s="3" t="s">
        <v>2420</v>
      </c>
    </row>
    <row r="1052" spans="1:57" ht="12.95" customHeight="1">
      <c r="A1052" s="14"/>
      <c r="B1052" s="73"/>
      <c r="C1052" s="74"/>
      <c r="D1052" s="1598"/>
      <c r="E1052" s="1599"/>
      <c r="F1052" s="1599"/>
      <c r="G1052" s="1599"/>
      <c r="H1052" s="1599"/>
      <c r="I1052" s="1599"/>
      <c r="J1052" s="1599"/>
      <c r="K1052" s="1599"/>
      <c r="L1052" s="1599"/>
      <c r="M1052" s="1599"/>
      <c r="N1052" s="1599"/>
      <c r="O1052" s="1599"/>
      <c r="P1052" s="1599"/>
      <c r="Q1052" s="1599"/>
      <c r="R1052" s="1599"/>
      <c r="S1052" s="1599"/>
      <c r="T1052" s="1599"/>
      <c r="U1052" s="1599"/>
      <c r="V1052" s="1599"/>
      <c r="W1052" s="1599"/>
      <c r="X1052" s="1599"/>
      <c r="Y1052" s="1599"/>
      <c r="Z1052" s="1599"/>
      <c r="AA1052" s="1599"/>
      <c r="AB1052" s="1599"/>
      <c r="AC1052" s="1599"/>
      <c r="AD1052" s="1599"/>
      <c r="AE1052" s="1600"/>
      <c r="AF1052" s="73"/>
      <c r="AG1052" s="14"/>
      <c r="AH1052" s="14"/>
      <c r="AI1052" s="83"/>
      <c r="AJ1052" s="1382"/>
      <c r="AK1052" s="1383"/>
      <c r="AL1052" s="1383"/>
      <c r="AM1052" s="1383"/>
      <c r="AN1052" s="1383"/>
      <c r="AO1052" s="1383"/>
      <c r="AP1052" s="1383"/>
      <c r="AQ1052" s="1384"/>
      <c r="AR1052" s="68"/>
      <c r="AS1052" s="68"/>
      <c r="AT1052" s="68"/>
      <c r="AU1052" s="68"/>
      <c r="AV1052" s="68"/>
      <c r="AW1052" s="68"/>
      <c r="AX1052" s="68"/>
      <c r="AY1052" s="68"/>
    </row>
    <row r="1053" spans="1:57" ht="12.95" customHeight="1">
      <c r="A1053" s="14"/>
      <c r="B1053" s="73"/>
      <c r="C1053" s="74"/>
      <c r="D1053" s="1591"/>
      <c r="E1053" s="1592"/>
      <c r="F1053" s="1592"/>
      <c r="G1053" s="1592"/>
      <c r="H1053" s="1592"/>
      <c r="I1053" s="1592"/>
      <c r="J1053" s="1592"/>
      <c r="K1053" s="1592"/>
      <c r="L1053" s="1592"/>
      <c r="M1053" s="1592"/>
      <c r="N1053" s="1592"/>
      <c r="O1053" s="1592"/>
      <c r="P1053" s="1592"/>
      <c r="Q1053" s="1592"/>
      <c r="R1053" s="1592"/>
      <c r="S1053" s="1592"/>
      <c r="T1053" s="1592"/>
      <c r="U1053" s="1592"/>
      <c r="V1053" s="1592"/>
      <c r="W1053" s="1592"/>
      <c r="X1053" s="1592"/>
      <c r="Y1053" s="1592"/>
      <c r="Z1053" s="1592"/>
      <c r="AA1053" s="1592"/>
      <c r="AB1053" s="1592"/>
      <c r="AC1053" s="1592"/>
      <c r="AD1053" s="1592"/>
      <c r="AE1053" s="1593"/>
      <c r="AF1053" s="73"/>
      <c r="AG1053" s="14"/>
      <c r="AH1053" s="14"/>
      <c r="AI1053" s="83"/>
      <c r="AJ1053" s="1385"/>
      <c r="AK1053" s="1386"/>
      <c r="AL1053" s="1386"/>
      <c r="AM1053" s="1386"/>
      <c r="AN1053" s="1386"/>
      <c r="AO1053" s="1386"/>
      <c r="AP1053" s="1386"/>
      <c r="AQ1053" s="1387"/>
      <c r="AR1053" s="68"/>
      <c r="AS1053" s="68"/>
      <c r="AT1053" s="68"/>
      <c r="AU1053" s="68"/>
      <c r="AV1053" s="68"/>
      <c r="AW1053" s="68"/>
      <c r="AX1053" s="68"/>
      <c r="AY1053" s="68"/>
    </row>
    <row r="1054" spans="1:57" ht="12.95" customHeight="1">
      <c r="A1054" s="14"/>
      <c r="B1054" s="79"/>
      <c r="C1054" s="131" t="s">
        <v>1671</v>
      </c>
      <c r="D1054" s="1560" t="s">
        <v>1837</v>
      </c>
      <c r="E1054" s="1561"/>
      <c r="F1054" s="1561"/>
      <c r="G1054" s="1561"/>
      <c r="H1054" s="1561"/>
      <c r="I1054" s="1561"/>
      <c r="J1054" s="1561"/>
      <c r="K1054" s="1561"/>
      <c r="L1054" s="1561"/>
      <c r="M1054" s="1561"/>
      <c r="N1054" s="1561"/>
      <c r="O1054" s="1561"/>
      <c r="P1054" s="1561"/>
      <c r="Q1054" s="1561"/>
      <c r="R1054" s="1561"/>
      <c r="S1054" s="1561"/>
      <c r="T1054" s="1561"/>
      <c r="U1054" s="1561"/>
      <c r="V1054" s="1561"/>
      <c r="W1054" s="1561"/>
      <c r="X1054" s="1561"/>
      <c r="Y1054" s="1561"/>
      <c r="Z1054" s="1561"/>
      <c r="AA1054" s="1561"/>
      <c r="AB1054" s="1561"/>
      <c r="AC1054" s="1561"/>
      <c r="AD1054" s="1561"/>
      <c r="AE1054" s="1562"/>
      <c r="AF1054" s="79"/>
      <c r="AG1054" s="1605" t="str">
        <f>IF(X1057&gt;0,"Yes","No")</f>
        <v>Yes</v>
      </c>
      <c r="AH1054" s="1606"/>
      <c r="AI1054" s="87"/>
      <c r="AJ1054" s="1379">
        <f>IF((X1057=0),0,AY1014*AJ1001)</f>
        <v>18018821.280000001</v>
      </c>
      <c r="AK1054" s="1380"/>
      <c r="AL1054" s="1380"/>
      <c r="AM1054" s="1380"/>
      <c r="AN1054" s="1380"/>
      <c r="AO1054" s="1380"/>
      <c r="AP1054" s="1380"/>
      <c r="AQ1054" s="1381"/>
      <c r="AR1054" s="68"/>
      <c r="AS1054" s="68"/>
      <c r="AT1054" s="68"/>
      <c r="AU1054" s="68"/>
      <c r="AV1054" s="68"/>
      <c r="AW1054" s="68"/>
      <c r="AX1054" s="68"/>
      <c r="AY1054" s="68"/>
      <c r="AZ1054" s="117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2805682</v>
      </c>
      <c r="BA1054" s="3" t="s">
        <v>2406</v>
      </c>
      <c r="BB1054" s="3"/>
      <c r="BC1054" s="3"/>
      <c r="BD1054" s="3"/>
    </row>
    <row r="1055" spans="1:57" ht="12.95" customHeight="1">
      <c r="A1055" s="14"/>
      <c r="B1055" s="73"/>
      <c r="C1055" s="441"/>
      <c r="D1055" s="1598" t="s">
        <v>1296</v>
      </c>
      <c r="E1055" s="1599"/>
      <c r="F1055" s="1599"/>
      <c r="G1055" s="1599"/>
      <c r="H1055" s="1599"/>
      <c r="I1055" s="1599"/>
      <c r="J1055" s="1599"/>
      <c r="K1055" s="1599"/>
      <c r="L1055" s="1599"/>
      <c r="M1055" s="1599"/>
      <c r="N1055" s="1599"/>
      <c r="O1055" s="1599"/>
      <c r="P1055" s="1599"/>
      <c r="Q1055" s="1599"/>
      <c r="R1055" s="1599"/>
      <c r="S1055" s="1599"/>
      <c r="T1055" s="1599"/>
      <c r="U1055" s="1599"/>
      <c r="V1055" s="1599"/>
      <c r="W1055" s="1599"/>
      <c r="X1055" s="1599"/>
      <c r="Y1055" s="1599"/>
      <c r="Z1055" s="1599"/>
      <c r="AA1055" s="1599"/>
      <c r="AB1055" s="1599"/>
      <c r="AC1055" s="1599"/>
      <c r="AD1055" s="1599"/>
      <c r="AE1055" s="1600"/>
      <c r="AF1055" s="73"/>
      <c r="AG1055" s="442"/>
      <c r="AH1055" s="442"/>
      <c r="AI1055" s="83"/>
      <c r="AJ1055" s="1382"/>
      <c r="AK1055" s="1383"/>
      <c r="AL1055" s="1383"/>
      <c r="AM1055" s="1383"/>
      <c r="AN1055" s="1383"/>
      <c r="AO1055" s="1383"/>
      <c r="AP1055" s="1383"/>
      <c r="AQ1055" s="1384"/>
      <c r="AR1055" s="68"/>
      <c r="AS1055" s="68"/>
      <c r="AT1055" s="68"/>
      <c r="AU1055" s="13"/>
      <c r="AV1055" s="68"/>
      <c r="AW1055" s="68"/>
      <c r="AX1055" s="68"/>
      <c r="AY1055" s="68"/>
      <c r="AZ1055" s="957">
        <f>'Sources and Uses Budget'!S97*BA1055</f>
        <v>13528376.549999999</v>
      </c>
      <c r="BA1055" s="1174">
        <f>IF(BA1049,20%,15%)</f>
        <v>0.15</v>
      </c>
      <c r="BB1055" s="3" t="s">
        <v>2407</v>
      </c>
      <c r="BC1055" s="3" t="s">
        <v>2408</v>
      </c>
      <c r="BD1055" s="3"/>
    </row>
    <row r="1056" spans="1:57" ht="12.95" customHeight="1">
      <c r="A1056" s="14"/>
      <c r="B1056" s="73"/>
      <c r="C1056" s="441"/>
      <c r="D1056" s="1598"/>
      <c r="E1056" s="1599"/>
      <c r="F1056" s="1599"/>
      <c r="G1056" s="1599"/>
      <c r="H1056" s="1599"/>
      <c r="I1056" s="1599"/>
      <c r="J1056" s="1599"/>
      <c r="K1056" s="1599"/>
      <c r="L1056" s="1599"/>
      <c r="M1056" s="1599"/>
      <c r="N1056" s="1599"/>
      <c r="O1056" s="1599"/>
      <c r="P1056" s="1599"/>
      <c r="Q1056" s="1599"/>
      <c r="R1056" s="1599"/>
      <c r="S1056" s="1599"/>
      <c r="T1056" s="1599"/>
      <c r="U1056" s="1599"/>
      <c r="V1056" s="1599"/>
      <c r="W1056" s="1599"/>
      <c r="X1056" s="1599"/>
      <c r="Y1056" s="1599"/>
      <c r="Z1056" s="1599"/>
      <c r="AA1056" s="1599"/>
      <c r="AB1056" s="1599"/>
      <c r="AC1056" s="1599"/>
      <c r="AD1056" s="1599"/>
      <c r="AE1056" s="1600"/>
      <c r="AF1056" s="73"/>
      <c r="AG1056" s="442"/>
      <c r="AH1056" s="442"/>
      <c r="AI1056" s="83"/>
      <c r="AJ1056" s="1382"/>
      <c r="AK1056" s="1383"/>
      <c r="AL1056" s="1383"/>
      <c r="AM1056" s="1383"/>
      <c r="AN1056" s="1383"/>
      <c r="AO1056" s="1383"/>
      <c r="AP1056" s="1383"/>
      <c r="AQ1056" s="1384"/>
      <c r="AR1056" s="68"/>
      <c r="AS1056" s="68"/>
      <c r="AT1056" s="68"/>
      <c r="AU1056" s="13"/>
      <c r="AV1056" s="68"/>
      <c r="AW1056" s="68"/>
      <c r="AX1056" s="68"/>
      <c r="AY1056" s="68"/>
      <c r="AZ1056" s="957">
        <f>IF(M365="N/A",0,'Sources and Uses Budget'!T97*BA1056)</f>
        <v>0</v>
      </c>
      <c r="BA1056" s="1174">
        <v>0.15</v>
      </c>
      <c r="BB1056" s="3" t="s">
        <v>2407</v>
      </c>
      <c r="BC1056" s="3" t="s">
        <v>2409</v>
      </c>
      <c r="BD1056" s="3"/>
    </row>
    <row r="1057" spans="1:56" ht="12.95" customHeight="1">
      <c r="A1057" s="14"/>
      <c r="B1057" s="77"/>
      <c r="C1057" s="78"/>
      <c r="D1057" s="132" t="s">
        <v>970</v>
      </c>
      <c r="E1057" s="133"/>
      <c r="F1057" s="133"/>
      <c r="G1057" s="133"/>
      <c r="H1057" s="133"/>
      <c r="I1057" s="1603">
        <f>AY1012</f>
        <v>122</v>
      </c>
      <c r="J1057" s="1604"/>
      <c r="K1057" s="7"/>
      <c r="L1057" s="133"/>
      <c r="M1057" s="133"/>
      <c r="N1057" s="133"/>
      <c r="O1057" s="133"/>
      <c r="P1057" s="133"/>
      <c r="Q1057" s="133"/>
      <c r="R1057" s="133"/>
      <c r="S1057" s="133"/>
      <c r="T1057" s="133"/>
      <c r="U1057" s="133"/>
      <c r="V1057" s="134" t="s">
        <v>971</v>
      </c>
      <c r="W1057" s="48"/>
      <c r="X1057" s="1601">
        <f>CI761</f>
        <v>30</v>
      </c>
      <c r="Y1057" s="1602"/>
      <c r="Z1057" s="48"/>
      <c r="AA1057" s="48"/>
      <c r="AB1057" s="48"/>
      <c r="AC1057" s="48"/>
      <c r="AD1057" s="48"/>
      <c r="AE1057" s="49"/>
      <c r="AF1057" s="919"/>
      <c r="AG1057" s="920"/>
      <c r="AH1057" s="920"/>
      <c r="AI1057" s="921"/>
      <c r="AJ1057" s="1385"/>
      <c r="AK1057" s="1386"/>
      <c r="AL1057" s="1386"/>
      <c r="AM1057" s="1386"/>
      <c r="AN1057" s="1386"/>
      <c r="AO1057" s="1386"/>
      <c r="AP1057" s="1386"/>
      <c r="AQ1057" s="1387"/>
      <c r="AR1057" s="68"/>
      <c r="AS1057" s="68"/>
      <c r="AT1057" s="68"/>
      <c r="AU1057" s="14"/>
      <c r="AV1057" s="68"/>
      <c r="AW1057" s="68"/>
      <c r="AX1057" s="68"/>
      <c r="AY1057" s="68"/>
      <c r="AZ1057" s="957">
        <f>IF(M367="N/A",0,'Sources and Uses Budget'!T97*BA1057)</f>
        <v>0</v>
      </c>
      <c r="BA1057" s="1174" cm="1">
        <f t="array" ref="BA1057">_xlfn.IFS(X180="Yes",5%,$BA$1047&gt;50000,15%,BA1048&gt;=30%,15%,TRUE,5%)</f>
        <v>0.15</v>
      </c>
      <c r="BB1057" s="3" t="s">
        <v>2407</v>
      </c>
      <c r="BC1057" s="3" t="s">
        <v>2410</v>
      </c>
      <c r="BD1057" s="3"/>
    </row>
    <row r="1058" spans="1:56" ht="12.95" customHeight="1">
      <c r="A1058" s="14"/>
      <c r="B1058" s="79"/>
      <c r="C1058" s="131" t="s">
        <v>1672</v>
      </c>
      <c r="D1058" s="1588" t="s">
        <v>2123</v>
      </c>
      <c r="E1058" s="1589"/>
      <c r="F1058" s="1589"/>
      <c r="G1058" s="1589"/>
      <c r="H1058" s="1589"/>
      <c r="I1058" s="1589"/>
      <c r="J1058" s="1589"/>
      <c r="K1058" s="1589"/>
      <c r="L1058" s="1589"/>
      <c r="M1058" s="1589"/>
      <c r="N1058" s="1589"/>
      <c r="O1058" s="1589"/>
      <c r="P1058" s="1589"/>
      <c r="Q1058" s="1589"/>
      <c r="R1058" s="1589"/>
      <c r="S1058" s="1589"/>
      <c r="T1058" s="1589"/>
      <c r="U1058" s="1589"/>
      <c r="V1058" s="1589"/>
      <c r="W1058" s="1589"/>
      <c r="X1058" s="1589"/>
      <c r="Y1058" s="1589"/>
      <c r="Z1058" s="1589"/>
      <c r="AA1058" s="1589"/>
      <c r="AB1058" s="1589"/>
      <c r="AC1058" s="1589"/>
      <c r="AD1058" s="1589"/>
      <c r="AE1058" s="1590"/>
      <c r="AF1058" s="73"/>
      <c r="AG1058" s="1605" t="str">
        <f>IF(X1061&gt;0,"Yes","No")</f>
        <v>Yes</v>
      </c>
      <c r="AH1058" s="1606"/>
      <c r="AI1058" s="83"/>
      <c r="AJ1058" s="1379">
        <f>IF((X1061=0),0,(2*AY1015)*AJ1001)</f>
        <v>37539211</v>
      </c>
      <c r="AK1058" s="1380"/>
      <c r="AL1058" s="1380"/>
      <c r="AM1058" s="1380"/>
      <c r="AN1058" s="1380"/>
      <c r="AO1058" s="1380"/>
      <c r="AP1058" s="1380"/>
      <c r="AQ1058" s="1381"/>
      <c r="AR1058" s="68"/>
      <c r="AS1058" s="68"/>
      <c r="AT1058" s="68"/>
      <c r="AU1058" s="14"/>
      <c r="AV1058" s="68"/>
      <c r="AW1058" s="68"/>
      <c r="AX1058" s="68"/>
      <c r="AY1058" s="68"/>
      <c r="AZ1058" s="957">
        <f>AZ1054*BA1058</f>
        <v>420852.3</v>
      </c>
      <c r="BA1058" s="1174">
        <v>0.15</v>
      </c>
      <c r="BB1058" s="3" t="s">
        <v>2407</v>
      </c>
      <c r="BC1058" s="3" t="s">
        <v>2411</v>
      </c>
      <c r="BD1058" s="3"/>
    </row>
    <row r="1059" spans="1:56" ht="12.95" customHeight="1">
      <c r="A1059" s="14"/>
      <c r="B1059" s="73"/>
      <c r="C1059" s="441"/>
      <c r="D1059" s="1598" t="s">
        <v>1295</v>
      </c>
      <c r="E1059" s="1599"/>
      <c r="F1059" s="1599"/>
      <c r="G1059" s="1599"/>
      <c r="H1059" s="1599"/>
      <c r="I1059" s="1599"/>
      <c r="J1059" s="1599"/>
      <c r="K1059" s="1599"/>
      <c r="L1059" s="1599"/>
      <c r="M1059" s="1599"/>
      <c r="N1059" s="1599"/>
      <c r="O1059" s="1599"/>
      <c r="P1059" s="1599"/>
      <c r="Q1059" s="1599"/>
      <c r="R1059" s="1599"/>
      <c r="S1059" s="1599"/>
      <c r="T1059" s="1599"/>
      <c r="U1059" s="1599"/>
      <c r="V1059" s="1599"/>
      <c r="W1059" s="1599"/>
      <c r="X1059" s="1599"/>
      <c r="Y1059" s="1599"/>
      <c r="Z1059" s="1599"/>
      <c r="AA1059" s="1599"/>
      <c r="AB1059" s="1599"/>
      <c r="AC1059" s="1599"/>
      <c r="AD1059" s="1599"/>
      <c r="AE1059" s="1600"/>
      <c r="AF1059" s="73"/>
      <c r="AG1059" s="442"/>
      <c r="AH1059" s="442"/>
      <c r="AI1059" s="83"/>
      <c r="AJ1059" s="1382"/>
      <c r="AK1059" s="1383"/>
      <c r="AL1059" s="1383"/>
      <c r="AM1059" s="1383"/>
      <c r="AN1059" s="1383"/>
      <c r="AO1059" s="1383"/>
      <c r="AP1059" s="1383"/>
      <c r="AQ1059" s="1384"/>
      <c r="AR1059" s="68"/>
      <c r="AS1059" s="68"/>
      <c r="AT1059" s="68"/>
      <c r="AU1059" s="68"/>
      <c r="AV1059" s="68"/>
      <c r="AW1059" s="68"/>
      <c r="AX1059" s="68"/>
      <c r="AY1059" s="68"/>
      <c r="AZ1059" s="957"/>
      <c r="BA1059" s="3"/>
      <c r="BB1059" s="3"/>
      <c r="BC1059" s="3"/>
      <c r="BD1059" s="3"/>
    </row>
    <row r="1060" spans="1:56" ht="12.95" customHeight="1">
      <c r="A1060" s="14"/>
      <c r="B1060" s="73"/>
      <c r="C1060" s="83"/>
      <c r="D1060" s="1598"/>
      <c r="E1060" s="1599"/>
      <c r="F1060" s="1599"/>
      <c r="G1060" s="1599"/>
      <c r="H1060" s="1599"/>
      <c r="I1060" s="1599"/>
      <c r="J1060" s="1599"/>
      <c r="K1060" s="1599"/>
      <c r="L1060" s="1599"/>
      <c r="M1060" s="1599"/>
      <c r="N1060" s="1599"/>
      <c r="O1060" s="1599"/>
      <c r="P1060" s="1599"/>
      <c r="Q1060" s="1599"/>
      <c r="R1060" s="1599"/>
      <c r="S1060" s="1599"/>
      <c r="T1060" s="1599"/>
      <c r="U1060" s="1599"/>
      <c r="V1060" s="1599"/>
      <c r="W1060" s="1599"/>
      <c r="X1060" s="1599"/>
      <c r="Y1060" s="1599"/>
      <c r="Z1060" s="1599"/>
      <c r="AA1060" s="1599"/>
      <c r="AB1060" s="1599"/>
      <c r="AC1060" s="1599"/>
      <c r="AD1060" s="1599"/>
      <c r="AE1060" s="1600"/>
      <c r="AF1060" s="916"/>
      <c r="AG1060" s="917"/>
      <c r="AH1060" s="917"/>
      <c r="AI1060" s="918"/>
      <c r="AJ1060" s="1382"/>
      <c r="AK1060" s="1383"/>
      <c r="AL1060" s="1383"/>
      <c r="AM1060" s="1383"/>
      <c r="AN1060" s="1383"/>
      <c r="AO1060" s="1383"/>
      <c r="AP1060" s="1383"/>
      <c r="AQ1060" s="1384"/>
      <c r="AR1060" s="68"/>
      <c r="AS1060" s="68"/>
      <c r="AT1060" s="68"/>
      <c r="AU1060" s="68"/>
      <c r="AV1060" s="68"/>
      <c r="AW1060" s="68"/>
      <c r="AX1060" s="68"/>
      <c r="AY1060" s="68"/>
      <c r="AZ1060" s="957">
        <f>ROUNDDOWN(MIN(SUM(AZ1055,AZ1056,AZ1057,AZ1058),BD1060),0)</f>
        <v>2500000</v>
      </c>
      <c r="BA1060" s="3" t="s">
        <v>2412</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603">
        <f>AY1012</f>
        <v>122</v>
      </c>
      <c r="J1061" s="1604"/>
      <c r="K1061" s="14"/>
      <c r="L1061" s="133"/>
      <c r="M1061" s="133"/>
      <c r="N1061" s="133"/>
      <c r="O1061" s="133"/>
      <c r="P1061" s="133"/>
      <c r="Q1061" s="133"/>
      <c r="R1061" s="133"/>
      <c r="S1061" s="133"/>
      <c r="T1061" s="133"/>
      <c r="U1061" s="133"/>
      <c r="V1061" s="134" t="s">
        <v>972</v>
      </c>
      <c r="X1061" s="1601">
        <f>CM761</f>
        <v>31</v>
      </c>
      <c r="Y1061" s="1602"/>
      <c r="AF1061" s="919"/>
      <c r="AG1061" s="920"/>
      <c r="AH1061" s="920"/>
      <c r="AI1061" s="921"/>
      <c r="AJ1061" s="1385"/>
      <c r="AK1061" s="1386"/>
      <c r="AL1061" s="1386"/>
      <c r="AM1061" s="1386"/>
      <c r="AN1061" s="1386"/>
      <c r="AO1061" s="1386"/>
      <c r="AP1061" s="1386"/>
      <c r="AQ1061" s="1387"/>
      <c r="AR1061" s="68"/>
      <c r="AS1061" s="68"/>
      <c r="AT1061" s="68"/>
      <c r="AU1061" s="68"/>
      <c r="AV1061" s="68"/>
      <c r="AW1061" s="68"/>
      <c r="AX1061" s="68"/>
      <c r="AY1061" s="68"/>
      <c r="AZ1061" s="957">
        <f>ROUNDDOWN(MAX(0,BA1061*(SUM(AG1102,AL1102,AZ1054)-BD1061))+BF1061,0)</f>
        <v>0</v>
      </c>
      <c r="BA1061" s="1174">
        <f>IF(L1051,7%,5%)</f>
        <v>0.05</v>
      </c>
      <c r="BB1061" s="3" t="s">
        <v>2413</v>
      </c>
      <c r="BC1061" s="3"/>
      <c r="BD1061" s="3">
        <v>6666667</v>
      </c>
    </row>
    <row r="1062" spans="1:56" ht="12.95" customHeight="1">
      <c r="A1062" s="14"/>
      <c r="B1062" s="102"/>
      <c r="C1062" s="103"/>
      <c r="D1062" s="1596" t="s">
        <v>511</v>
      </c>
      <c r="E1062" s="1596"/>
      <c r="F1062" s="1596"/>
      <c r="G1062" s="1596"/>
      <c r="H1062" s="1596"/>
      <c r="I1062" s="1596"/>
      <c r="J1062" s="1596"/>
      <c r="K1062" s="1596"/>
      <c r="L1062" s="1596"/>
      <c r="M1062" s="1596"/>
      <c r="N1062" s="1596"/>
      <c r="O1062" s="1596"/>
      <c r="P1062" s="1596"/>
      <c r="Q1062" s="1596"/>
      <c r="R1062" s="1596"/>
      <c r="S1062" s="1596"/>
      <c r="T1062" s="1596"/>
      <c r="U1062" s="1596"/>
      <c r="V1062" s="1596"/>
      <c r="W1062" s="1596"/>
      <c r="X1062" s="1596"/>
      <c r="Y1062" s="1596"/>
      <c r="Z1062" s="1596"/>
      <c r="AA1062" s="1596"/>
      <c r="AB1062" s="1596"/>
      <c r="AC1062" s="1596"/>
      <c r="AD1062" s="1596"/>
      <c r="AE1062" s="1596"/>
      <c r="AF1062" s="1596"/>
      <c r="AG1062" s="1596"/>
      <c r="AH1062" s="1596"/>
      <c r="AI1062" s="1597"/>
      <c r="AJ1062" s="1618">
        <f>SUM(AJ1001:AQ1061)</f>
        <v>187519485.68000001</v>
      </c>
      <c r="AK1062" s="1619"/>
      <c r="AL1062" s="1619"/>
      <c r="AM1062" s="1619"/>
      <c r="AN1062" s="1619"/>
      <c r="AO1062" s="1619"/>
      <c r="AP1062" s="1619"/>
      <c r="AQ1062" s="1620"/>
      <c r="AR1062" s="68"/>
      <c r="AS1062" s="68"/>
      <c r="AT1062" s="68"/>
      <c r="AU1062" s="68"/>
      <c r="AV1062" s="68"/>
      <c r="AW1062" s="68"/>
      <c r="AX1062" s="68"/>
      <c r="AY1062" s="68"/>
      <c r="AZ1062" s="1173">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5" t="s">
        <v>2399</v>
      </c>
      <c r="H1064" s="1166"/>
      <c r="I1064" s="1166"/>
      <c r="J1064" s="1166"/>
      <c r="K1064" s="1166"/>
      <c r="L1064" s="1166"/>
      <c r="M1064" s="1166"/>
      <c r="N1064" s="1166"/>
      <c r="O1064" s="1166"/>
      <c r="P1064" s="1166"/>
      <c r="Q1064" s="1166"/>
      <c r="R1064" s="1166"/>
      <c r="S1064" s="1166"/>
      <c r="T1064" s="1166"/>
      <c r="U1064" s="1166"/>
      <c r="V1064" s="1166"/>
      <c r="W1064" s="1166"/>
      <c r="X1064" s="1166"/>
      <c r="Y1064" s="1166"/>
      <c r="Z1064" s="1166"/>
      <c r="AA1064" s="1166"/>
      <c r="AB1064" s="1166"/>
      <c r="AC1064" s="1166"/>
      <c r="AD1064" s="1166"/>
      <c r="AE1064" s="1166"/>
      <c r="AF1064" s="1166"/>
      <c r="AG1064" s="1167"/>
      <c r="AH1064" s="1167"/>
      <c r="AI1064" s="1167"/>
      <c r="AJ1064" s="1167"/>
      <c r="AK1064" s="1167"/>
      <c r="AL1064" s="1167"/>
      <c r="AM1064" s="1167"/>
      <c r="AN1064" s="1167"/>
      <c r="AO1064" s="68"/>
      <c r="AP1064" s="68"/>
      <c r="AQ1064" s="68"/>
      <c r="AR1064" s="68"/>
      <c r="AS1064" s="68"/>
      <c r="AT1064" s="68"/>
      <c r="AU1064" s="68"/>
      <c r="AV1064" s="68"/>
      <c r="AW1064" s="68"/>
      <c r="AX1064" s="68"/>
      <c r="AY1064" s="68"/>
      <c r="AZ1064" s="3"/>
      <c r="BA1064" s="957">
        <f>MIN(MIN(MAX(AZ1060,AZ1061),AZ1062),BA1065)</f>
        <v>2500000</v>
      </c>
      <c r="BB1064" s="3" t="s">
        <v>2415</v>
      </c>
      <c r="BC1064" s="3"/>
      <c r="BD1064" s="3"/>
    </row>
    <row r="1065" spans="1:56" ht="12.95" customHeight="1">
      <c r="A1065" s="14"/>
      <c r="B1065" s="68"/>
      <c r="C1065" s="68"/>
      <c r="D1065" s="68"/>
      <c r="E1065" s="68"/>
      <c r="F1065" s="68"/>
      <c r="G1065" s="1168" t="s">
        <v>2400</v>
      </c>
      <c r="H1065" s="1169"/>
      <c r="I1065" s="1169"/>
      <c r="J1065" s="1169"/>
      <c r="K1065" s="1169"/>
      <c r="L1065" s="1169"/>
      <c r="M1065" s="1169"/>
      <c r="N1065" s="1169"/>
      <c r="O1065" s="1169"/>
      <c r="P1065" s="1169"/>
      <c r="Q1065" s="1169"/>
      <c r="R1065" s="1169"/>
      <c r="S1065" s="1169"/>
      <c r="T1065" s="1169"/>
      <c r="U1065" s="1169"/>
      <c r="V1065" s="1169"/>
      <c r="W1065" s="1169"/>
      <c r="X1065" s="1169"/>
      <c r="Y1065" s="1169"/>
      <c r="Z1065" s="1169"/>
      <c r="AA1065" s="1885">
        <f>'Sources and Uses Budget'!S107+'Sources and Uses Budget'!T107</f>
        <v>99847352</v>
      </c>
      <c r="AB1065" s="1885"/>
      <c r="AC1065" s="1885"/>
      <c r="AD1065" s="1885"/>
      <c r="AE1065" s="1885"/>
      <c r="AF1065" s="1885"/>
      <c r="AG1065" s="1167"/>
      <c r="AH1065" s="1167"/>
      <c r="AI1065" s="1167"/>
      <c r="AJ1065" s="1167"/>
      <c r="AK1065" s="1167"/>
      <c r="AL1065" s="1167"/>
      <c r="AM1065" s="1167"/>
      <c r="AN1065" s="1167"/>
      <c r="AO1065" s="68"/>
      <c r="AP1065" s="68"/>
      <c r="AQ1065" s="68"/>
      <c r="AR1065" s="68"/>
      <c r="AS1065" s="68"/>
      <c r="AT1065" s="68"/>
      <c r="AU1065" s="68"/>
      <c r="AV1065" s="13"/>
      <c r="AW1065" s="13"/>
      <c r="AX1065" s="13"/>
      <c r="AY1065" s="13"/>
      <c r="AZ1065" s="3"/>
      <c r="BA1065" s="957">
        <f>SUM(AZ1055:AZ1058)</f>
        <v>13949228.85</v>
      </c>
      <c r="BB1065" s="3" t="s">
        <v>2416</v>
      </c>
      <c r="BC1065" s="3"/>
      <c r="BD1065" s="3"/>
    </row>
    <row r="1066" spans="1:56" ht="12.95" customHeight="1">
      <c r="A1066" s="14"/>
      <c r="B1066" s="68"/>
      <c r="C1066" s="68"/>
      <c r="D1066" s="68"/>
      <c r="E1066" s="68"/>
      <c r="F1066" s="68"/>
      <c r="G1066" s="1168"/>
      <c r="H1066" s="1168" t="s">
        <v>2401</v>
      </c>
      <c r="I1066" s="1169"/>
      <c r="J1066" s="1169"/>
      <c r="K1066" s="1169"/>
      <c r="L1066" s="1169"/>
      <c r="M1066" s="1169"/>
      <c r="N1066" s="1169"/>
      <c r="O1066" s="1169"/>
      <c r="P1066" s="1169"/>
      <c r="Q1066" s="1169"/>
      <c r="R1066" s="1169"/>
      <c r="S1066" s="1169"/>
      <c r="T1066" s="1169"/>
      <c r="U1066" s="1169"/>
      <c r="V1066" s="1169"/>
      <c r="W1066" s="1169"/>
      <c r="X1066" s="1169"/>
      <c r="Y1066" s="1169"/>
      <c r="Z1066" s="1171"/>
      <c r="AA1066" s="1886">
        <f>IFERROR((AA1065-BA1068)/(AJ1062-AJ1054-AJ1058),"")</f>
        <v>0.70239584827124979</v>
      </c>
      <c r="AB1066" s="1887"/>
      <c r="AC1066" s="1887"/>
      <c r="AD1066" s="1887"/>
      <c r="AE1066" s="1887"/>
      <c r="AF1066" s="1888"/>
      <c r="AG1066" s="1170"/>
      <c r="AH1066" s="1167"/>
      <c r="AI1066" s="1167"/>
      <c r="AJ1066" s="1167"/>
      <c r="AK1066" s="1167"/>
      <c r="AL1066" s="1167"/>
      <c r="AM1066" s="1167"/>
      <c r="AN1066" s="1167"/>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8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89"/>
      <c r="I1067" s="1889"/>
      <c r="J1067" s="1889"/>
      <c r="K1067" s="1889"/>
      <c r="L1067" s="1889"/>
      <c r="M1067" s="1889"/>
      <c r="N1067" s="1889"/>
      <c r="O1067" s="1889"/>
      <c r="P1067" s="1889"/>
      <c r="Q1067" s="1889"/>
      <c r="R1067" s="1889"/>
      <c r="S1067" s="1889"/>
      <c r="T1067" s="1889"/>
      <c r="U1067" s="1889"/>
      <c r="V1067" s="1889"/>
      <c r="W1067" s="1889"/>
      <c r="X1067" s="1889"/>
      <c r="Y1067" s="1889"/>
      <c r="Z1067" s="1889"/>
      <c r="AA1067" s="1889"/>
      <c r="AB1067" s="1889"/>
      <c r="AC1067" s="1889"/>
      <c r="AD1067" s="1889"/>
      <c r="AE1067" s="1889"/>
      <c r="AF1067" s="1889"/>
      <c r="AG1067" s="1889"/>
      <c r="AH1067" s="1889"/>
      <c r="AI1067" s="1889"/>
      <c r="AJ1067" s="1889"/>
      <c r="AK1067" s="1889"/>
      <c r="AL1067" s="1889"/>
      <c r="AM1067" s="1889"/>
      <c r="AN1067" s="1889"/>
      <c r="AO1067" s="68"/>
      <c r="AP1067" s="68"/>
      <c r="AQ1067" s="68"/>
      <c r="AR1067" s="68"/>
      <c r="AS1067" s="68"/>
      <c r="AT1067" s="68"/>
      <c r="AU1067" s="68"/>
      <c r="AV1067" s="14"/>
      <c r="AW1067" s="14"/>
      <c r="AX1067" s="14"/>
      <c r="AY1067" s="14"/>
      <c r="BA1067" s="1177">
        <f>'Sources and Uses Budget'!$S$104+'Sources and Uses Budget'!$T$104</f>
        <v>9658175</v>
      </c>
      <c r="BB1067" s="3" t="s">
        <v>2422</v>
      </c>
    </row>
    <row r="1068" spans="1:56" ht="12.95" customHeight="1">
      <c r="A1068" s="14"/>
      <c r="B1068" s="14"/>
      <c r="C1068" s="208"/>
      <c r="D1068" s="853"/>
      <c r="E1068" s="853"/>
      <c r="F1068" s="853"/>
      <c r="G1068" s="1889"/>
      <c r="H1068" s="1889"/>
      <c r="I1068" s="1889"/>
      <c r="J1068" s="1889"/>
      <c r="K1068" s="1889"/>
      <c r="L1068" s="1889"/>
      <c r="M1068" s="1889"/>
      <c r="N1068" s="1889"/>
      <c r="O1068" s="1889"/>
      <c r="P1068" s="1889"/>
      <c r="Q1068" s="1889"/>
      <c r="R1068" s="1889"/>
      <c r="S1068" s="1889"/>
      <c r="T1068" s="1889"/>
      <c r="U1068" s="1889"/>
      <c r="V1068" s="1889"/>
      <c r="W1068" s="1889"/>
      <c r="X1068" s="1889"/>
      <c r="Y1068" s="1889"/>
      <c r="Z1068" s="1889"/>
      <c r="AA1068" s="1889"/>
      <c r="AB1068" s="1889"/>
      <c r="AC1068" s="1889"/>
      <c r="AD1068" s="1889"/>
      <c r="AE1068" s="1889"/>
      <c r="AF1068" s="1889"/>
      <c r="AG1068" s="1889"/>
      <c r="AH1068" s="1889"/>
      <c r="AI1068" s="1889"/>
      <c r="AJ1068" s="1889"/>
      <c r="AK1068" s="1889"/>
      <c r="AL1068" s="1889"/>
      <c r="AM1068" s="1889"/>
      <c r="AN1068" s="1889"/>
      <c r="AO1068" s="68"/>
      <c r="AP1068" s="68"/>
      <c r="AQ1068" s="68"/>
      <c r="AR1068" s="68"/>
      <c r="AS1068" s="68"/>
      <c r="AT1068" s="68"/>
      <c r="AU1068" s="68"/>
      <c r="AV1068" s="14"/>
      <c r="AW1068" s="14"/>
      <c r="AX1068" s="14"/>
      <c r="AY1068" s="14"/>
      <c r="BA1068" s="1178">
        <f>MAX($BA$1067-$BA$1064,0)</f>
        <v>7158175</v>
      </c>
      <c r="BB1068" s="3" t="s">
        <v>2423</v>
      </c>
    </row>
    <row r="1069" spans="1:56" ht="12.95" customHeight="1">
      <c r="A1069" s="88"/>
      <c r="B1069" s="1164"/>
      <c r="C1069" s="1164"/>
      <c r="D1069" s="1164"/>
      <c r="E1069" s="1164"/>
      <c r="F1069" s="1164"/>
      <c r="G1069" s="1889"/>
      <c r="H1069" s="1889"/>
      <c r="I1069" s="1889"/>
      <c r="J1069" s="1889"/>
      <c r="K1069" s="1889"/>
      <c r="L1069" s="1889"/>
      <c r="M1069" s="1889"/>
      <c r="N1069" s="1889"/>
      <c r="O1069" s="1889"/>
      <c r="P1069" s="1889"/>
      <c r="Q1069" s="1889"/>
      <c r="R1069" s="1889"/>
      <c r="S1069" s="1889"/>
      <c r="T1069" s="1889"/>
      <c r="U1069" s="1889"/>
      <c r="V1069" s="1889"/>
      <c r="W1069" s="1889"/>
      <c r="X1069" s="1889"/>
      <c r="Y1069" s="1889"/>
      <c r="Z1069" s="1889"/>
      <c r="AA1069" s="1889"/>
      <c r="AB1069" s="1889"/>
      <c r="AC1069" s="1889"/>
      <c r="AD1069" s="1889"/>
      <c r="AE1069" s="1889"/>
      <c r="AF1069" s="1889"/>
      <c r="AG1069" s="1889"/>
      <c r="AH1069" s="1889"/>
      <c r="AI1069" s="1889"/>
      <c r="AJ1069" s="1889"/>
      <c r="AK1069" s="1889"/>
      <c r="AL1069" s="1889"/>
      <c r="AM1069" s="1889"/>
      <c r="AN1069" s="1889"/>
      <c r="AO1069" s="1164"/>
      <c r="AP1069" s="1164"/>
      <c r="AQ1069" s="68"/>
      <c r="AR1069" s="68"/>
      <c r="AS1069" s="68"/>
      <c r="AT1069" s="68"/>
      <c r="AU1069" s="68"/>
      <c r="AV1069" s="68"/>
      <c r="AW1069" s="68"/>
      <c r="AX1069" s="68"/>
      <c r="AY1069" s="68"/>
    </row>
    <row r="1070" spans="1:56" ht="12.95" customHeight="1">
      <c r="A1070" s="1356" t="s">
        <v>792</v>
      </c>
      <c r="B1070" s="1356"/>
      <c r="C1070" s="1356"/>
      <c r="D1070" s="1356"/>
      <c r="E1070" s="1356"/>
      <c r="F1070" s="1356"/>
      <c r="G1070" s="1356"/>
      <c r="H1070" s="1356"/>
      <c r="I1070" s="1356"/>
      <c r="J1070" s="1356"/>
      <c r="K1070" s="1356"/>
      <c r="L1070" s="1356"/>
      <c r="M1070" s="1356"/>
      <c r="N1070" s="1356"/>
      <c r="O1070" s="1356"/>
      <c r="P1070" s="1356"/>
      <c r="Q1070" s="1356"/>
      <c r="R1070" s="1356"/>
      <c r="S1070" s="1356"/>
      <c r="T1070" s="1356"/>
      <c r="U1070" s="1356"/>
      <c r="V1070" s="1356"/>
      <c r="W1070" s="1356"/>
      <c r="X1070" s="1356"/>
      <c r="Y1070" s="1356"/>
      <c r="Z1070" s="1356"/>
      <c r="AA1070" s="1356"/>
      <c r="AB1070" s="1356"/>
      <c r="AC1070" s="1356"/>
      <c r="AD1070" s="1356"/>
      <c r="AE1070" s="1356"/>
      <c r="AF1070" s="1356"/>
      <c r="AG1070" s="1356"/>
      <c r="AH1070" s="1356"/>
      <c r="AI1070" s="1356"/>
      <c r="AJ1070" s="1356"/>
      <c r="AK1070" s="1356"/>
      <c r="AL1070" s="1356"/>
      <c r="AM1070" s="1356"/>
      <c r="AN1070" s="1356"/>
      <c r="AO1070" s="1356"/>
      <c r="AP1070" s="1356"/>
      <c r="AQ1070" s="135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52" t="s">
        <v>543</v>
      </c>
      <c r="B1074" s="1352"/>
      <c r="C1074" s="1353">
        <v>1</v>
      </c>
      <c r="D1074" s="1353"/>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53"/>
      <c r="D1075" s="135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52" t="s">
        <v>589</v>
      </c>
      <c r="B1076" s="1352"/>
      <c r="C1076" s="1353">
        <v>2</v>
      </c>
      <c r="D1076" s="1353"/>
      <c r="E1076" s="1355" t="s">
        <v>2190</v>
      </c>
      <c r="F1076" s="1355"/>
      <c r="G1076" s="1355"/>
      <c r="H1076" s="1355"/>
      <c r="I1076" s="1355"/>
      <c r="J1076" s="1355"/>
      <c r="K1076" s="1355"/>
      <c r="L1076" s="1355"/>
      <c r="M1076" s="1355"/>
      <c r="N1076" s="1355"/>
      <c r="O1076" s="1355"/>
      <c r="P1076" s="1355"/>
      <c r="Q1076" s="1355"/>
      <c r="R1076" s="1355"/>
      <c r="S1076" s="1355"/>
      <c r="T1076" s="1355"/>
      <c r="U1076" s="1355"/>
      <c r="V1076" s="1355"/>
      <c r="W1076" s="1355"/>
      <c r="X1076" s="1355"/>
      <c r="Y1076" s="1355"/>
      <c r="Z1076" s="1355"/>
      <c r="AA1076" s="1355"/>
      <c r="AB1076" s="1355"/>
      <c r="AC1076" s="1355"/>
      <c r="AD1076" s="1355"/>
      <c r="AE1076" s="1355"/>
      <c r="AF1076" s="1355"/>
      <c r="AG1076" s="1355"/>
      <c r="AH1076" s="1355"/>
      <c r="AI1076" s="1355"/>
      <c r="AJ1076" s="1355"/>
      <c r="AK1076" s="1355"/>
      <c r="AL1076" s="1355"/>
      <c r="AM1076" s="1355"/>
      <c r="AN1076" s="1355"/>
      <c r="AO1076" s="1355"/>
      <c r="AP1076" s="1355"/>
      <c r="AQ1076" s="1355"/>
      <c r="AR1076" s="1355"/>
      <c r="AS1076" s="14"/>
      <c r="AT1076" s="14"/>
      <c r="AV1076" s="68"/>
      <c r="AW1076" s="68"/>
      <c r="AX1076" s="68"/>
      <c r="AY1076" s="68"/>
    </row>
    <row r="1077" spans="1:51" ht="12.95" customHeight="1">
      <c r="A1077" s="198"/>
      <c r="B1077" s="67"/>
      <c r="C1077" s="1353"/>
      <c r="D1077" s="1353"/>
      <c r="E1077" s="1355"/>
      <c r="F1077" s="1355"/>
      <c r="G1077" s="1355"/>
      <c r="H1077" s="1355"/>
      <c r="I1077" s="1355"/>
      <c r="J1077" s="1355"/>
      <c r="K1077" s="1355"/>
      <c r="L1077" s="1355"/>
      <c r="M1077" s="1355"/>
      <c r="N1077" s="1355"/>
      <c r="O1077" s="1355"/>
      <c r="P1077" s="1355"/>
      <c r="Q1077" s="1355"/>
      <c r="R1077" s="1355"/>
      <c r="S1077" s="1355"/>
      <c r="T1077" s="1355"/>
      <c r="U1077" s="1355"/>
      <c r="V1077" s="1355"/>
      <c r="W1077" s="1355"/>
      <c r="X1077" s="1355"/>
      <c r="Y1077" s="1355"/>
      <c r="Z1077" s="1355"/>
      <c r="AA1077" s="1355"/>
      <c r="AB1077" s="1355"/>
      <c r="AC1077" s="1355"/>
      <c r="AD1077" s="1355"/>
      <c r="AE1077" s="1355"/>
      <c r="AF1077" s="1355"/>
      <c r="AG1077" s="1355"/>
      <c r="AH1077" s="1355"/>
      <c r="AI1077" s="1355"/>
      <c r="AJ1077" s="1355"/>
      <c r="AK1077" s="1355"/>
      <c r="AL1077" s="1355"/>
      <c r="AM1077" s="1355"/>
      <c r="AN1077" s="1355"/>
      <c r="AO1077" s="1355"/>
      <c r="AP1077" s="1355"/>
      <c r="AQ1077" s="1355"/>
      <c r="AR1077" s="1355"/>
      <c r="AS1077" s="14"/>
      <c r="AT1077" s="14"/>
      <c r="AV1077" s="68"/>
      <c r="AW1077" s="68"/>
      <c r="AX1077" s="68"/>
      <c r="AY1077" s="68"/>
    </row>
    <row r="1078" spans="1:51" ht="12.95" customHeight="1">
      <c r="A1078" s="198"/>
      <c r="B1078" s="67"/>
      <c r="C1078" s="1353"/>
      <c r="D1078" s="135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52" t="s">
        <v>589</v>
      </c>
      <c r="B1079" s="1352"/>
      <c r="C1079" s="1354">
        <v>3</v>
      </c>
      <c r="D1079" s="1354"/>
      <c r="E1079" s="1314" t="s">
        <v>1078</v>
      </c>
      <c r="F1079" s="1314"/>
      <c r="G1079" s="1314"/>
      <c r="H1079" s="1314"/>
      <c r="I1079" s="1314"/>
      <c r="J1079" s="1314"/>
      <c r="K1079" s="1314"/>
      <c r="L1079" s="1314"/>
      <c r="M1079" s="1314"/>
      <c r="N1079" s="1314"/>
      <c r="O1079" s="1314"/>
      <c r="P1079" s="1314"/>
      <c r="Q1079" s="1314"/>
      <c r="R1079" s="1314"/>
      <c r="S1079" s="1314"/>
      <c r="T1079" s="1314"/>
      <c r="U1079" s="1314"/>
      <c r="V1079" s="1314"/>
      <c r="W1079" s="1314"/>
      <c r="X1079" s="1314"/>
      <c r="Y1079" s="1314"/>
      <c r="Z1079" s="1314"/>
      <c r="AA1079" s="1314"/>
      <c r="AB1079" s="1314"/>
      <c r="AC1079" s="1314"/>
      <c r="AD1079" s="1314"/>
      <c r="AE1079" s="1314"/>
      <c r="AF1079" s="1314"/>
      <c r="AG1079" s="1314"/>
      <c r="AH1079" s="1314"/>
      <c r="AI1079" s="1314"/>
      <c r="AJ1079" s="1314"/>
      <c r="AK1079" s="1314"/>
      <c r="AL1079" s="1314"/>
      <c r="AM1079" s="1314"/>
      <c r="AN1079" s="1314"/>
      <c r="AO1079" s="1314"/>
      <c r="AP1079" s="1314"/>
      <c r="AQ1079" s="1314"/>
      <c r="AR1079" s="1314"/>
      <c r="AS1079" s="14"/>
      <c r="AT1079" s="68"/>
      <c r="AV1079" s="68"/>
      <c r="AW1079" s="68"/>
      <c r="AX1079" s="68"/>
      <c r="AY1079" s="68"/>
    </row>
    <row r="1080" spans="1:51" ht="12.95" customHeight="1">
      <c r="A1080" s="1"/>
      <c r="B1080" s="1"/>
      <c r="C1080" s="1354"/>
      <c r="D1080" s="1354"/>
      <c r="E1080" s="1314"/>
      <c r="F1080" s="1314"/>
      <c r="G1080" s="1314"/>
      <c r="H1080" s="1314"/>
      <c r="I1080" s="1314"/>
      <c r="J1080" s="1314"/>
      <c r="K1080" s="1314"/>
      <c r="L1080" s="1314"/>
      <c r="M1080" s="1314"/>
      <c r="N1080" s="1314"/>
      <c r="O1080" s="1314"/>
      <c r="P1080" s="1314"/>
      <c r="Q1080" s="1314"/>
      <c r="R1080" s="1314"/>
      <c r="S1080" s="1314"/>
      <c r="T1080" s="1314"/>
      <c r="U1080" s="1314"/>
      <c r="V1080" s="1314"/>
      <c r="W1080" s="1314"/>
      <c r="X1080" s="1314"/>
      <c r="Y1080" s="1314"/>
      <c r="Z1080" s="1314"/>
      <c r="AA1080" s="1314"/>
      <c r="AB1080" s="1314"/>
      <c r="AC1080" s="1314"/>
      <c r="AD1080" s="1314"/>
      <c r="AE1080" s="1314"/>
      <c r="AF1080" s="1314"/>
      <c r="AG1080" s="1314"/>
      <c r="AH1080" s="1314"/>
      <c r="AI1080" s="1314"/>
      <c r="AJ1080" s="1314"/>
      <c r="AK1080" s="1314"/>
      <c r="AL1080" s="1314"/>
      <c r="AM1080" s="1314"/>
      <c r="AN1080" s="1314"/>
      <c r="AO1080" s="1314"/>
      <c r="AP1080" s="1314"/>
      <c r="AQ1080" s="1314"/>
      <c r="AR1080" s="1314"/>
      <c r="AS1080" s="14"/>
      <c r="AT1080" s="68"/>
      <c r="AV1080" s="68"/>
      <c r="AW1080" s="68"/>
      <c r="AX1080" s="68"/>
      <c r="AY1080" s="68"/>
    </row>
    <row r="1081" spans="1:51" ht="12.95" customHeight="1">
      <c r="A1081" s="1"/>
      <c r="B1081" s="1"/>
      <c r="C1081" s="1354"/>
      <c r="D1081" s="1354"/>
      <c r="E1081" s="1314"/>
      <c r="F1081" s="1314"/>
      <c r="G1081" s="1314"/>
      <c r="H1081" s="1314"/>
      <c r="I1081" s="1314"/>
      <c r="J1081" s="1314"/>
      <c r="K1081" s="1314"/>
      <c r="L1081" s="1314"/>
      <c r="M1081" s="1314"/>
      <c r="N1081" s="1314"/>
      <c r="O1081" s="1314"/>
      <c r="P1081" s="1314"/>
      <c r="Q1081" s="1314"/>
      <c r="R1081" s="1314"/>
      <c r="S1081" s="1314"/>
      <c r="T1081" s="1314"/>
      <c r="U1081" s="1314"/>
      <c r="V1081" s="1314"/>
      <c r="W1081" s="1314"/>
      <c r="X1081" s="1314"/>
      <c r="Y1081" s="1314"/>
      <c r="Z1081" s="1314"/>
      <c r="AA1081" s="1314"/>
      <c r="AB1081" s="1314"/>
      <c r="AC1081" s="1314"/>
      <c r="AD1081" s="1314"/>
      <c r="AE1081" s="1314"/>
      <c r="AF1081" s="1314"/>
      <c r="AG1081" s="1314"/>
      <c r="AH1081" s="1314"/>
      <c r="AI1081" s="1314"/>
      <c r="AJ1081" s="1314"/>
      <c r="AK1081" s="1314"/>
      <c r="AL1081" s="1314"/>
      <c r="AM1081" s="1314"/>
      <c r="AN1081" s="1314"/>
      <c r="AO1081" s="1314"/>
      <c r="AP1081" s="1314"/>
      <c r="AQ1081" s="1314"/>
      <c r="AR1081" s="1314"/>
      <c r="AS1081" s="14"/>
      <c r="AT1081" s="68"/>
      <c r="AV1081" s="68"/>
      <c r="AW1081" s="68"/>
      <c r="AX1081" s="68"/>
      <c r="AY1081" s="68"/>
    </row>
    <row r="1082" spans="1:51" ht="12.95" customHeight="1">
      <c r="A1082" s="1"/>
      <c r="B1082" s="1"/>
      <c r="C1082" s="1354"/>
      <c r="D1082" s="1354"/>
      <c r="E1082" s="1314"/>
      <c r="F1082" s="1314"/>
      <c r="G1082" s="1314"/>
      <c r="H1082" s="1314"/>
      <c r="I1082" s="1314"/>
      <c r="J1082" s="1314"/>
      <c r="K1082" s="1314"/>
      <c r="L1082" s="1314"/>
      <c r="M1082" s="1314"/>
      <c r="N1082" s="1314"/>
      <c r="O1082" s="1314"/>
      <c r="P1082" s="1314"/>
      <c r="Q1082" s="1314"/>
      <c r="R1082" s="1314"/>
      <c r="S1082" s="1314"/>
      <c r="T1082" s="1314"/>
      <c r="U1082" s="1314"/>
      <c r="V1082" s="1314"/>
      <c r="W1082" s="1314"/>
      <c r="X1082" s="1314"/>
      <c r="Y1082" s="1314"/>
      <c r="Z1082" s="1314"/>
      <c r="AA1082" s="1314"/>
      <c r="AB1082" s="1314"/>
      <c r="AC1082" s="1314"/>
      <c r="AD1082" s="1314"/>
      <c r="AE1082" s="1314"/>
      <c r="AF1082" s="1314"/>
      <c r="AG1082" s="1314"/>
      <c r="AH1082" s="1314"/>
      <c r="AI1082" s="1314"/>
      <c r="AJ1082" s="1314"/>
      <c r="AK1082" s="1314"/>
      <c r="AL1082" s="1314"/>
      <c r="AM1082" s="1314"/>
      <c r="AN1082" s="1314"/>
      <c r="AO1082" s="1314"/>
      <c r="AP1082" s="1314"/>
      <c r="AQ1082" s="1314"/>
      <c r="AR1082" s="1314"/>
      <c r="AS1082" s="14"/>
      <c r="AT1082" s="68"/>
      <c r="AV1082" s="68"/>
      <c r="AW1082" s="68"/>
      <c r="AX1082" s="68"/>
      <c r="AY1082" s="68"/>
    </row>
    <row r="1083" spans="1:51" ht="12.95" customHeight="1">
      <c r="A1083" s="2"/>
      <c r="B1083" s="25"/>
      <c r="C1083" s="1354"/>
      <c r="D1083" s="1354"/>
      <c r="E1083" s="454"/>
      <c r="F1083" s="454"/>
      <c r="G1083" s="454"/>
      <c r="H1083" s="454"/>
      <c r="I1083" s="454"/>
      <c r="J1083" s="454"/>
      <c r="K1083" s="454"/>
      <c r="L1083" s="454"/>
      <c r="M1083" s="454"/>
      <c r="N1083" s="454"/>
      <c r="O1083" s="454"/>
      <c r="P1083" s="454"/>
      <c r="Q1083" s="454"/>
      <c r="R1083" s="454"/>
      <c r="S1083" s="454"/>
      <c r="T1083" s="454"/>
      <c r="U1083" s="454"/>
      <c r="V1083" s="454"/>
      <c r="W1083" s="454"/>
      <c r="X1083" s="454"/>
      <c r="Y1083" s="454"/>
      <c r="Z1083" s="454"/>
      <c r="AA1083" s="454"/>
      <c r="AB1083" s="454"/>
      <c r="AC1083" s="454"/>
      <c r="AD1083" s="454"/>
      <c r="AE1083" s="454"/>
      <c r="AF1083" s="454"/>
      <c r="AG1083" s="454"/>
      <c r="AH1083" s="454"/>
      <c r="AI1083" s="454"/>
      <c r="AJ1083" s="454"/>
      <c r="AK1083" s="454"/>
      <c r="AL1083" s="68"/>
      <c r="AM1083" s="68"/>
      <c r="AN1083" s="68"/>
      <c r="AO1083" s="68"/>
      <c r="AP1083" s="68"/>
      <c r="AQ1083" s="68"/>
      <c r="AR1083" s="68"/>
      <c r="AS1083" s="14"/>
      <c r="AT1083" s="68"/>
      <c r="AV1083" s="68"/>
      <c r="AW1083" s="68"/>
      <c r="AX1083" s="68"/>
      <c r="AY1083" s="68"/>
    </row>
    <row r="1084" spans="1:51" ht="12.95" customHeight="1">
      <c r="A1084" s="1352" t="s">
        <v>589</v>
      </c>
      <c r="B1084" s="1352"/>
      <c r="C1084" s="1354">
        <v>4</v>
      </c>
      <c r="D1084" s="1354"/>
      <c r="E1084" s="1314" t="s">
        <v>1077</v>
      </c>
      <c r="F1084" s="1314"/>
      <c r="G1084" s="1314"/>
      <c r="H1084" s="1314"/>
      <c r="I1084" s="1314"/>
      <c r="J1084" s="1314"/>
      <c r="K1084" s="1314"/>
      <c r="L1084" s="1314"/>
      <c r="M1084" s="1314"/>
      <c r="N1084" s="1314"/>
      <c r="O1084" s="1314"/>
      <c r="P1084" s="1314"/>
      <c r="Q1084" s="1314"/>
      <c r="R1084" s="1314"/>
      <c r="S1084" s="1314"/>
      <c r="T1084" s="1314"/>
      <c r="U1084" s="1314"/>
      <c r="V1084" s="1314"/>
      <c r="W1084" s="1314"/>
      <c r="X1084" s="1314"/>
      <c r="Y1084" s="1314"/>
      <c r="Z1084" s="1314"/>
      <c r="AA1084" s="1314"/>
      <c r="AB1084" s="1314"/>
      <c r="AC1084" s="1314"/>
      <c r="AD1084" s="1314"/>
      <c r="AE1084" s="1314"/>
      <c r="AF1084" s="1314"/>
      <c r="AG1084" s="1314"/>
      <c r="AH1084" s="1314"/>
      <c r="AI1084" s="1314"/>
      <c r="AJ1084" s="1314"/>
      <c r="AK1084" s="1314"/>
      <c r="AL1084" s="1314"/>
      <c r="AM1084" s="1314"/>
      <c r="AN1084" s="1314"/>
      <c r="AO1084" s="1314"/>
      <c r="AP1084" s="1314"/>
      <c r="AQ1084" s="1314"/>
      <c r="AR1084" s="1314"/>
      <c r="AS1084" s="14"/>
      <c r="AT1084" s="68"/>
    </row>
    <row r="1085" spans="1:51" ht="12.95" customHeight="1">
      <c r="A1085" s="1"/>
      <c r="B1085" s="1"/>
      <c r="C1085" s="1354"/>
      <c r="D1085" s="1354"/>
      <c r="E1085" s="1314"/>
      <c r="F1085" s="1314"/>
      <c r="G1085" s="1314"/>
      <c r="H1085" s="1314"/>
      <c r="I1085" s="1314"/>
      <c r="J1085" s="1314"/>
      <c r="K1085" s="1314"/>
      <c r="L1085" s="1314"/>
      <c r="M1085" s="1314"/>
      <c r="N1085" s="1314"/>
      <c r="O1085" s="1314"/>
      <c r="P1085" s="1314"/>
      <c r="Q1085" s="1314"/>
      <c r="R1085" s="1314"/>
      <c r="S1085" s="1314"/>
      <c r="T1085" s="1314"/>
      <c r="U1085" s="1314"/>
      <c r="V1085" s="1314"/>
      <c r="W1085" s="1314"/>
      <c r="X1085" s="1314"/>
      <c r="Y1085" s="1314"/>
      <c r="Z1085" s="1314"/>
      <c r="AA1085" s="1314"/>
      <c r="AB1085" s="1314"/>
      <c r="AC1085" s="1314"/>
      <c r="AD1085" s="1314"/>
      <c r="AE1085" s="1314"/>
      <c r="AF1085" s="1314"/>
      <c r="AG1085" s="1314"/>
      <c r="AH1085" s="1314"/>
      <c r="AI1085" s="1314"/>
      <c r="AJ1085" s="1314"/>
      <c r="AK1085" s="1314"/>
      <c r="AL1085" s="1314"/>
      <c r="AM1085" s="1314"/>
      <c r="AN1085" s="1314"/>
      <c r="AO1085" s="1314"/>
      <c r="AP1085" s="1314"/>
      <c r="AQ1085" s="1314"/>
      <c r="AR1085" s="1314"/>
      <c r="AS1085" s="14"/>
      <c r="AT1085" s="68"/>
    </row>
    <row r="1086" spans="1:51" ht="12.95" customHeight="1">
      <c r="A1086" s="1"/>
      <c r="B1086" s="1"/>
      <c r="C1086" s="1354"/>
      <c r="D1086" s="1354"/>
      <c r="E1086" s="1314"/>
      <c r="F1086" s="1314"/>
      <c r="G1086" s="1314"/>
      <c r="H1086" s="1314"/>
      <c r="I1086" s="1314"/>
      <c r="J1086" s="1314"/>
      <c r="K1086" s="1314"/>
      <c r="L1086" s="1314"/>
      <c r="M1086" s="1314"/>
      <c r="N1086" s="1314"/>
      <c r="O1086" s="1314"/>
      <c r="P1086" s="1314"/>
      <c r="Q1086" s="1314"/>
      <c r="R1086" s="1314"/>
      <c r="S1086" s="1314"/>
      <c r="T1086" s="1314"/>
      <c r="U1086" s="1314"/>
      <c r="V1086" s="1314"/>
      <c r="W1086" s="1314"/>
      <c r="X1086" s="1314"/>
      <c r="Y1086" s="1314"/>
      <c r="Z1086" s="1314"/>
      <c r="AA1086" s="1314"/>
      <c r="AB1086" s="1314"/>
      <c r="AC1086" s="1314"/>
      <c r="AD1086" s="1314"/>
      <c r="AE1086" s="1314"/>
      <c r="AF1086" s="1314"/>
      <c r="AG1086" s="1314"/>
      <c r="AH1086" s="1314"/>
      <c r="AI1086" s="1314"/>
      <c r="AJ1086" s="1314"/>
      <c r="AK1086" s="1314"/>
      <c r="AL1086" s="1314"/>
      <c r="AM1086" s="1314"/>
      <c r="AN1086" s="1314"/>
      <c r="AO1086" s="1314"/>
      <c r="AP1086" s="1314"/>
      <c r="AQ1086" s="1314"/>
      <c r="AR1086" s="1314"/>
      <c r="AS1086" s="14"/>
      <c r="AT1086" s="68"/>
    </row>
    <row r="1087" spans="1:51" ht="12.95" customHeight="1">
      <c r="A1087" s="1"/>
      <c r="B1087" s="1"/>
      <c r="C1087" s="1354"/>
      <c r="D1087" s="1354"/>
      <c r="E1087" s="1314"/>
      <c r="F1087" s="1314"/>
      <c r="G1087" s="1314"/>
      <c r="H1087" s="1314"/>
      <c r="I1087" s="1314"/>
      <c r="J1087" s="1314"/>
      <c r="K1087" s="1314"/>
      <c r="L1087" s="1314"/>
      <c r="M1087" s="1314"/>
      <c r="N1087" s="1314"/>
      <c r="O1087" s="1314"/>
      <c r="P1087" s="1314"/>
      <c r="Q1087" s="1314"/>
      <c r="R1087" s="1314"/>
      <c r="S1087" s="1314"/>
      <c r="T1087" s="1314"/>
      <c r="U1087" s="1314"/>
      <c r="V1087" s="1314"/>
      <c r="W1087" s="1314"/>
      <c r="X1087" s="1314"/>
      <c r="Y1087" s="1314"/>
      <c r="Z1087" s="1314"/>
      <c r="AA1087" s="1314"/>
      <c r="AB1087" s="1314"/>
      <c r="AC1087" s="1314"/>
      <c r="AD1087" s="1314"/>
      <c r="AE1087" s="1314"/>
      <c r="AF1087" s="1314"/>
      <c r="AG1087" s="1314"/>
      <c r="AH1087" s="1314"/>
      <c r="AI1087" s="1314"/>
      <c r="AJ1087" s="1314"/>
      <c r="AK1087" s="1314"/>
      <c r="AL1087" s="1314"/>
      <c r="AM1087" s="1314"/>
      <c r="AN1087" s="1314"/>
      <c r="AO1087" s="1314"/>
      <c r="AP1087" s="1314"/>
      <c r="AQ1087" s="1314"/>
      <c r="AR1087" s="1314"/>
      <c r="AS1087" s="14"/>
      <c r="AT1087" s="68"/>
    </row>
    <row r="1088" spans="1:51" ht="12.95" customHeight="1">
      <c r="A1088" s="1"/>
      <c r="B1088" s="1"/>
      <c r="C1088" s="1354"/>
      <c r="D1088" s="1354"/>
      <c r="E1088" s="1314"/>
      <c r="F1088" s="1314"/>
      <c r="G1088" s="1314"/>
      <c r="H1088" s="1314"/>
      <c r="I1088" s="1314"/>
      <c r="J1088" s="1314"/>
      <c r="K1088" s="1314"/>
      <c r="L1088" s="1314"/>
      <c r="M1088" s="1314"/>
      <c r="N1088" s="1314"/>
      <c r="O1088" s="1314"/>
      <c r="P1088" s="1314"/>
      <c r="Q1088" s="1314"/>
      <c r="R1088" s="1314"/>
      <c r="S1088" s="1314"/>
      <c r="T1088" s="1314"/>
      <c r="U1088" s="1314"/>
      <c r="V1088" s="1314"/>
      <c r="W1088" s="1314"/>
      <c r="X1088" s="1314"/>
      <c r="Y1088" s="1314"/>
      <c r="Z1088" s="1314"/>
      <c r="AA1088" s="1314"/>
      <c r="AB1088" s="1314"/>
      <c r="AC1088" s="1314"/>
      <c r="AD1088" s="1314"/>
      <c r="AE1088" s="1314"/>
      <c r="AF1088" s="1314"/>
      <c r="AG1088" s="1314"/>
      <c r="AH1088" s="1314"/>
      <c r="AI1088" s="1314"/>
      <c r="AJ1088" s="1314"/>
      <c r="AK1088" s="1314"/>
      <c r="AL1088" s="1314"/>
      <c r="AM1088" s="1314"/>
      <c r="AN1088" s="1314"/>
      <c r="AO1088" s="1314"/>
      <c r="AP1088" s="1314"/>
      <c r="AQ1088" s="1314"/>
      <c r="AR1088" s="1314"/>
      <c r="AS1088" s="14"/>
      <c r="AT1088" s="68"/>
    </row>
    <row r="1089" spans="1:45" ht="12.95" customHeight="1">
      <c r="A1089" s="1"/>
      <c r="B1089" s="1"/>
      <c r="C1089" s="1354"/>
      <c r="D1089" s="1354"/>
      <c r="E1089" s="454"/>
      <c r="F1089" s="454"/>
      <c r="G1089" s="454"/>
      <c r="H1089" s="454"/>
      <c r="I1089" s="454"/>
      <c r="J1089" s="454"/>
      <c r="K1089" s="454"/>
      <c r="L1089" s="454"/>
      <c r="M1089" s="454"/>
      <c r="N1089" s="454"/>
      <c r="O1089" s="454"/>
      <c r="P1089" s="454"/>
      <c r="Q1089" s="454"/>
      <c r="R1089" s="454"/>
      <c r="S1089" s="454"/>
      <c r="T1089" s="454"/>
      <c r="U1089" s="454"/>
      <c r="V1089" s="454"/>
      <c r="W1089" s="454"/>
      <c r="X1089" s="454"/>
      <c r="Y1089" s="454"/>
      <c r="Z1089" s="454"/>
      <c r="AA1089" s="454"/>
      <c r="AB1089" s="454"/>
      <c r="AC1089" s="454"/>
      <c r="AD1089" s="454"/>
      <c r="AE1089" s="454"/>
      <c r="AF1089" s="454"/>
      <c r="AG1089" s="454"/>
      <c r="AH1089" s="454"/>
      <c r="AI1089" s="454"/>
      <c r="AJ1089" s="454"/>
      <c r="AK1089" s="454"/>
      <c r="AS1089" s="14"/>
    </row>
    <row r="1090" spans="1:45" ht="12.95" customHeight="1">
      <c r="A1090" s="1352" t="s">
        <v>589</v>
      </c>
      <c r="B1090" s="1352"/>
      <c r="C1090" s="1354">
        <v>5</v>
      </c>
      <c r="D1090" s="1354"/>
      <c r="E1090" s="1314" t="s">
        <v>2193</v>
      </c>
      <c r="F1090" s="1314"/>
      <c r="G1090" s="1314"/>
      <c r="H1090" s="1314"/>
      <c r="I1090" s="1314"/>
      <c r="J1090" s="1314"/>
      <c r="K1090" s="1314"/>
      <c r="L1090" s="1314"/>
      <c r="M1090" s="1314"/>
      <c r="N1090" s="1314"/>
      <c r="O1090" s="1314"/>
      <c r="P1090" s="1314"/>
      <c r="Q1090" s="1314"/>
      <c r="R1090" s="1314"/>
      <c r="S1090" s="1314"/>
      <c r="T1090" s="1314"/>
      <c r="U1090" s="1314"/>
      <c r="V1090" s="1314"/>
      <c r="W1090" s="1314"/>
      <c r="X1090" s="1314"/>
      <c r="Y1090" s="1314"/>
      <c r="Z1090" s="1314"/>
      <c r="AA1090" s="1314"/>
      <c r="AB1090" s="1314"/>
      <c r="AC1090" s="1314"/>
      <c r="AD1090" s="1314"/>
      <c r="AE1090" s="1314"/>
      <c r="AF1090" s="1314"/>
      <c r="AG1090" s="1314"/>
      <c r="AH1090" s="1314"/>
      <c r="AI1090" s="1314"/>
      <c r="AJ1090" s="1314"/>
      <c r="AK1090" s="1314"/>
      <c r="AL1090" s="1314"/>
      <c r="AM1090" s="1314"/>
      <c r="AN1090" s="1314"/>
      <c r="AO1090" s="1314"/>
      <c r="AP1090" s="1314"/>
      <c r="AQ1090" s="1314"/>
      <c r="AR1090" s="1314"/>
      <c r="AS1090" s="14"/>
    </row>
    <row r="1091" spans="1:45" ht="12.95" customHeight="1">
      <c r="A1091" s="4"/>
      <c r="B1091" s="4"/>
      <c r="C1091" s="1354"/>
      <c r="D1091" s="1354"/>
      <c r="E1091" s="1314"/>
      <c r="F1091" s="1314"/>
      <c r="G1091" s="1314"/>
      <c r="H1091" s="1314"/>
      <c r="I1091" s="1314"/>
      <c r="J1091" s="1314"/>
      <c r="K1091" s="1314"/>
      <c r="L1091" s="1314"/>
      <c r="M1091" s="1314"/>
      <c r="N1091" s="1314"/>
      <c r="O1091" s="1314"/>
      <c r="P1091" s="1314"/>
      <c r="Q1091" s="1314"/>
      <c r="R1091" s="1314"/>
      <c r="S1091" s="1314"/>
      <c r="T1091" s="1314"/>
      <c r="U1091" s="1314"/>
      <c r="V1091" s="1314"/>
      <c r="W1091" s="1314"/>
      <c r="X1091" s="1314"/>
      <c r="Y1091" s="1314"/>
      <c r="Z1091" s="1314"/>
      <c r="AA1091" s="1314"/>
      <c r="AB1091" s="1314"/>
      <c r="AC1091" s="1314"/>
      <c r="AD1091" s="1314"/>
      <c r="AE1091" s="1314"/>
      <c r="AF1091" s="1314"/>
      <c r="AG1091" s="1314"/>
      <c r="AH1091" s="1314"/>
      <c r="AI1091" s="1314"/>
      <c r="AJ1091" s="1314"/>
      <c r="AK1091" s="1314"/>
      <c r="AL1091" s="1314"/>
      <c r="AM1091" s="1314"/>
      <c r="AN1091" s="1314"/>
      <c r="AO1091" s="1314"/>
      <c r="AP1091" s="1314"/>
      <c r="AQ1091" s="1314"/>
      <c r="AR1091" s="1314"/>
      <c r="AS1091" s="14"/>
    </row>
    <row r="1092" spans="1:45" ht="12.95" customHeight="1">
      <c r="A1092" s="4"/>
      <c r="B1092" s="4"/>
      <c r="C1092" s="1354"/>
      <c r="D1092" s="1354"/>
      <c r="E1092" s="1314"/>
      <c r="F1092" s="1314"/>
      <c r="G1092" s="1314"/>
      <c r="H1092" s="1314"/>
      <c r="I1092" s="1314"/>
      <c r="J1092" s="1314"/>
      <c r="K1092" s="1314"/>
      <c r="L1092" s="1314"/>
      <c r="M1092" s="1314"/>
      <c r="N1092" s="1314"/>
      <c r="O1092" s="1314"/>
      <c r="P1092" s="1314"/>
      <c r="Q1092" s="1314"/>
      <c r="R1092" s="1314"/>
      <c r="S1092" s="1314"/>
      <c r="T1092" s="1314"/>
      <c r="U1092" s="1314"/>
      <c r="V1092" s="1314"/>
      <c r="W1092" s="1314"/>
      <c r="X1092" s="1314"/>
      <c r="Y1092" s="1314"/>
      <c r="Z1092" s="1314"/>
      <c r="AA1092" s="1314"/>
      <c r="AB1092" s="1314"/>
      <c r="AC1092" s="1314"/>
      <c r="AD1092" s="1314"/>
      <c r="AE1092" s="1314"/>
      <c r="AF1092" s="1314"/>
      <c r="AG1092" s="1314"/>
      <c r="AH1092" s="1314"/>
      <c r="AI1092" s="1314"/>
      <c r="AJ1092" s="1314"/>
      <c r="AK1092" s="1314"/>
      <c r="AL1092" s="1314"/>
      <c r="AM1092" s="1314"/>
      <c r="AN1092" s="1314"/>
      <c r="AO1092" s="1314"/>
      <c r="AP1092" s="1314"/>
      <c r="AQ1092" s="1314"/>
      <c r="AR1092" s="1314"/>
      <c r="AS1092" s="14"/>
    </row>
    <row r="1093" spans="1:45" ht="12.95" customHeight="1">
      <c r="A1093" s="35"/>
      <c r="B1093" s="25"/>
      <c r="C1093" s="1354"/>
      <c r="D1093" s="1354"/>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c r="AS1093" s="14"/>
    </row>
    <row r="1094" spans="1:45" ht="12.95" customHeight="1">
      <c r="A1094" s="1352" t="s">
        <v>589</v>
      </c>
      <c r="B1094" s="1352"/>
      <c r="C1094" s="1354">
        <v>6</v>
      </c>
      <c r="D1094" s="1354"/>
      <c r="E1094" s="1314" t="s">
        <v>2194</v>
      </c>
      <c r="F1094" s="1314"/>
      <c r="G1094" s="1314"/>
      <c r="H1094" s="1314"/>
      <c r="I1094" s="1314"/>
      <c r="J1094" s="1314"/>
      <c r="K1094" s="1314"/>
      <c r="L1094" s="1314"/>
      <c r="M1094" s="1314"/>
      <c r="N1094" s="1314"/>
      <c r="O1094" s="1314"/>
      <c r="P1094" s="1314"/>
      <c r="Q1094" s="1314"/>
      <c r="R1094" s="1314"/>
      <c r="S1094" s="1314"/>
      <c r="T1094" s="1314"/>
      <c r="U1094" s="1314"/>
      <c r="V1094" s="1314"/>
      <c r="W1094" s="1314"/>
      <c r="X1094" s="1314"/>
      <c r="Y1094" s="1314"/>
      <c r="Z1094" s="1314"/>
      <c r="AA1094" s="1314"/>
      <c r="AB1094" s="1314"/>
      <c r="AC1094" s="1314"/>
      <c r="AD1094" s="1314"/>
      <c r="AE1094" s="1314"/>
      <c r="AF1094" s="1314"/>
      <c r="AG1094" s="1314"/>
      <c r="AH1094" s="1314"/>
      <c r="AI1094" s="1314"/>
      <c r="AJ1094" s="1314"/>
      <c r="AK1094" s="1314"/>
      <c r="AL1094" s="1314"/>
      <c r="AM1094" s="1314"/>
      <c r="AN1094" s="1314"/>
      <c r="AO1094" s="1314"/>
      <c r="AP1094" s="1314"/>
      <c r="AQ1094" s="1314"/>
      <c r="AR1094" s="1314"/>
      <c r="AS1094" s="14"/>
    </row>
    <row r="1095" spans="1:45" ht="12.95" customHeight="1">
      <c r="A1095" s="1"/>
      <c r="B1095" s="1"/>
      <c r="C1095" s="1"/>
      <c r="D1095" s="1"/>
      <c r="E1095" s="1314"/>
      <c r="F1095" s="1314"/>
      <c r="G1095" s="1314"/>
      <c r="H1095" s="1314"/>
      <c r="I1095" s="1314"/>
      <c r="J1095" s="1314"/>
      <c r="K1095" s="1314"/>
      <c r="L1095" s="1314"/>
      <c r="M1095" s="1314"/>
      <c r="N1095" s="1314"/>
      <c r="O1095" s="1314"/>
      <c r="P1095" s="1314"/>
      <c r="Q1095" s="1314"/>
      <c r="R1095" s="1314"/>
      <c r="S1095" s="1314"/>
      <c r="T1095" s="1314"/>
      <c r="U1095" s="1314"/>
      <c r="V1095" s="1314"/>
      <c r="W1095" s="1314"/>
      <c r="X1095" s="1314"/>
      <c r="Y1095" s="1314"/>
      <c r="Z1095" s="1314"/>
      <c r="AA1095" s="1314"/>
      <c r="AB1095" s="1314"/>
      <c r="AC1095" s="1314"/>
      <c r="AD1095" s="1314"/>
      <c r="AE1095" s="1314"/>
      <c r="AF1095" s="1314"/>
      <c r="AG1095" s="1314"/>
      <c r="AH1095" s="1314"/>
      <c r="AI1095" s="1314"/>
      <c r="AJ1095" s="1314"/>
      <c r="AK1095" s="1314"/>
      <c r="AL1095" s="1314"/>
      <c r="AM1095" s="1314"/>
      <c r="AN1095" s="1314"/>
      <c r="AO1095" s="1314"/>
      <c r="AP1095" s="1314"/>
      <c r="AQ1095" s="1314"/>
      <c r="AR1095" s="1314"/>
      <c r="AS1095" s="14"/>
    </row>
    <row r="1096" spans="1:45" ht="12.95" customHeight="1">
      <c r="A1096" s="1"/>
      <c r="B1096" s="1"/>
      <c r="C1096" s="1354"/>
      <c r="D1096" s="1354"/>
      <c r="E1096" s="1314"/>
      <c r="F1096" s="1314"/>
      <c r="G1096" s="1314"/>
      <c r="H1096" s="1314"/>
      <c r="I1096" s="1314"/>
      <c r="J1096" s="1314"/>
      <c r="K1096" s="1314"/>
      <c r="L1096" s="1314"/>
      <c r="M1096" s="1314"/>
      <c r="N1096" s="1314"/>
      <c r="O1096" s="1314"/>
      <c r="P1096" s="1314"/>
      <c r="Q1096" s="1314"/>
      <c r="R1096" s="1314"/>
      <c r="S1096" s="1314"/>
      <c r="T1096" s="1314"/>
      <c r="U1096" s="1314"/>
      <c r="V1096" s="1314"/>
      <c r="W1096" s="1314"/>
      <c r="X1096" s="1314"/>
      <c r="Y1096" s="1314"/>
      <c r="Z1096" s="1314"/>
      <c r="AA1096" s="1314"/>
      <c r="AB1096" s="1314"/>
      <c r="AC1096" s="1314"/>
      <c r="AD1096" s="1314"/>
      <c r="AE1096" s="1314"/>
      <c r="AF1096" s="1314"/>
      <c r="AG1096" s="1314"/>
      <c r="AH1096" s="1314"/>
      <c r="AI1096" s="1314"/>
      <c r="AJ1096" s="1314"/>
      <c r="AK1096" s="1314"/>
      <c r="AL1096" s="1314"/>
      <c r="AM1096" s="1314"/>
      <c r="AN1096" s="1314"/>
      <c r="AO1096" s="1314"/>
      <c r="AP1096" s="1314"/>
      <c r="AQ1096" s="1314"/>
      <c r="AR1096" s="1314"/>
      <c r="AS1096" s="14"/>
    </row>
    <row r="1097" spans="1:45" ht="12.95" customHeight="1">
      <c r="A1097" s="35"/>
      <c r="B1097" s="25"/>
      <c r="C1097" s="1354"/>
      <c r="D1097" s="1354"/>
      <c r="E1097" s="454"/>
      <c r="F1097" s="454"/>
      <c r="G1097" s="454"/>
      <c r="H1097" s="454"/>
      <c r="I1097" s="454"/>
      <c r="J1097" s="454"/>
      <c r="K1097" s="454"/>
      <c r="L1097" s="454"/>
      <c r="M1097" s="454"/>
      <c r="N1097" s="454"/>
      <c r="O1097" s="454"/>
      <c r="P1097" s="454"/>
      <c r="Q1097" s="454"/>
      <c r="R1097" s="454"/>
      <c r="S1097" s="454"/>
      <c r="T1097" s="454"/>
      <c r="U1097" s="454"/>
      <c r="V1097" s="454"/>
      <c r="W1097" s="454"/>
      <c r="X1097" s="454"/>
      <c r="Y1097" s="454"/>
      <c r="Z1097" s="454"/>
      <c r="AA1097" s="454"/>
      <c r="AB1097" s="454"/>
      <c r="AC1097" s="454"/>
      <c r="AD1097" s="454"/>
      <c r="AE1097" s="454"/>
      <c r="AF1097" s="454"/>
      <c r="AG1097" s="454"/>
      <c r="AH1097" s="454"/>
      <c r="AI1097" s="454"/>
      <c r="AJ1097" s="454"/>
      <c r="AK1097" s="454"/>
      <c r="AS1097" s="14"/>
    </row>
    <row r="1098" spans="1:45" ht="12.95" customHeight="1">
      <c r="A1098" s="1352" t="s">
        <v>589</v>
      </c>
      <c r="B1098" s="1352"/>
      <c r="C1098" s="1354">
        <v>7</v>
      </c>
      <c r="D1098" s="1354"/>
      <c r="E1098" s="1314" t="s">
        <v>2092</v>
      </c>
      <c r="F1098" s="1314"/>
      <c r="G1098" s="1314"/>
      <c r="H1098" s="1314"/>
      <c r="I1098" s="1314"/>
      <c r="J1098" s="1314"/>
      <c r="K1098" s="1314"/>
      <c r="L1098" s="1314"/>
      <c r="M1098" s="1314"/>
      <c r="N1098" s="1314"/>
      <c r="O1098" s="1314"/>
      <c r="P1098" s="1314"/>
      <c r="Q1098" s="1314"/>
      <c r="R1098" s="1314"/>
      <c r="S1098" s="1314"/>
      <c r="T1098" s="1314"/>
      <c r="U1098" s="1314"/>
      <c r="V1098" s="1314"/>
      <c r="W1098" s="1314"/>
      <c r="X1098" s="1314"/>
      <c r="Y1098" s="1314"/>
      <c r="Z1098" s="1314"/>
      <c r="AA1098" s="1314"/>
      <c r="AB1098" s="1314"/>
      <c r="AC1098" s="1314"/>
      <c r="AD1098" s="1314"/>
      <c r="AE1098" s="1314"/>
      <c r="AF1098" s="1314"/>
      <c r="AG1098" s="1314"/>
      <c r="AH1098" s="1314"/>
      <c r="AI1098" s="1314"/>
      <c r="AJ1098" s="1314"/>
      <c r="AK1098" s="1314"/>
      <c r="AL1098" s="1314"/>
      <c r="AM1098" s="1314"/>
      <c r="AN1098" s="1314"/>
      <c r="AO1098" s="1314"/>
      <c r="AP1098" s="1314"/>
      <c r="AQ1098" s="1314"/>
      <c r="AR1098" s="1314"/>
      <c r="AS1098" s="14"/>
    </row>
    <row r="1099" spans="1:45" ht="12.95" customHeight="1">
      <c r="A1099" s="1"/>
      <c r="B1099" s="1"/>
      <c r="C1099" s="1354"/>
      <c r="D1099" s="1354"/>
      <c r="E1099" s="1314"/>
      <c r="F1099" s="1314"/>
      <c r="G1099" s="1314"/>
      <c r="H1099" s="1314"/>
      <c r="I1099" s="1314"/>
      <c r="J1099" s="1314"/>
      <c r="K1099" s="1314"/>
      <c r="L1099" s="1314"/>
      <c r="M1099" s="1314"/>
      <c r="N1099" s="1314"/>
      <c r="O1099" s="1314"/>
      <c r="P1099" s="1314"/>
      <c r="Q1099" s="1314"/>
      <c r="R1099" s="1314"/>
      <c r="S1099" s="1314"/>
      <c r="T1099" s="1314"/>
      <c r="U1099" s="1314"/>
      <c r="V1099" s="1314"/>
      <c r="W1099" s="1314"/>
      <c r="X1099" s="1314"/>
      <c r="Y1099" s="1314"/>
      <c r="Z1099" s="1314"/>
      <c r="AA1099" s="1314"/>
      <c r="AB1099" s="1314"/>
      <c r="AC1099" s="1314"/>
      <c r="AD1099" s="1314"/>
      <c r="AE1099" s="1314"/>
      <c r="AF1099" s="1314"/>
      <c r="AG1099" s="1314"/>
      <c r="AH1099" s="1314"/>
      <c r="AI1099" s="1314"/>
      <c r="AJ1099" s="1314"/>
      <c r="AK1099" s="1314"/>
      <c r="AL1099" s="1314"/>
      <c r="AM1099" s="1314"/>
      <c r="AN1099" s="1314"/>
      <c r="AO1099" s="1314"/>
      <c r="AP1099" s="1314"/>
      <c r="AQ1099" s="1314"/>
      <c r="AR1099" s="1314"/>
      <c r="AS1099" s="14"/>
    </row>
    <row r="1100" spans="1:45" ht="12.95" customHeight="1">
      <c r="A1100" s="1"/>
      <c r="B1100" s="1"/>
      <c r="C1100" s="1354"/>
      <c r="D1100" s="1354"/>
      <c r="E1100" s="1314"/>
      <c r="F1100" s="1314"/>
      <c r="G1100" s="1314"/>
      <c r="H1100" s="1314"/>
      <c r="I1100" s="1314"/>
      <c r="J1100" s="1314"/>
      <c r="K1100" s="1314"/>
      <c r="L1100" s="1314"/>
      <c r="M1100" s="1314"/>
      <c r="N1100" s="1314"/>
      <c r="O1100" s="1314"/>
      <c r="P1100" s="1314"/>
      <c r="Q1100" s="1314"/>
      <c r="R1100" s="1314"/>
      <c r="S1100" s="1314"/>
      <c r="T1100" s="1314"/>
      <c r="U1100" s="1314"/>
      <c r="V1100" s="1314"/>
      <c r="W1100" s="1314"/>
      <c r="X1100" s="1314"/>
      <c r="Y1100" s="1314"/>
      <c r="Z1100" s="1314"/>
      <c r="AA1100" s="1314"/>
      <c r="AB1100" s="1314"/>
      <c r="AC1100" s="1314"/>
      <c r="AD1100" s="1314"/>
      <c r="AE1100" s="1314"/>
      <c r="AF1100" s="1314"/>
      <c r="AG1100" s="1314"/>
      <c r="AH1100" s="1314"/>
      <c r="AI1100" s="1314"/>
      <c r="AJ1100" s="1314"/>
      <c r="AK1100" s="1314"/>
      <c r="AL1100" s="1314"/>
      <c r="AM1100" s="1314"/>
      <c r="AN1100" s="1314"/>
      <c r="AO1100" s="1314"/>
      <c r="AP1100" s="1314"/>
      <c r="AQ1100" s="1314"/>
      <c r="AR1100" s="1314"/>
      <c r="AS1100" s="14"/>
    </row>
    <row r="1101" spans="1:45" ht="12.95" customHeight="1">
      <c r="A1101" s="1"/>
      <c r="B1101" s="1"/>
      <c r="C1101" s="1354"/>
      <c r="D1101" s="1354"/>
      <c r="E1101" s="454"/>
      <c r="F1101" s="454"/>
      <c r="G1101" s="454"/>
      <c r="H1101" s="454"/>
      <c r="I1101" s="454"/>
      <c r="J1101" s="454"/>
      <c r="K1101" s="454"/>
      <c r="L1101" s="454"/>
      <c r="M1101" s="454"/>
      <c r="N1101" s="454"/>
      <c r="O1101" s="454"/>
      <c r="P1101" s="454"/>
      <c r="Q1101" s="454"/>
      <c r="R1101" s="454"/>
      <c r="S1101" s="454"/>
      <c r="T1101" s="454"/>
      <c r="U1101" s="454"/>
      <c r="V1101" s="454"/>
      <c r="W1101" s="454"/>
      <c r="X1101" s="454"/>
      <c r="Y1101" s="454"/>
      <c r="Z1101" s="454"/>
      <c r="AA1101" s="454"/>
      <c r="AB1101" s="454"/>
      <c r="AC1101" s="454"/>
      <c r="AD1101" s="454"/>
      <c r="AE1101" s="454"/>
      <c r="AF1101" s="454"/>
      <c r="AG1101" s="454"/>
      <c r="AH1101" s="454"/>
      <c r="AI1101" s="454"/>
      <c r="AJ1101" s="454"/>
      <c r="AK1101" s="454"/>
    </row>
    <row r="1102" spans="1:45" ht="12.95" customHeight="1">
      <c r="A1102" s="35"/>
      <c r="B1102" s="25"/>
      <c r="C1102" s="1354"/>
      <c r="D1102" s="1354"/>
      <c r="E1102" s="454"/>
      <c r="F1102" s="454"/>
      <c r="G1102" s="454"/>
      <c r="H1102" s="454"/>
      <c r="I1102" s="454"/>
      <c r="J1102" s="454"/>
      <c r="K1102" s="454"/>
      <c r="L1102" s="454"/>
      <c r="M1102" s="454"/>
      <c r="N1102" s="454"/>
      <c r="O1102" s="454"/>
      <c r="P1102" s="454"/>
      <c r="Q1102" s="454"/>
      <c r="R1102" s="454"/>
      <c r="S1102" s="454"/>
      <c r="T1102" s="454"/>
      <c r="U1102" s="454"/>
      <c r="V1102" s="454"/>
      <c r="W1102" s="454"/>
      <c r="X1102" s="454"/>
      <c r="Y1102" s="454"/>
      <c r="Z1102" s="454"/>
      <c r="AA1102" s="454"/>
      <c r="AB1102" s="454"/>
      <c r="AC1102" s="454"/>
      <c r="AD1102" s="454"/>
      <c r="AE1102" s="454"/>
      <c r="AF1102" s="454"/>
      <c r="AG1102" s="454"/>
      <c r="AH1102" s="454"/>
      <c r="AI1102" s="454"/>
      <c r="AJ1102" s="454"/>
      <c r="AK1102" s="454"/>
    </row>
    <row r="1103" spans="1:45" ht="12.95" customHeight="1">
      <c r="A1103" s="1352" t="s">
        <v>589</v>
      </c>
      <c r="B1103" s="1352"/>
      <c r="C1103" s="1354">
        <v>8</v>
      </c>
      <c r="D1103" s="1354"/>
      <c r="E1103" s="1314" t="s">
        <v>1071</v>
      </c>
      <c r="F1103" s="1314"/>
      <c r="G1103" s="1314"/>
      <c r="H1103" s="1314"/>
      <c r="I1103" s="1314"/>
      <c r="J1103" s="1314"/>
      <c r="K1103" s="1314"/>
      <c r="L1103" s="1314"/>
      <c r="M1103" s="1314"/>
      <c r="N1103" s="1314"/>
      <c r="O1103" s="1314"/>
      <c r="P1103" s="1314"/>
      <c r="Q1103" s="1314"/>
      <c r="R1103" s="1314"/>
      <c r="S1103" s="1314"/>
      <c r="T1103" s="1314"/>
      <c r="U1103" s="1314"/>
      <c r="V1103" s="1314"/>
      <c r="W1103" s="1314"/>
      <c r="X1103" s="1314"/>
      <c r="Y1103" s="1314"/>
      <c r="Z1103" s="1314"/>
      <c r="AA1103" s="1314"/>
      <c r="AB1103" s="1314"/>
      <c r="AC1103" s="1314"/>
      <c r="AD1103" s="1314"/>
      <c r="AE1103" s="1314"/>
      <c r="AF1103" s="1314"/>
      <c r="AG1103" s="1314"/>
      <c r="AH1103" s="1314"/>
      <c r="AI1103" s="1314"/>
      <c r="AJ1103" s="1314"/>
      <c r="AK1103" s="1314"/>
      <c r="AL1103" s="1314"/>
      <c r="AM1103" s="1314"/>
      <c r="AN1103" s="1314"/>
      <c r="AO1103" s="1314"/>
      <c r="AP1103" s="1314"/>
      <c r="AQ1103" s="1314"/>
      <c r="AR1103" s="1314"/>
    </row>
    <row r="1104" spans="1:45" ht="12.95" customHeight="1">
      <c r="A1104" s="35"/>
      <c r="B1104" s="25"/>
      <c r="C1104" s="1354"/>
      <c r="D1104" s="1354"/>
      <c r="E1104" s="1314"/>
      <c r="F1104" s="1314"/>
      <c r="G1104" s="1314"/>
      <c r="H1104" s="1314"/>
      <c r="I1104" s="1314"/>
      <c r="J1104" s="1314"/>
      <c r="K1104" s="1314"/>
      <c r="L1104" s="1314"/>
      <c r="M1104" s="1314"/>
      <c r="N1104" s="1314"/>
      <c r="O1104" s="1314"/>
      <c r="P1104" s="1314"/>
      <c r="Q1104" s="1314"/>
      <c r="R1104" s="1314"/>
      <c r="S1104" s="1314"/>
      <c r="T1104" s="1314"/>
      <c r="U1104" s="1314"/>
      <c r="V1104" s="1314"/>
      <c r="W1104" s="1314"/>
      <c r="X1104" s="1314"/>
      <c r="Y1104" s="1314"/>
      <c r="Z1104" s="1314"/>
      <c r="AA1104" s="1314"/>
      <c r="AB1104" s="1314"/>
      <c r="AC1104" s="1314"/>
      <c r="AD1104" s="1314"/>
      <c r="AE1104" s="1314"/>
      <c r="AF1104" s="1314"/>
      <c r="AG1104" s="1314"/>
      <c r="AH1104" s="1314"/>
      <c r="AI1104" s="1314"/>
      <c r="AJ1104" s="1314"/>
      <c r="AK1104" s="1314"/>
      <c r="AL1104" s="1314"/>
      <c r="AM1104" s="1314"/>
      <c r="AN1104" s="1314"/>
      <c r="AO1104" s="1314"/>
      <c r="AP1104" s="1314"/>
      <c r="AQ1104" s="1314"/>
      <c r="AR1104" s="1314"/>
    </row>
    <row r="1105" spans="1:44" ht="12.95" customHeight="1">
      <c r="A1105" s="35"/>
      <c r="B1105" s="25"/>
      <c r="C1105" s="1354"/>
      <c r="D1105" s="1354"/>
      <c r="E1105" s="454"/>
      <c r="F1105" s="454"/>
      <c r="G1105" s="454"/>
      <c r="H1105" s="454"/>
      <c r="I1105" s="454"/>
      <c r="J1105" s="454"/>
      <c r="K1105" s="454"/>
      <c r="L1105" s="454"/>
      <c r="M1105" s="454"/>
      <c r="N1105" s="454"/>
      <c r="O1105" s="454"/>
      <c r="P1105" s="454"/>
      <c r="Q1105" s="454"/>
      <c r="R1105" s="454"/>
      <c r="S1105" s="454"/>
      <c r="T1105" s="454"/>
      <c r="U1105" s="454"/>
      <c r="V1105" s="454"/>
      <c r="W1105" s="454"/>
      <c r="X1105" s="454"/>
      <c r="Y1105" s="454"/>
      <c r="Z1105" s="454"/>
      <c r="AA1105" s="454"/>
      <c r="AB1105" s="454"/>
      <c r="AC1105" s="454"/>
      <c r="AD1105" s="454"/>
      <c r="AE1105" s="454"/>
      <c r="AF1105" s="454"/>
      <c r="AG1105" s="454"/>
      <c r="AH1105" s="454"/>
      <c r="AI1105" s="454"/>
      <c r="AJ1105" s="454"/>
      <c r="AK1105" s="454"/>
    </row>
    <row r="1106" spans="1:44" ht="12.95" customHeight="1">
      <c r="A1106" s="1352" t="s">
        <v>589</v>
      </c>
      <c r="B1106" s="1352"/>
      <c r="C1106" s="1353">
        <v>9</v>
      </c>
      <c r="D1106" s="1353"/>
      <c r="E1106" s="1314" t="s">
        <v>1073</v>
      </c>
      <c r="F1106" s="1314"/>
      <c r="G1106" s="1314"/>
      <c r="H1106" s="1314"/>
      <c r="I1106" s="1314"/>
      <c r="J1106" s="1314"/>
      <c r="K1106" s="1314"/>
      <c r="L1106" s="1314"/>
      <c r="M1106" s="1314"/>
      <c r="N1106" s="1314"/>
      <c r="O1106" s="1314"/>
      <c r="P1106" s="1314"/>
      <c r="Q1106" s="1314"/>
      <c r="R1106" s="1314"/>
      <c r="S1106" s="1314"/>
      <c r="T1106" s="1314"/>
      <c r="U1106" s="1314"/>
      <c r="V1106" s="1314"/>
      <c r="W1106" s="1314"/>
      <c r="X1106" s="1314"/>
      <c r="Y1106" s="1314"/>
      <c r="Z1106" s="1314"/>
      <c r="AA1106" s="1314"/>
      <c r="AB1106" s="1314"/>
      <c r="AC1106" s="1314"/>
      <c r="AD1106" s="1314"/>
      <c r="AE1106" s="1314"/>
      <c r="AF1106" s="1314"/>
      <c r="AG1106" s="1314"/>
      <c r="AH1106" s="1314"/>
      <c r="AI1106" s="1314"/>
      <c r="AJ1106" s="1314"/>
      <c r="AK1106" s="1314"/>
      <c r="AL1106" s="1314"/>
      <c r="AM1106" s="1314"/>
      <c r="AN1106" s="1314"/>
      <c r="AO1106" s="1314"/>
      <c r="AP1106" s="1314"/>
      <c r="AQ1106" s="1314"/>
      <c r="AR1106" s="1314"/>
    </row>
    <row r="1107" spans="1:44" ht="12.95" customHeight="1">
      <c r="A1107" s="1"/>
      <c r="B1107" s="1"/>
      <c r="C1107" s="1353"/>
      <c r="D1107" s="1353"/>
      <c r="E1107" s="1314"/>
      <c r="F1107" s="1314"/>
      <c r="G1107" s="1314"/>
      <c r="H1107" s="1314"/>
      <c r="I1107" s="1314"/>
      <c r="J1107" s="1314"/>
      <c r="K1107" s="1314"/>
      <c r="L1107" s="1314"/>
      <c r="M1107" s="1314"/>
      <c r="N1107" s="1314"/>
      <c r="O1107" s="1314"/>
      <c r="P1107" s="1314"/>
      <c r="Q1107" s="1314"/>
      <c r="R1107" s="1314"/>
      <c r="S1107" s="1314"/>
      <c r="T1107" s="1314"/>
      <c r="U1107" s="1314"/>
      <c r="V1107" s="1314"/>
      <c r="W1107" s="1314"/>
      <c r="X1107" s="1314"/>
      <c r="Y1107" s="1314"/>
      <c r="Z1107" s="1314"/>
      <c r="AA1107" s="1314"/>
      <c r="AB1107" s="1314"/>
      <c r="AC1107" s="1314"/>
      <c r="AD1107" s="1314"/>
      <c r="AE1107" s="1314"/>
      <c r="AF1107" s="1314"/>
      <c r="AG1107" s="1314"/>
      <c r="AH1107" s="1314"/>
      <c r="AI1107" s="1314"/>
      <c r="AJ1107" s="1314"/>
      <c r="AK1107" s="1314"/>
      <c r="AL1107" s="1314"/>
      <c r="AM1107" s="1314"/>
      <c r="AN1107" s="1314"/>
      <c r="AO1107" s="1314"/>
      <c r="AP1107" s="1314"/>
      <c r="AQ1107" s="1314"/>
      <c r="AR1107" s="1314"/>
    </row>
    <row r="1108" spans="1:44" ht="12.95" customHeight="1">
      <c r="A1108" s="35"/>
      <c r="B1108" s="25"/>
      <c r="C1108" s="1353"/>
      <c r="D1108" s="1353"/>
      <c r="E1108" s="454"/>
      <c r="F1108" s="454"/>
      <c r="G1108" s="454"/>
      <c r="H1108" s="454"/>
      <c r="I1108" s="454"/>
      <c r="J1108" s="454"/>
      <c r="K1108" s="454"/>
      <c r="L1108" s="454"/>
      <c r="M1108" s="454"/>
      <c r="N1108" s="454"/>
      <c r="O1108" s="454"/>
      <c r="P1108" s="454"/>
      <c r="Q1108" s="454"/>
      <c r="R1108" s="454"/>
      <c r="S1108" s="454"/>
      <c r="T1108" s="454"/>
      <c r="U1108" s="454"/>
      <c r="V1108" s="454"/>
      <c r="W1108" s="454"/>
      <c r="X1108" s="454"/>
      <c r="Y1108" s="454"/>
      <c r="Z1108" s="454"/>
      <c r="AA1108" s="454"/>
      <c r="AB1108" s="454"/>
      <c r="AC1108" s="454"/>
      <c r="AD1108" s="454"/>
      <c r="AE1108" s="454"/>
      <c r="AF1108" s="454"/>
      <c r="AG1108" s="454"/>
      <c r="AH1108" s="454"/>
      <c r="AI1108" s="454"/>
      <c r="AJ1108" s="454"/>
      <c r="AK1108" s="454"/>
    </row>
    <row r="1109" spans="1:44" ht="12.95" customHeight="1">
      <c r="A1109" s="1352" t="s">
        <v>589</v>
      </c>
      <c r="B1109" s="1352"/>
      <c r="C1109" s="1353">
        <v>10</v>
      </c>
      <c r="D1109" s="1353"/>
      <c r="E1109" s="1316" t="s">
        <v>2191</v>
      </c>
      <c r="F1109" s="1316"/>
      <c r="G1109" s="1316"/>
      <c r="H1109" s="1316"/>
      <c r="I1109" s="1316"/>
      <c r="J1109" s="1316"/>
      <c r="K1109" s="1316"/>
      <c r="L1109" s="1316"/>
      <c r="M1109" s="1316"/>
      <c r="N1109" s="1316"/>
      <c r="O1109" s="1316"/>
      <c r="P1109" s="1316"/>
      <c r="Q1109" s="1316"/>
      <c r="R1109" s="1316"/>
      <c r="S1109" s="1316"/>
      <c r="T1109" s="1316"/>
      <c r="U1109" s="1316"/>
      <c r="V1109" s="1316"/>
      <c r="W1109" s="1316"/>
      <c r="X1109" s="1316"/>
      <c r="Y1109" s="1316"/>
      <c r="Z1109" s="1316"/>
      <c r="AA1109" s="1316"/>
      <c r="AB1109" s="1316"/>
      <c r="AC1109" s="1316"/>
      <c r="AD1109" s="1316"/>
      <c r="AE1109" s="1316"/>
      <c r="AF1109" s="1316"/>
      <c r="AG1109" s="1316"/>
      <c r="AH1109" s="1316"/>
      <c r="AI1109" s="1316"/>
      <c r="AJ1109" s="1316"/>
      <c r="AK1109" s="1316"/>
      <c r="AL1109" s="1316"/>
      <c r="AM1109" s="1316"/>
      <c r="AN1109" s="1316"/>
      <c r="AO1109" s="1316"/>
      <c r="AP1109" s="1316"/>
      <c r="AQ1109" s="1316"/>
      <c r="AR1109" s="1316"/>
    </row>
    <row r="1110" spans="1:44" ht="12.95" customHeight="1">
      <c r="A1110" s="1"/>
      <c r="B1110" s="1"/>
      <c r="C1110" s="199"/>
      <c r="D1110" s="1153"/>
      <c r="E1110" s="1316"/>
      <c r="F1110" s="1316"/>
      <c r="G1110" s="1316"/>
      <c r="H1110" s="1316"/>
      <c r="I1110" s="1316"/>
      <c r="J1110" s="1316"/>
      <c r="K1110" s="1316"/>
      <c r="L1110" s="1316"/>
      <c r="M1110" s="1316"/>
      <c r="N1110" s="1316"/>
      <c r="O1110" s="1316"/>
      <c r="P1110" s="1316"/>
      <c r="Q1110" s="1316"/>
      <c r="R1110" s="1316"/>
      <c r="S1110" s="1316"/>
      <c r="T1110" s="1316"/>
      <c r="U1110" s="1316"/>
      <c r="V1110" s="1316"/>
      <c r="W1110" s="1316"/>
      <c r="X1110" s="1316"/>
      <c r="Y1110" s="1316"/>
      <c r="Z1110" s="1316"/>
      <c r="AA1110" s="1316"/>
      <c r="AB1110" s="1316"/>
      <c r="AC1110" s="1316"/>
      <c r="AD1110" s="1316"/>
      <c r="AE1110" s="1316"/>
      <c r="AF1110" s="1316"/>
      <c r="AG1110" s="1316"/>
      <c r="AH1110" s="1316"/>
      <c r="AI1110" s="1316"/>
      <c r="AJ1110" s="1316"/>
      <c r="AK1110" s="1316"/>
      <c r="AL1110" s="1316"/>
      <c r="AM1110" s="1316"/>
      <c r="AN1110" s="1316"/>
      <c r="AO1110" s="1316"/>
      <c r="AP1110" s="1316"/>
      <c r="AQ1110" s="1316"/>
      <c r="AR1110" s="1316"/>
    </row>
    <row r="1111" spans="1:44" ht="12.95" customHeight="1">
      <c r="A1111" s="1"/>
      <c r="B1111" s="1"/>
      <c r="C1111" s="199"/>
      <c r="D1111" s="1153"/>
      <c r="E1111" s="1153"/>
      <c r="F1111" s="1153"/>
      <c r="G1111" s="1153"/>
      <c r="H1111" s="1153"/>
      <c r="I1111" s="1153"/>
      <c r="J1111" s="1153"/>
      <c r="K1111" s="1153"/>
      <c r="L1111" s="1153"/>
      <c r="M1111" s="1153"/>
      <c r="N1111" s="1153"/>
      <c r="O1111" s="1153"/>
      <c r="P1111" s="1153"/>
      <c r="Q1111" s="1153"/>
      <c r="R1111" s="1153"/>
      <c r="S1111" s="1153"/>
      <c r="T1111" s="1153"/>
      <c r="U1111" s="1153"/>
      <c r="V1111" s="1153"/>
      <c r="W1111" s="1153"/>
      <c r="X1111" s="1153"/>
      <c r="Y1111" s="1153"/>
      <c r="Z1111" s="1153"/>
      <c r="AA1111" s="1153"/>
      <c r="AB1111" s="1153"/>
      <c r="AC1111" s="1153"/>
      <c r="AD1111" s="1153"/>
      <c r="AE1111" s="1153"/>
      <c r="AF1111" s="1153"/>
      <c r="AG1111" s="1153"/>
      <c r="AH1111" s="1153"/>
      <c r="AI1111" s="1153"/>
      <c r="AJ1111" s="1153"/>
      <c r="AK1111" s="1153"/>
    </row>
    <row r="1112" spans="1:44" ht="12.95" customHeight="1">
      <c r="A1112" s="1352" t="s">
        <v>589</v>
      </c>
      <c r="B1112" s="1352"/>
      <c r="C1112" s="1353">
        <v>11</v>
      </c>
      <c r="D1112" s="1353"/>
      <c r="E1112" s="1316" t="s">
        <v>2192</v>
      </c>
      <c r="F1112" s="1316"/>
      <c r="G1112" s="1316"/>
      <c r="H1112" s="1316"/>
      <c r="I1112" s="1316"/>
      <c r="J1112" s="1316"/>
      <c r="K1112" s="1316"/>
      <c r="L1112" s="1316"/>
      <c r="M1112" s="1316"/>
      <c r="N1112" s="1316"/>
      <c r="O1112" s="1316"/>
      <c r="P1112" s="1316"/>
      <c r="Q1112" s="1316"/>
      <c r="R1112" s="1316"/>
      <c r="S1112" s="1316"/>
      <c r="T1112" s="1316"/>
      <c r="U1112" s="1316"/>
      <c r="V1112" s="1316"/>
      <c r="W1112" s="1316"/>
      <c r="X1112" s="1316"/>
      <c r="Y1112" s="1316"/>
      <c r="Z1112" s="1316"/>
      <c r="AA1112" s="1316"/>
      <c r="AB1112" s="1316"/>
      <c r="AC1112" s="1316"/>
      <c r="AD1112" s="1316"/>
      <c r="AE1112" s="1316"/>
      <c r="AF1112" s="1316"/>
      <c r="AG1112" s="1316"/>
      <c r="AH1112" s="1316"/>
      <c r="AI1112" s="1316"/>
      <c r="AJ1112" s="1316"/>
      <c r="AK1112" s="1316"/>
      <c r="AL1112" s="1316"/>
      <c r="AM1112" s="1316"/>
      <c r="AN1112" s="1316"/>
      <c r="AO1112" s="1316"/>
      <c r="AP1112" s="1316"/>
      <c r="AQ1112" s="1316"/>
      <c r="AR1112" s="1316"/>
    </row>
    <row r="1113" spans="1:44" ht="12.95" customHeight="1">
      <c r="A1113" s="1"/>
      <c r="B1113" s="1"/>
      <c r="C1113" s="199"/>
      <c r="D1113" s="1153"/>
      <c r="E1113" s="1316"/>
      <c r="F1113" s="1316"/>
      <c r="G1113" s="1316"/>
      <c r="H1113" s="1316"/>
      <c r="I1113" s="1316"/>
      <c r="J1113" s="1316"/>
      <c r="K1113" s="1316"/>
      <c r="L1113" s="1316"/>
      <c r="M1113" s="1316"/>
      <c r="N1113" s="1316"/>
      <c r="O1113" s="1316"/>
      <c r="P1113" s="1316"/>
      <c r="Q1113" s="1316"/>
      <c r="R1113" s="1316"/>
      <c r="S1113" s="1316"/>
      <c r="T1113" s="1316"/>
      <c r="U1113" s="1316"/>
      <c r="V1113" s="1316"/>
      <c r="W1113" s="1316"/>
      <c r="X1113" s="1316"/>
      <c r="Y1113" s="1316"/>
      <c r="Z1113" s="1316"/>
      <c r="AA1113" s="1316"/>
      <c r="AB1113" s="1316"/>
      <c r="AC1113" s="1316"/>
      <c r="AD1113" s="1316"/>
      <c r="AE1113" s="1316"/>
      <c r="AF1113" s="1316"/>
      <c r="AG1113" s="1316"/>
      <c r="AH1113" s="1316"/>
      <c r="AI1113" s="1316"/>
      <c r="AJ1113" s="1316"/>
      <c r="AK1113" s="1316"/>
      <c r="AL1113" s="1316"/>
      <c r="AM1113" s="1316"/>
      <c r="AN1113" s="1316"/>
      <c r="AO1113" s="1316"/>
      <c r="AP1113" s="1316"/>
      <c r="AQ1113" s="1316"/>
      <c r="AR1113" s="1316"/>
    </row>
    <row r="1114" spans="1:44" ht="12.95" customHeight="1">
      <c r="A1114" s="1"/>
      <c r="B1114" s="1"/>
      <c r="C1114" s="199"/>
      <c r="D1114" s="1153"/>
      <c r="E1114" s="1153"/>
      <c r="F1114" s="1153"/>
      <c r="G1114" s="1153"/>
      <c r="H1114" s="1153"/>
      <c r="I1114" s="1153"/>
      <c r="J1114" s="1153"/>
      <c r="K1114" s="1153"/>
      <c r="L1114" s="1153"/>
      <c r="M1114" s="1153"/>
      <c r="N1114" s="1153"/>
      <c r="O1114" s="1153"/>
      <c r="P1114" s="1153"/>
      <c r="Q1114" s="1153"/>
      <c r="R1114" s="1153"/>
      <c r="S1114" s="1153"/>
      <c r="T1114" s="1153"/>
      <c r="U1114" s="1153"/>
      <c r="V1114" s="1153"/>
      <c r="W1114" s="1153"/>
      <c r="X1114" s="1153"/>
      <c r="Y1114" s="1153"/>
      <c r="Z1114" s="1153"/>
      <c r="AA1114" s="1153"/>
      <c r="AB1114" s="1153"/>
      <c r="AC1114" s="1153"/>
      <c r="AD1114" s="1153"/>
      <c r="AE1114" s="1153"/>
      <c r="AF1114" s="1153"/>
      <c r="AG1114" s="1153"/>
      <c r="AH1114" s="1153"/>
      <c r="AI1114" s="1153"/>
      <c r="AJ1114" s="1153"/>
      <c r="AK1114" s="1153"/>
    </row>
    <row r="1115" spans="1:44" ht="12.95" hidden="1" customHeight="1">
      <c r="A1115" s="1"/>
      <c r="B1115" s="1"/>
      <c r="C1115" s="199"/>
      <c r="D1115" s="1153"/>
      <c r="E1115" s="1153"/>
      <c r="F1115" s="1153"/>
      <c r="G1115" s="1153"/>
      <c r="H1115" s="1153"/>
      <c r="I1115" s="1153"/>
      <c r="J1115" s="1153"/>
      <c r="K1115" s="1153"/>
      <c r="L1115" s="1153"/>
      <c r="M1115" s="1153"/>
      <c r="N1115" s="1153"/>
      <c r="O1115" s="1153"/>
      <c r="P1115" s="1153"/>
      <c r="Q1115" s="1153"/>
      <c r="R1115" s="1153"/>
      <c r="S1115" s="1153"/>
      <c r="T1115" s="1153"/>
      <c r="U1115" s="1153"/>
      <c r="V1115" s="1153"/>
      <c r="W1115" s="1153"/>
      <c r="X1115" s="1153"/>
      <c r="Y1115" s="1153"/>
      <c r="Z1115" s="1153"/>
      <c r="AA1115" s="1153"/>
      <c r="AB1115" s="1153"/>
      <c r="AC1115" s="1153"/>
      <c r="AD1115" s="1153"/>
      <c r="AE1115" s="1153"/>
      <c r="AF1115" s="1153"/>
      <c r="AG1115" s="1153"/>
      <c r="AH1115" s="1153"/>
      <c r="AI1115" s="1153"/>
      <c r="AJ1115" s="1153"/>
      <c r="AK1115" s="1153"/>
    </row>
    <row r="1116" spans="1:44" ht="12.95" hidden="1" customHeight="1">
      <c r="A1116" s="1"/>
      <c r="B1116" s="1"/>
      <c r="C1116" s="199"/>
      <c r="D1116" s="1153"/>
      <c r="E1116" s="1153"/>
      <c r="F1116" s="1153"/>
      <c r="G1116" s="1153"/>
      <c r="H1116" s="1153"/>
      <c r="I1116" s="1153"/>
      <c r="J1116" s="1153"/>
      <c r="K1116" s="1153"/>
      <c r="L1116" s="1153"/>
      <c r="M1116" s="1153"/>
      <c r="N1116" s="1153"/>
      <c r="O1116" s="1153"/>
      <c r="P1116" s="1153"/>
      <c r="Q1116" s="1153"/>
      <c r="R1116" s="1153"/>
      <c r="S1116" s="1153"/>
      <c r="T1116" s="1153"/>
      <c r="U1116" s="1153"/>
      <c r="V1116" s="1153"/>
      <c r="W1116" s="1153"/>
      <c r="X1116" s="1153"/>
      <c r="Y1116" s="1153"/>
      <c r="Z1116" s="1153"/>
      <c r="AA1116" s="1153"/>
      <c r="AB1116" s="1153"/>
      <c r="AC1116" s="1153"/>
      <c r="AD1116" s="1153"/>
      <c r="AE1116" s="1153"/>
      <c r="AF1116" s="1153"/>
      <c r="AG1116" s="1153"/>
      <c r="AH1116" s="1153"/>
      <c r="AI1116" s="1153"/>
      <c r="AJ1116" s="1153"/>
      <c r="AK1116" s="1153"/>
    </row>
    <row r="1117" spans="1:44" ht="12.95" hidden="1" customHeight="1">
      <c r="A1117" s="1"/>
      <c r="B1117" s="1"/>
      <c r="C1117" s="199"/>
      <c r="D1117" s="1153"/>
      <c r="E1117" s="1153"/>
      <c r="F1117" s="1153"/>
      <c r="G1117" s="1153"/>
      <c r="H1117" s="1153"/>
      <c r="I1117" s="1153"/>
      <c r="J1117" s="1153"/>
      <c r="K1117" s="1153"/>
      <c r="L1117" s="1153"/>
      <c r="M1117" s="1153"/>
      <c r="N1117" s="1153"/>
      <c r="O1117" s="1153"/>
      <c r="P1117" s="1153"/>
      <c r="Q1117" s="1153"/>
      <c r="R1117" s="1153"/>
      <c r="S1117" s="1153"/>
      <c r="T1117" s="1153"/>
      <c r="U1117" s="1153"/>
      <c r="V1117" s="1153"/>
      <c r="W1117" s="1153"/>
      <c r="X1117" s="1153"/>
      <c r="Y1117" s="1153"/>
      <c r="Z1117" s="1153"/>
      <c r="AA1117" s="1153"/>
      <c r="AB1117" s="1153"/>
      <c r="AC1117" s="1153"/>
      <c r="AD1117" s="1153"/>
      <c r="AE1117" s="1153"/>
      <c r="AF1117" s="1153"/>
      <c r="AG1117" s="1153"/>
      <c r="AH1117" s="1153"/>
      <c r="AI1117" s="1153"/>
      <c r="AJ1117" s="1153"/>
      <c r="AK1117" s="1153"/>
    </row>
    <row r="1118" spans="1:44" ht="12.95" hidden="1" customHeight="1">
      <c r="A1118" s="1"/>
      <c r="B1118" s="1"/>
      <c r="C1118" s="199"/>
      <c r="D1118" s="1153"/>
      <c r="E1118" s="1153"/>
      <c r="F1118" s="1153"/>
      <c r="G1118" s="1153"/>
      <c r="H1118" s="1153"/>
      <c r="I1118" s="1153"/>
      <c r="J1118" s="1153"/>
      <c r="K1118" s="1153"/>
      <c r="L1118" s="1153"/>
      <c r="M1118" s="1153"/>
      <c r="N1118" s="1153"/>
      <c r="O1118" s="1153"/>
      <c r="P1118" s="1153"/>
      <c r="Q1118" s="1153"/>
      <c r="R1118" s="1153"/>
      <c r="S1118" s="1153"/>
      <c r="T1118" s="1153"/>
      <c r="U1118" s="1153"/>
      <c r="V1118" s="1153"/>
      <c r="W1118" s="1153"/>
      <c r="X1118" s="1153"/>
      <c r="Y1118" s="1153"/>
      <c r="Z1118" s="1153"/>
      <c r="AA1118" s="1153"/>
      <c r="AB1118" s="1153"/>
      <c r="AC1118" s="1153"/>
      <c r="AD1118" s="1153"/>
      <c r="AE1118" s="1153"/>
      <c r="AF1118" s="1153"/>
      <c r="AG1118" s="1153"/>
      <c r="AH1118" s="1153"/>
      <c r="AI1118" s="1153"/>
      <c r="AJ1118" s="1153"/>
      <c r="AK1118" s="1153"/>
    </row>
    <row r="1119" spans="1:44" ht="12.95" hidden="1" customHeight="1">
      <c r="A1119" s="1"/>
      <c r="B1119" s="1"/>
      <c r="C1119" s="199"/>
      <c r="D1119" s="1153"/>
      <c r="E1119" s="1153"/>
      <c r="F1119" s="1153"/>
      <c r="G1119" s="1153"/>
      <c r="H1119" s="1153"/>
      <c r="I1119" s="1153"/>
      <c r="J1119" s="1153"/>
      <c r="K1119" s="1153"/>
      <c r="L1119" s="1153"/>
      <c r="M1119" s="1153"/>
      <c r="N1119" s="1153"/>
      <c r="O1119" s="1153"/>
      <c r="P1119" s="1153"/>
      <c r="Q1119" s="1153"/>
      <c r="R1119" s="1153"/>
      <c r="S1119" s="1153"/>
      <c r="T1119" s="1153"/>
      <c r="U1119" s="1153"/>
      <c r="V1119" s="1153"/>
      <c r="W1119" s="1153"/>
      <c r="X1119" s="1153"/>
      <c r="Y1119" s="1153"/>
      <c r="Z1119" s="1153"/>
      <c r="AA1119" s="1153"/>
      <c r="AB1119" s="1153"/>
      <c r="AC1119" s="1153"/>
      <c r="AD1119" s="1153"/>
      <c r="AE1119" s="1153"/>
      <c r="AF1119" s="1153"/>
      <c r="AG1119" s="1153"/>
      <c r="AH1119" s="1153"/>
      <c r="AI1119" s="1153"/>
      <c r="AJ1119" s="1153"/>
      <c r="AK1119" s="1153"/>
    </row>
    <row r="1120" spans="1:44" ht="12.95" hidden="1" customHeight="1">
      <c r="A1120" s="1"/>
      <c r="B1120" s="1"/>
      <c r="C1120" s="199"/>
      <c r="D1120" s="1153"/>
      <c r="E1120" s="1153"/>
      <c r="F1120" s="1153"/>
      <c r="G1120" s="1153"/>
      <c r="H1120" s="1153"/>
      <c r="I1120" s="1153"/>
      <c r="J1120" s="1153"/>
      <c r="K1120" s="1153"/>
      <c r="L1120" s="1153"/>
      <c r="M1120" s="1153"/>
      <c r="N1120" s="1153"/>
      <c r="O1120" s="1153"/>
      <c r="P1120" s="1153"/>
      <c r="Q1120" s="1153"/>
      <c r="R1120" s="1153"/>
      <c r="S1120" s="1153"/>
      <c r="T1120" s="1153"/>
      <c r="U1120" s="1153"/>
      <c r="V1120" s="1153"/>
      <c r="W1120" s="1153"/>
      <c r="X1120" s="1153"/>
      <c r="Y1120" s="1153"/>
      <c r="Z1120" s="1153"/>
      <c r="AA1120" s="1153"/>
      <c r="AB1120" s="1153"/>
      <c r="AC1120" s="1153"/>
      <c r="AD1120" s="1153"/>
      <c r="AE1120" s="1153"/>
      <c r="AF1120" s="1153"/>
      <c r="AG1120" s="1153"/>
      <c r="AH1120" s="1153"/>
      <c r="AI1120" s="1153"/>
      <c r="AJ1120" s="1153"/>
      <c r="AK1120" s="1153"/>
    </row>
    <row r="1121" spans="1:37" ht="12.95" hidden="1" customHeight="1">
      <c r="A1121" s="1"/>
      <c r="B1121" s="1"/>
      <c r="C1121" s="199"/>
      <c r="D1121" s="1153"/>
      <c r="E1121" s="1153"/>
      <c r="F1121" s="1153"/>
      <c r="G1121" s="1153"/>
      <c r="H1121" s="1153"/>
      <c r="I1121" s="1153"/>
      <c r="J1121" s="1153"/>
      <c r="K1121" s="1153"/>
      <c r="L1121" s="1153"/>
      <c r="M1121" s="1153"/>
      <c r="N1121" s="1153"/>
      <c r="O1121" s="1153"/>
      <c r="P1121" s="1153"/>
      <c r="Q1121" s="1153"/>
      <c r="R1121" s="1153"/>
      <c r="S1121" s="1153"/>
      <c r="T1121" s="1153"/>
      <c r="U1121" s="1153"/>
      <c r="V1121" s="1153"/>
      <c r="W1121" s="1153"/>
      <c r="X1121" s="1153"/>
      <c r="Y1121" s="1153"/>
      <c r="Z1121" s="1153"/>
      <c r="AA1121" s="1153"/>
      <c r="AB1121" s="1153"/>
      <c r="AC1121" s="1153"/>
      <c r="AD1121" s="1153"/>
      <c r="AE1121" s="1153"/>
      <c r="AF1121" s="1153"/>
      <c r="AG1121" s="1153"/>
      <c r="AH1121" s="1153"/>
      <c r="AI1121" s="1153"/>
      <c r="AJ1121" s="1153"/>
      <c r="AK1121" s="1153"/>
    </row>
    <row r="1122" spans="1:37" ht="12.95" hidden="1" customHeight="1">
      <c r="A1122" s="1"/>
      <c r="B1122" s="1"/>
      <c r="C1122" s="199"/>
      <c r="D1122" s="1153"/>
      <c r="E1122" s="1153"/>
      <c r="F1122" s="1153"/>
      <c r="G1122" s="1153"/>
      <c r="H1122" s="1153"/>
      <c r="I1122" s="1153"/>
      <c r="J1122" s="1153"/>
      <c r="K1122" s="1153"/>
      <c r="L1122" s="1153"/>
      <c r="M1122" s="1153"/>
      <c r="N1122" s="1153"/>
      <c r="O1122" s="1153"/>
      <c r="P1122" s="1153"/>
      <c r="Q1122" s="1153"/>
      <c r="R1122" s="1153"/>
      <c r="S1122" s="1153"/>
      <c r="T1122" s="1153"/>
      <c r="U1122" s="1153"/>
      <c r="V1122" s="1153"/>
      <c r="W1122" s="1153"/>
      <c r="X1122" s="1153"/>
      <c r="Y1122" s="1153"/>
      <c r="Z1122" s="1153"/>
      <c r="AA1122" s="1153"/>
      <c r="AB1122" s="1153"/>
      <c r="AC1122" s="1153"/>
      <c r="AD1122" s="1153"/>
      <c r="AE1122" s="1153"/>
      <c r="AF1122" s="1153"/>
      <c r="AG1122" s="1153"/>
      <c r="AH1122" s="1153"/>
      <c r="AI1122" s="1153"/>
      <c r="AJ1122" s="1153"/>
      <c r="AK1122" s="1153"/>
    </row>
    <row r="1123" spans="1:37" ht="12.95" hidden="1" customHeight="1">
      <c r="A1123" s="1"/>
      <c r="B1123" s="1"/>
      <c r="C1123" s="199"/>
      <c r="D1123" s="1153"/>
      <c r="E1123" s="1153"/>
      <c r="F1123" s="1153"/>
      <c r="G1123" s="1153"/>
      <c r="H1123" s="1153"/>
      <c r="I1123" s="1153"/>
      <c r="J1123" s="1153"/>
      <c r="K1123" s="1153"/>
      <c r="L1123" s="1153"/>
      <c r="M1123" s="1153"/>
      <c r="N1123" s="1153"/>
      <c r="O1123" s="1153"/>
      <c r="P1123" s="1153"/>
      <c r="Q1123" s="1153"/>
      <c r="R1123" s="1153"/>
      <c r="S1123" s="1153"/>
      <c r="T1123" s="1153"/>
      <c r="U1123" s="1153"/>
      <c r="V1123" s="1153"/>
      <c r="W1123" s="1153"/>
      <c r="X1123" s="1153"/>
      <c r="Y1123" s="1153"/>
      <c r="Z1123" s="1153"/>
      <c r="AA1123" s="1153"/>
      <c r="AB1123" s="1153"/>
      <c r="AC1123" s="1153"/>
      <c r="AD1123" s="1153"/>
      <c r="AE1123" s="1153"/>
      <c r="AF1123" s="1153"/>
      <c r="AG1123" s="1153"/>
      <c r="AH1123" s="1153"/>
      <c r="AI1123" s="1153"/>
      <c r="AJ1123" s="1153"/>
      <c r="AK1123" s="1153"/>
    </row>
    <row r="1124" spans="1:37" ht="12.95" hidden="1" customHeight="1">
      <c r="A1124" s="1"/>
      <c r="B1124" s="1"/>
      <c r="C1124" s="199"/>
      <c r="D1124" s="1153"/>
      <c r="E1124" s="1153"/>
      <c r="F1124" s="1153"/>
      <c r="G1124" s="1153"/>
      <c r="H1124" s="1153"/>
      <c r="I1124" s="1153"/>
      <c r="J1124" s="1153"/>
      <c r="K1124" s="1153"/>
      <c r="L1124" s="1153"/>
      <c r="M1124" s="1153"/>
      <c r="N1124" s="1153"/>
      <c r="O1124" s="1153"/>
      <c r="P1124" s="1153"/>
      <c r="Q1124" s="1153"/>
      <c r="R1124" s="1153"/>
      <c r="S1124" s="1153"/>
      <c r="T1124" s="1153"/>
      <c r="U1124" s="1153"/>
      <c r="V1124" s="1153"/>
      <c r="W1124" s="1153"/>
      <c r="X1124" s="1153"/>
      <c r="Y1124" s="1153"/>
      <c r="Z1124" s="1153"/>
      <c r="AA1124" s="1153"/>
      <c r="AB1124" s="1153"/>
      <c r="AC1124" s="1153"/>
      <c r="AD1124" s="1153"/>
      <c r="AE1124" s="1153"/>
      <c r="AF1124" s="1153"/>
      <c r="AG1124" s="1153"/>
      <c r="AH1124" s="1153"/>
      <c r="AI1124" s="1153"/>
      <c r="AJ1124" s="1153"/>
      <c r="AK1124" s="1153"/>
    </row>
    <row r="1125" spans="1:37" ht="12.95" hidden="1" customHeight="1">
      <c r="A1125" s="1"/>
      <c r="B1125" s="1"/>
      <c r="C1125" s="199"/>
      <c r="D1125" s="1153"/>
      <c r="E1125" s="1153"/>
      <c r="F1125" s="1153"/>
      <c r="G1125" s="1153"/>
      <c r="H1125" s="1153"/>
      <c r="I1125" s="1153"/>
      <c r="J1125" s="1153"/>
      <c r="K1125" s="1153"/>
      <c r="L1125" s="1153"/>
      <c r="M1125" s="1153"/>
      <c r="N1125" s="1153"/>
      <c r="O1125" s="1153"/>
      <c r="P1125" s="1153"/>
      <c r="Q1125" s="1153"/>
      <c r="R1125" s="1153"/>
      <c r="S1125" s="1153"/>
      <c r="T1125" s="1153"/>
      <c r="U1125" s="1153"/>
      <c r="V1125" s="1153"/>
      <c r="W1125" s="1153"/>
      <c r="X1125" s="1153"/>
      <c r="Y1125" s="1153"/>
      <c r="Z1125" s="1153"/>
      <c r="AA1125" s="1153"/>
      <c r="AB1125" s="1153"/>
      <c r="AC1125" s="1153"/>
      <c r="AD1125" s="1153"/>
      <c r="AE1125" s="1153"/>
      <c r="AF1125" s="1153"/>
      <c r="AG1125" s="1153"/>
      <c r="AH1125" s="1153"/>
      <c r="AI1125" s="1153"/>
      <c r="AJ1125" s="1153"/>
      <c r="AK1125" s="1153"/>
    </row>
    <row r="1126" spans="1:37" ht="12.95" hidden="1" customHeight="1">
      <c r="A1126" s="1"/>
      <c r="B1126" s="1"/>
      <c r="C1126" s="199"/>
      <c r="D1126" s="1153"/>
      <c r="E1126" s="1153"/>
      <c r="F1126" s="1153"/>
      <c r="G1126" s="1153"/>
      <c r="H1126" s="1153"/>
      <c r="I1126" s="1153"/>
      <c r="J1126" s="1153"/>
      <c r="K1126" s="1153"/>
      <c r="L1126" s="1153"/>
      <c r="M1126" s="1153"/>
      <c r="N1126" s="1153"/>
      <c r="O1126" s="1153"/>
      <c r="P1126" s="1153"/>
      <c r="Q1126" s="1153"/>
      <c r="R1126" s="1153"/>
      <c r="S1126" s="1153"/>
      <c r="T1126" s="1153"/>
      <c r="U1126" s="1153"/>
      <c r="V1126" s="1153"/>
      <c r="W1126" s="1153"/>
      <c r="X1126" s="1153"/>
      <c r="Y1126" s="1153"/>
      <c r="Z1126" s="1153"/>
      <c r="AA1126" s="1153"/>
      <c r="AB1126" s="1153"/>
      <c r="AC1126" s="1153"/>
      <c r="AD1126" s="1153"/>
      <c r="AE1126" s="1153"/>
      <c r="AF1126" s="1153"/>
      <c r="AG1126" s="1153"/>
      <c r="AH1126" s="1153"/>
      <c r="AI1126" s="1153"/>
      <c r="AJ1126" s="1153"/>
      <c r="AK1126" s="1153"/>
    </row>
    <row r="1127" spans="1:37" ht="12.95" hidden="1" customHeight="1">
      <c r="A1127" s="1"/>
      <c r="B1127" s="1"/>
      <c r="C1127" s="199"/>
      <c r="D1127" s="1153"/>
      <c r="E1127" s="1153"/>
      <c r="F1127" s="1153"/>
      <c r="G1127" s="1153"/>
      <c r="H1127" s="1153"/>
      <c r="I1127" s="1153"/>
      <c r="J1127" s="1153"/>
      <c r="K1127" s="1153"/>
      <c r="L1127" s="1153"/>
      <c r="M1127" s="1153"/>
      <c r="N1127" s="1153"/>
      <c r="O1127" s="1153"/>
      <c r="P1127" s="1153"/>
      <c r="Q1127" s="1153"/>
      <c r="R1127" s="1153"/>
      <c r="S1127" s="1153"/>
      <c r="T1127" s="1153"/>
      <c r="U1127" s="1153"/>
      <c r="V1127" s="1153"/>
      <c r="W1127" s="1153"/>
      <c r="X1127" s="1153"/>
      <c r="Y1127" s="1153"/>
      <c r="Z1127" s="1153"/>
      <c r="AA1127" s="1153"/>
      <c r="AB1127" s="1153"/>
      <c r="AC1127" s="1153"/>
      <c r="AD1127" s="1153"/>
      <c r="AE1127" s="1153"/>
      <c r="AF1127" s="1153"/>
      <c r="AG1127" s="1153"/>
      <c r="AH1127" s="1153"/>
      <c r="AI1127" s="1153"/>
      <c r="AJ1127" s="1153"/>
      <c r="AK1127" s="1153"/>
    </row>
    <row r="1128" spans="1:37" ht="12.95" hidden="1" customHeight="1">
      <c r="A1128" s="1"/>
      <c r="B1128" s="1"/>
      <c r="C1128" s="199"/>
      <c r="D1128" s="1153"/>
      <c r="E1128" s="1153"/>
      <c r="F1128" s="1153"/>
      <c r="G1128" s="1153"/>
      <c r="H1128" s="1153"/>
      <c r="I1128" s="1153"/>
      <c r="J1128" s="1153"/>
      <c r="K1128" s="1153"/>
      <c r="L1128" s="1153"/>
      <c r="M1128" s="1153"/>
      <c r="N1128" s="1153"/>
      <c r="O1128" s="1153"/>
      <c r="P1128" s="1153"/>
      <c r="Q1128" s="1153"/>
      <c r="R1128" s="1153"/>
      <c r="S1128" s="1153"/>
      <c r="T1128" s="1153"/>
      <c r="U1128" s="1153"/>
      <c r="V1128" s="1153"/>
      <c r="W1128" s="1153"/>
      <c r="X1128" s="1153"/>
      <c r="Y1128" s="1153"/>
      <c r="Z1128" s="1153"/>
      <c r="AA1128" s="1153"/>
      <c r="AB1128" s="1153"/>
      <c r="AC1128" s="1153"/>
      <c r="AD1128" s="1153"/>
      <c r="AE1128" s="1153"/>
      <c r="AF1128" s="1153"/>
      <c r="AG1128" s="1153"/>
      <c r="AH1128" s="1153"/>
      <c r="AI1128" s="1153"/>
      <c r="AJ1128" s="1153"/>
      <c r="AK1128" s="1153"/>
    </row>
    <row r="1129" spans="1:37" ht="12.95" hidden="1" customHeight="1">
      <c r="A1129" s="1"/>
      <c r="B1129" s="1"/>
      <c r="C1129" s="199"/>
      <c r="D1129" s="1153"/>
      <c r="E1129" s="1153"/>
      <c r="F1129" s="1153"/>
      <c r="G1129" s="1153"/>
      <c r="H1129" s="1153"/>
      <c r="I1129" s="1153"/>
      <c r="J1129" s="1153"/>
      <c r="K1129" s="1153"/>
      <c r="L1129" s="1153"/>
      <c r="M1129" s="1153"/>
      <c r="N1129" s="1153"/>
      <c r="O1129" s="1153"/>
      <c r="P1129" s="1153"/>
      <c r="Q1129" s="1153"/>
      <c r="R1129" s="1153"/>
      <c r="S1129" s="1153"/>
      <c r="T1129" s="1153"/>
      <c r="U1129" s="1153"/>
      <c r="V1129" s="1153"/>
      <c r="W1129" s="1153"/>
      <c r="X1129" s="1153"/>
      <c r="Y1129" s="1153"/>
      <c r="Z1129" s="1153"/>
      <c r="AA1129" s="1153"/>
      <c r="AB1129" s="1153"/>
      <c r="AC1129" s="1153"/>
      <c r="AD1129" s="1153"/>
      <c r="AE1129" s="1153"/>
      <c r="AF1129" s="1153"/>
      <c r="AG1129" s="1153"/>
      <c r="AH1129" s="1153"/>
      <c r="AI1129" s="1153"/>
      <c r="AJ1129" s="1153"/>
      <c r="AK1129" s="1153"/>
    </row>
    <row r="1130" spans="1:37" ht="12.95" hidden="1" customHeight="1">
      <c r="A1130" s="1"/>
      <c r="B1130" s="1"/>
      <c r="C1130" s="199"/>
      <c r="D1130" s="1153"/>
      <c r="E1130" s="1153"/>
      <c r="F1130" s="1153"/>
      <c r="G1130" s="1153"/>
      <c r="H1130" s="1153"/>
      <c r="I1130" s="1153"/>
      <c r="J1130" s="1153"/>
      <c r="K1130" s="1153"/>
      <c r="L1130" s="1153"/>
      <c r="M1130" s="1153"/>
      <c r="N1130" s="1153"/>
      <c r="O1130" s="1153"/>
      <c r="P1130" s="1153"/>
      <c r="Q1130" s="1153"/>
      <c r="R1130" s="1153"/>
      <c r="S1130" s="1153"/>
      <c r="T1130" s="1153"/>
      <c r="U1130" s="1153"/>
      <c r="V1130" s="1153"/>
      <c r="W1130" s="1153"/>
      <c r="X1130" s="1153"/>
      <c r="Y1130" s="1153"/>
      <c r="Z1130" s="1153"/>
      <c r="AA1130" s="1153"/>
      <c r="AB1130" s="1153"/>
      <c r="AC1130" s="1153"/>
      <c r="AD1130" s="1153"/>
      <c r="AE1130" s="1153"/>
      <c r="AF1130" s="1153"/>
      <c r="AG1130" s="1153"/>
      <c r="AH1130" s="1153"/>
      <c r="AI1130" s="1153"/>
      <c r="AJ1130" s="1153"/>
      <c r="AK1130" s="1153"/>
    </row>
    <row r="1131" spans="1:37" ht="12.95" hidden="1" customHeight="1">
      <c r="A1131" s="1"/>
      <c r="B1131" s="1"/>
      <c r="C1131" s="199"/>
      <c r="D1131" s="1153"/>
      <c r="E1131" s="1153"/>
      <c r="F1131" s="1153"/>
      <c r="G1131" s="1153"/>
      <c r="H1131" s="1153"/>
      <c r="I1131" s="1153"/>
      <c r="J1131" s="1153"/>
      <c r="K1131" s="1153"/>
      <c r="L1131" s="1153"/>
      <c r="M1131" s="1153"/>
      <c r="N1131" s="1153"/>
      <c r="O1131" s="1153"/>
      <c r="P1131" s="1153"/>
      <c r="Q1131" s="1153"/>
      <c r="R1131" s="1153"/>
      <c r="S1131" s="1153"/>
      <c r="T1131" s="1153"/>
      <c r="U1131" s="1153"/>
      <c r="V1131" s="1153"/>
      <c r="W1131" s="1153"/>
      <c r="X1131" s="1153"/>
      <c r="Y1131" s="1153"/>
      <c r="Z1131" s="1153"/>
      <c r="AA1131" s="1153"/>
      <c r="AB1131" s="1153"/>
      <c r="AC1131" s="1153"/>
      <c r="AD1131" s="1153"/>
      <c r="AE1131" s="1153"/>
      <c r="AF1131" s="1153"/>
      <c r="AG1131" s="1153"/>
      <c r="AH1131" s="1153"/>
      <c r="AI1131" s="1153"/>
      <c r="AJ1131" s="1153"/>
      <c r="AK1131" s="1153"/>
    </row>
    <row r="1132" spans="1:37" ht="0" hidden="1" customHeight="1">
      <c r="A1132" s="1"/>
      <c r="B1132" s="1"/>
      <c r="C1132" s="199"/>
      <c r="D1132" s="1153"/>
      <c r="E1132" s="1153"/>
      <c r="F1132" s="1153"/>
      <c r="G1132" s="1153"/>
      <c r="H1132" s="1153"/>
      <c r="I1132" s="1153"/>
      <c r="J1132" s="1153"/>
      <c r="K1132" s="1153"/>
      <c r="L1132" s="1153"/>
      <c r="M1132" s="1153"/>
      <c r="N1132" s="1153"/>
      <c r="O1132" s="1153"/>
      <c r="P1132" s="1153"/>
      <c r="Q1132" s="1153"/>
      <c r="R1132" s="1153"/>
      <c r="S1132" s="1153"/>
      <c r="T1132" s="1153"/>
      <c r="U1132" s="1153"/>
      <c r="V1132" s="1153"/>
      <c r="W1132" s="1153"/>
      <c r="X1132" s="1153"/>
      <c r="Y1132" s="1153"/>
      <c r="Z1132" s="1153"/>
      <c r="AA1132" s="1153"/>
      <c r="AB1132" s="1153"/>
      <c r="AC1132" s="1153"/>
      <c r="AD1132" s="1153"/>
      <c r="AE1132" s="1153"/>
      <c r="AF1132" s="1153"/>
      <c r="AG1132" s="1153"/>
      <c r="AH1132" s="1153"/>
      <c r="AI1132" s="1153"/>
      <c r="AJ1132" s="1153"/>
      <c r="AK1132" s="1153"/>
    </row>
    <row r="1133" spans="1:37" ht="0" hidden="1" customHeight="1">
      <c r="A1133" s="35"/>
      <c r="B1133" s="25"/>
      <c r="C1133" s="199"/>
      <c r="D1133" s="1153"/>
      <c r="E1133" s="1153"/>
      <c r="F1133" s="1153"/>
      <c r="G1133" s="1153"/>
      <c r="H1133" s="1153"/>
      <c r="I1133" s="1153"/>
      <c r="J1133" s="1153"/>
      <c r="K1133" s="1153"/>
      <c r="L1133" s="1153"/>
      <c r="M1133" s="1153"/>
      <c r="N1133" s="1153"/>
      <c r="O1133" s="1153"/>
      <c r="P1133" s="1153"/>
      <c r="Q1133" s="1153"/>
      <c r="R1133" s="1153"/>
      <c r="S1133" s="1153"/>
      <c r="T1133" s="1153"/>
      <c r="U1133" s="1153"/>
      <c r="V1133" s="1153"/>
      <c r="W1133" s="1153"/>
      <c r="X1133" s="1153"/>
      <c r="Y1133" s="1153"/>
      <c r="Z1133" s="1153"/>
      <c r="AA1133" s="1153"/>
      <c r="AB1133" s="1153"/>
      <c r="AC1133" s="1153"/>
      <c r="AD1133" s="1153"/>
      <c r="AE1133" s="1153"/>
      <c r="AF1133" s="1153"/>
      <c r="AG1133" s="1153"/>
      <c r="AH1133" s="1153"/>
      <c r="AI1133" s="1153"/>
      <c r="AJ1133" s="1153"/>
      <c r="AK1133" s="1153"/>
    </row>
    <row r="1134" spans="1:37" ht="0" hidden="1" customHeight="1">
      <c r="A1134" s="1352" t="s">
        <v>589</v>
      </c>
      <c r="B1134" s="1352"/>
      <c r="C1134" s="199">
        <v>9</v>
      </c>
      <c r="D1134" s="1281" t="s">
        <v>1072</v>
      </c>
      <c r="E1134" s="1281"/>
      <c r="F1134" s="1281"/>
      <c r="G1134" s="1281"/>
      <c r="H1134" s="1281"/>
      <c r="I1134" s="1281"/>
      <c r="J1134" s="1281"/>
      <c r="K1134" s="1281"/>
      <c r="L1134" s="1281"/>
      <c r="M1134" s="1281"/>
      <c r="N1134" s="1281"/>
      <c r="O1134" s="1281"/>
      <c r="P1134" s="1281"/>
      <c r="Q1134" s="1281"/>
      <c r="R1134" s="1281"/>
      <c r="S1134" s="1281"/>
      <c r="T1134" s="1281"/>
      <c r="U1134" s="1281"/>
      <c r="V1134" s="1281"/>
      <c r="W1134" s="1281"/>
      <c r="X1134" s="1281"/>
      <c r="Y1134" s="1281"/>
      <c r="Z1134" s="1281"/>
      <c r="AA1134" s="1281"/>
      <c r="AB1134" s="1281"/>
      <c r="AC1134" s="1281"/>
      <c r="AD1134" s="1281"/>
      <c r="AE1134" s="1281"/>
      <c r="AF1134" s="1281"/>
      <c r="AG1134" s="1281"/>
      <c r="AH1134" s="1281"/>
      <c r="AI1134" s="1281"/>
      <c r="AJ1134" s="1281"/>
      <c r="AK1134" s="1281"/>
    </row>
    <row r="1135" spans="1:37" ht="0" hidden="1" customHeight="1">
      <c r="A1135" s="35"/>
      <c r="B1135" s="25"/>
      <c r="C1135" s="199"/>
      <c r="D1135" s="1281"/>
      <c r="E1135" s="1281"/>
      <c r="F1135" s="1281"/>
      <c r="G1135" s="1281"/>
      <c r="H1135" s="1281"/>
      <c r="I1135" s="1281"/>
      <c r="J1135" s="1281"/>
      <c r="K1135" s="1281"/>
      <c r="L1135" s="1281"/>
      <c r="M1135" s="1281"/>
      <c r="N1135" s="1281"/>
      <c r="O1135" s="1281"/>
      <c r="P1135" s="1281"/>
      <c r="Q1135" s="1281"/>
      <c r="R1135" s="1281"/>
      <c r="S1135" s="1281"/>
      <c r="T1135" s="1281"/>
      <c r="U1135" s="1281"/>
      <c r="V1135" s="1281"/>
      <c r="W1135" s="1281"/>
      <c r="X1135" s="1281"/>
      <c r="Y1135" s="1281"/>
      <c r="Z1135" s="1281"/>
      <c r="AA1135" s="1281"/>
      <c r="AB1135" s="1281"/>
      <c r="AC1135" s="1281"/>
      <c r="AD1135" s="1281"/>
      <c r="AE1135" s="1281"/>
      <c r="AF1135" s="1281"/>
      <c r="AG1135" s="1281"/>
      <c r="AH1135" s="1281"/>
      <c r="AI1135" s="1281"/>
      <c r="AJ1135" s="1281"/>
      <c r="AK1135" s="1281"/>
    </row>
    <row r="1136" spans="1:37" ht="0" hidden="1" customHeight="1">
      <c r="D1136" s="1281"/>
      <c r="E1136" s="1281"/>
      <c r="F1136" s="1281"/>
      <c r="G1136" s="1281"/>
      <c r="H1136" s="1281"/>
      <c r="I1136" s="1281"/>
      <c r="J1136" s="1281"/>
      <c r="K1136" s="1281"/>
      <c r="L1136" s="1281"/>
      <c r="M1136" s="1281"/>
      <c r="N1136" s="1281"/>
      <c r="O1136" s="1281"/>
      <c r="P1136" s="1281"/>
      <c r="Q1136" s="1281"/>
      <c r="R1136" s="1281"/>
      <c r="S1136" s="1281"/>
      <c r="T1136" s="1281"/>
      <c r="U1136" s="1281"/>
      <c r="V1136" s="1281"/>
      <c r="W1136" s="1281"/>
      <c r="X1136" s="1281"/>
      <c r="Y1136" s="1281"/>
      <c r="Z1136" s="1281"/>
      <c r="AA1136" s="1281"/>
      <c r="AB1136" s="1281"/>
      <c r="AC1136" s="1281"/>
      <c r="AD1136" s="1281"/>
      <c r="AE1136" s="1281"/>
      <c r="AF1136" s="1281"/>
      <c r="AG1136" s="1281"/>
      <c r="AH1136" s="1281"/>
      <c r="AI1136" s="1281"/>
      <c r="AJ1136" s="1281"/>
      <c r="AK1136" s="1281"/>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DE795:DI795"/>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Z751:DD751"/>
    <mergeCell ref="DE751:DI751"/>
    <mergeCell ref="CK760:CL760"/>
    <mergeCell ref="CU749:CY749"/>
    <mergeCell ref="CK742:CL742"/>
    <mergeCell ref="DE796:DI796"/>
    <mergeCell ref="CI758:CJ758"/>
    <mergeCell ref="CU755:CY755"/>
    <mergeCell ref="CM750:CN750"/>
    <mergeCell ref="DO785:DS785"/>
    <mergeCell ref="DE781:DI781"/>
    <mergeCell ref="CZ785:DD785"/>
    <mergeCell ref="DE785:DI785"/>
    <mergeCell ref="DE783:DI783"/>
    <mergeCell ref="DE752:DI752"/>
    <mergeCell ref="CK753:CL753"/>
    <mergeCell ref="CI761:CJ761"/>
    <mergeCell ref="CK759:CL759"/>
    <mergeCell ref="CP783:CT783"/>
    <mergeCell ref="CP784:CT784"/>
    <mergeCell ref="CU760:CY760"/>
    <mergeCell ref="DJ784:DN784"/>
    <mergeCell ref="DO784:DS784"/>
    <mergeCell ref="CK758:CL758"/>
    <mergeCell ref="CM758:CN758"/>
    <mergeCell ref="CK752:CL752"/>
    <mergeCell ref="CM752:CN752"/>
    <mergeCell ref="DO783:DS783"/>
    <mergeCell ref="DJ761:DN761"/>
    <mergeCell ref="CP785:CT785"/>
    <mergeCell ref="DO751:DS751"/>
    <mergeCell ref="CK750:CL750"/>
    <mergeCell ref="DE782:DI782"/>
    <mergeCell ref="CU783:CY783"/>
    <mergeCell ref="CZ754:DD754"/>
    <mergeCell ref="CP761:CT761"/>
    <mergeCell ref="CP757:CT757"/>
    <mergeCell ref="FY743:GC743"/>
    <mergeCell ref="FO750:FS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ET754:EX754"/>
    <mergeCell ref="DU755:DY755"/>
    <mergeCell ref="FO758:FS758"/>
    <mergeCell ref="DJ752:DN752"/>
    <mergeCell ref="FE761:FI761"/>
    <mergeCell ref="CU757:CY757"/>
    <mergeCell ref="CZ757:DD757"/>
    <mergeCell ref="DE757:DI757"/>
    <mergeCell ref="DZ755:ED755"/>
    <mergeCell ref="DJ757:DN757"/>
    <mergeCell ref="FE759:FI759"/>
    <mergeCell ref="FJ759:FN759"/>
    <mergeCell ref="EZ761:FD761"/>
    <mergeCell ref="DO754:DS754"/>
    <mergeCell ref="FY749:GC749"/>
    <mergeCell ref="EZ750:FD750"/>
    <mergeCell ref="FE751:FI751"/>
    <mergeCell ref="FJ751:FN751"/>
    <mergeCell ref="FO751:FS751"/>
    <mergeCell ref="FT751:FX751"/>
    <mergeCell ref="DJ755:DN755"/>
    <mergeCell ref="CU752:CY752"/>
    <mergeCell ref="CP752:CT752"/>
    <mergeCell ref="ET752:EX752"/>
    <mergeCell ref="FY750:GC750"/>
    <mergeCell ref="EZ751:FD751"/>
    <mergeCell ref="CU751:CY751"/>
    <mergeCell ref="FE755:FI755"/>
    <mergeCell ref="EE749:EI749"/>
    <mergeCell ref="EJ749:EN749"/>
    <mergeCell ref="CZ746:DD746"/>
    <mergeCell ref="FE754:FI754"/>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FT754:FX754"/>
    <mergeCell ref="FY754:GC754"/>
    <mergeCell ref="EH666:EL666"/>
    <mergeCell ref="FY756:GC756"/>
    <mergeCell ref="FJ761:FN761"/>
    <mergeCell ref="EZ756:FD756"/>
    <mergeCell ref="FJ754:FN754"/>
    <mergeCell ref="FO754:FS754"/>
    <mergeCell ref="DU749:DY749"/>
    <mergeCell ref="DZ749:ED749"/>
    <mergeCell ref="FY757:GC757"/>
    <mergeCell ref="DX668:EB668"/>
    <mergeCell ref="ET750:EX750"/>
    <mergeCell ref="FE750:FI750"/>
    <mergeCell ref="FJ750:FN750"/>
    <mergeCell ref="DE738:DI738"/>
    <mergeCell ref="EW644:FA644"/>
    <mergeCell ref="ER645:EV645"/>
    <mergeCell ref="ET757:EX757"/>
    <mergeCell ref="DU758:DY758"/>
    <mergeCell ref="DZ758:ED758"/>
    <mergeCell ref="EE758:EI758"/>
    <mergeCell ref="EJ758:EN758"/>
    <mergeCell ref="EO758:ES758"/>
    <mergeCell ref="ET758:EX758"/>
    <mergeCell ref="DZ727:ED727"/>
    <mergeCell ref="EO738:ES738"/>
    <mergeCell ref="ET738:EX738"/>
    <mergeCell ref="EO732:ES732"/>
    <mergeCell ref="ET732:EX732"/>
    <mergeCell ref="EO734:ES734"/>
    <mergeCell ref="ET734:EX734"/>
    <mergeCell ref="ET730:EX730"/>
    <mergeCell ref="ET728:EX728"/>
    <mergeCell ref="EO736:ES736"/>
    <mergeCell ref="ET736:EX736"/>
    <mergeCell ref="EM666:EQ666"/>
    <mergeCell ref="ER666:EV666"/>
    <mergeCell ref="EW666:FA666"/>
    <mergeCell ref="DZ750:ED750"/>
    <mergeCell ref="EW670:FA670"/>
    <mergeCell ref="DX671:EB671"/>
    <mergeCell ref="FY753:GC753"/>
    <mergeCell ref="EZ754:FD754"/>
    <mergeCell ref="ET753:EX753"/>
    <mergeCell ref="DU754:DY754"/>
    <mergeCell ref="DZ754:ED754"/>
    <mergeCell ref="EE754:EI754"/>
    <mergeCell ref="EJ754:EN754"/>
    <mergeCell ref="EW671:FA671"/>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EH671:EL671"/>
    <mergeCell ref="EE730:EI730"/>
    <mergeCell ref="EO729:ES729"/>
    <mergeCell ref="EM673:EQ673"/>
    <mergeCell ref="EC671:EG671"/>
    <mergeCell ref="DU753:DY753"/>
    <mergeCell ref="DZ753:ED753"/>
    <mergeCell ref="EJ753:EN753"/>
    <mergeCell ref="EZ749:FD749"/>
    <mergeCell ref="FE749:FI749"/>
    <mergeCell ref="CP731:CT731"/>
    <mergeCell ref="CU727:CY727"/>
    <mergeCell ref="ET726:EX726"/>
    <mergeCell ref="DU733:DY733"/>
    <mergeCell ref="DZ733:ED733"/>
    <mergeCell ref="DU731:DY731"/>
    <mergeCell ref="ER671:EV671"/>
    <mergeCell ref="CG730:CH730"/>
    <mergeCell ref="CK729:CL729"/>
    <mergeCell ref="CM726:CN726"/>
    <mergeCell ref="DE740:DI740"/>
    <mergeCell ref="CK741:CL741"/>
    <mergeCell ref="CI750:CJ750"/>
    <mergeCell ref="CG750:CH750"/>
    <mergeCell ref="CM741:CN741"/>
    <mergeCell ref="DO737:DS737"/>
    <mergeCell ref="DO727:DS727"/>
    <mergeCell ref="DE733:DI733"/>
    <mergeCell ref="CG746:CH746"/>
    <mergeCell ref="CU739:CY739"/>
    <mergeCell ref="CM740:CN740"/>
    <mergeCell ref="CP734:CT734"/>
    <mergeCell ref="CK740:CL740"/>
    <mergeCell ref="CP733:CT733"/>
    <mergeCell ref="CU744:CY744"/>
    <mergeCell ref="CU735:CY735"/>
    <mergeCell ref="CK732:CL732"/>
    <mergeCell ref="CK743:CL743"/>
    <mergeCell ref="CP742:CT742"/>
    <mergeCell ref="CU748:CY748"/>
    <mergeCell ref="AM568:AS568"/>
    <mergeCell ref="Z567:AD567"/>
    <mergeCell ref="C637:L637"/>
    <mergeCell ref="N623:O623"/>
    <mergeCell ref="G671:L671"/>
    <mergeCell ref="AH516:AK516"/>
    <mergeCell ref="AC548:AF548"/>
    <mergeCell ref="AC516:AF516"/>
    <mergeCell ref="AH545:AK545"/>
    <mergeCell ref="AC542:AF542"/>
    <mergeCell ref="AH550:AK550"/>
    <mergeCell ref="AH515:AK515"/>
    <mergeCell ref="AC546:AF546"/>
    <mergeCell ref="Z562:AD562"/>
    <mergeCell ref="AH539:AK539"/>
    <mergeCell ref="AH548:AK548"/>
    <mergeCell ref="AC523:AF523"/>
    <mergeCell ref="AH526:AK526"/>
    <mergeCell ref="AC522:AF522"/>
    <mergeCell ref="W559:Y561"/>
    <mergeCell ref="AE559:AH561"/>
    <mergeCell ref="AH523:AK523"/>
    <mergeCell ref="AH524:AK524"/>
    <mergeCell ref="AC527:AF527"/>
    <mergeCell ref="AC531:AF531"/>
    <mergeCell ref="AC532:AF532"/>
    <mergeCell ref="O543:AA543"/>
    <mergeCell ref="AH531:AK531"/>
    <mergeCell ref="AE562:AH562"/>
    <mergeCell ref="AI559:AL561"/>
    <mergeCell ref="AH518:AK518"/>
    <mergeCell ref="AH521:AK521"/>
    <mergeCell ref="N583:O583"/>
    <mergeCell ref="Z559:AD561"/>
    <mergeCell ref="M566:P566"/>
    <mergeCell ref="Q565:S565"/>
    <mergeCell ref="C562:L562"/>
    <mergeCell ref="C570:L570"/>
    <mergeCell ref="C566:L566"/>
    <mergeCell ref="Q563:S563"/>
    <mergeCell ref="Q559:S561"/>
    <mergeCell ref="M563:P563"/>
    <mergeCell ref="C563:L563"/>
    <mergeCell ref="B528:H550"/>
    <mergeCell ref="G602:R602"/>
    <mergeCell ref="Z602:AK602"/>
    <mergeCell ref="P613:R613"/>
    <mergeCell ref="Z611:AK611"/>
    <mergeCell ref="Z577:AK577"/>
    <mergeCell ref="W569:Y569"/>
    <mergeCell ref="W565:Y565"/>
    <mergeCell ref="G579:R579"/>
    <mergeCell ref="Q567:S567"/>
    <mergeCell ref="AI562:AL562"/>
    <mergeCell ref="AC535:AF535"/>
    <mergeCell ref="CG755:CH755"/>
    <mergeCell ref="CI755:CJ755"/>
    <mergeCell ref="CK755:CL755"/>
    <mergeCell ref="CM755:CN755"/>
    <mergeCell ref="CP750:CT750"/>
    <mergeCell ref="CP751:CT751"/>
    <mergeCell ref="AC541:AF541"/>
    <mergeCell ref="W570:Y570"/>
    <mergeCell ref="T567:V567"/>
    <mergeCell ref="O537:AA537"/>
    <mergeCell ref="AH541:AK541"/>
    <mergeCell ref="AI613:AK613"/>
    <mergeCell ref="G612:R612"/>
    <mergeCell ref="AH537:AK537"/>
    <mergeCell ref="AH542:AK542"/>
    <mergeCell ref="CK728:CL728"/>
    <mergeCell ref="CG739:CH739"/>
    <mergeCell ref="CP730:CT730"/>
    <mergeCell ref="T562:V562"/>
    <mergeCell ref="AK642:AN642"/>
    <mergeCell ref="AK643:AN643"/>
    <mergeCell ref="AM565:AS565"/>
    <mergeCell ref="W638:Y638"/>
    <mergeCell ref="T570:V570"/>
    <mergeCell ref="T564:V564"/>
    <mergeCell ref="AI567:AL567"/>
    <mergeCell ref="Z621:AE621"/>
    <mergeCell ref="CP726:CT726"/>
    <mergeCell ref="CI726:CJ726"/>
    <mergeCell ref="X731:AB731"/>
    <mergeCell ref="CP727:CT727"/>
    <mergeCell ref="CP729:CT729"/>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CM753:CN753"/>
    <mergeCell ref="CG754:CH754"/>
    <mergeCell ref="CI754:CJ754"/>
    <mergeCell ref="CG752:CH752"/>
    <mergeCell ref="CI752:CJ752"/>
    <mergeCell ref="CG758:CH758"/>
    <mergeCell ref="CM761:CN761"/>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G753:CH753"/>
    <mergeCell ref="CI753:CJ753"/>
    <mergeCell ref="AK750:AO750"/>
    <mergeCell ref="D457:AF457"/>
    <mergeCell ref="AG454:AJ454"/>
    <mergeCell ref="Q493:AK493"/>
    <mergeCell ref="AC533:AF533"/>
    <mergeCell ref="C564:L564"/>
    <mergeCell ref="M564:P564"/>
    <mergeCell ref="B559:L561"/>
    <mergeCell ref="Z563:AD563"/>
    <mergeCell ref="AH535:AK535"/>
    <mergeCell ref="B735:F735"/>
    <mergeCell ref="H688:R688"/>
    <mergeCell ref="B731:F731"/>
    <mergeCell ref="AF638:AJ638"/>
    <mergeCell ref="G693:R693"/>
    <mergeCell ref="M643:P643"/>
    <mergeCell ref="G654:R654"/>
    <mergeCell ref="Z660:AK660"/>
    <mergeCell ref="G729:J729"/>
    <mergeCell ref="G610:R610"/>
    <mergeCell ref="G617:R617"/>
    <mergeCell ref="M636:P636"/>
    <mergeCell ref="B497:P498"/>
    <mergeCell ref="Q497:R498"/>
    <mergeCell ref="G732:J732"/>
    <mergeCell ref="G691:R691"/>
    <mergeCell ref="AH511:AK511"/>
    <mergeCell ref="AC508:AF508"/>
    <mergeCell ref="AH540:AK540"/>
    <mergeCell ref="AC530:AF530"/>
    <mergeCell ref="AD421:AE421"/>
    <mergeCell ref="H423:AE424"/>
    <mergeCell ref="AE434:AF434"/>
    <mergeCell ref="D415:AJ416"/>
    <mergeCell ref="Q438:R438"/>
    <mergeCell ref="Q398:U398"/>
    <mergeCell ref="D473:V473"/>
    <mergeCell ref="I430:K430"/>
    <mergeCell ref="AH532:AK532"/>
    <mergeCell ref="AH533:AK533"/>
    <mergeCell ref="AC515:AF515"/>
    <mergeCell ref="D455:AF455"/>
    <mergeCell ref="AC513:AF513"/>
    <mergeCell ref="AH530:AK530"/>
    <mergeCell ref="M559:P561"/>
    <mergeCell ref="AC544:AF544"/>
    <mergeCell ref="D476:V476"/>
    <mergeCell ref="AC520:AF520"/>
    <mergeCell ref="AC550:AF550"/>
    <mergeCell ref="Q502:AK502"/>
    <mergeCell ref="AC464:AF464"/>
    <mergeCell ref="B511:H516"/>
    <mergeCell ref="AH508:AK508"/>
    <mergeCell ref="O540:AA540"/>
    <mergeCell ref="W482:Y482"/>
    <mergeCell ref="AG453:AJ453"/>
    <mergeCell ref="AI401:AJ401"/>
    <mergeCell ref="AG403:AJ403"/>
    <mergeCell ref="AH529:AK529"/>
    <mergeCell ref="AC538:AF538"/>
    <mergeCell ref="AC526:AF526"/>
    <mergeCell ref="D446:AF446"/>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AC528:AF528"/>
    <mergeCell ref="D449:AF449"/>
    <mergeCell ref="AG459:AJ459"/>
    <mergeCell ref="D475:V475"/>
    <mergeCell ref="AG450:AJ450"/>
    <mergeCell ref="D456:AF456"/>
    <mergeCell ref="W474:Y474"/>
    <mergeCell ref="AG455:AJ455"/>
    <mergeCell ref="W475:Y475"/>
    <mergeCell ref="W478:Y478"/>
    <mergeCell ref="D479:V479"/>
    <mergeCell ref="AH546:AK546"/>
    <mergeCell ref="W480:Y480"/>
    <mergeCell ref="AI398:AJ398"/>
    <mergeCell ref="G482:V482"/>
    <mergeCell ref="Q499:AK499"/>
    <mergeCell ref="AH503:AK503"/>
    <mergeCell ref="AC536:AF53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AG389:AH389"/>
    <mergeCell ref="AG402:AJ402"/>
    <mergeCell ref="AG400:AJ400"/>
    <mergeCell ref="AC395:AJ395"/>
    <mergeCell ref="K412:AJ412"/>
    <mergeCell ref="I427:K427"/>
    <mergeCell ref="S422:T422"/>
    <mergeCell ref="Z443:AA443"/>
    <mergeCell ref="M266:T266"/>
    <mergeCell ref="M265:AE265"/>
    <mergeCell ref="AA317:AF317"/>
    <mergeCell ref="L289:AD289"/>
    <mergeCell ref="M261:AE261"/>
    <mergeCell ref="AH263:AK263"/>
    <mergeCell ref="AI348:AK348"/>
    <mergeCell ref="N380:Q380"/>
    <mergeCell ref="AC262:AE262"/>
    <mergeCell ref="AH255:AK255"/>
    <mergeCell ref="W262:X262"/>
    <mergeCell ref="V391:W391"/>
    <mergeCell ref="P357:Z357"/>
    <mergeCell ref="N382:AF383"/>
    <mergeCell ref="AJ364:AK364"/>
    <mergeCell ref="AG386:AH386"/>
    <mergeCell ref="E427:G427"/>
    <mergeCell ref="AD420:AE420"/>
    <mergeCell ref="J396:U396"/>
    <mergeCell ref="AA344:AK344"/>
    <mergeCell ref="AC356:AE356"/>
    <mergeCell ref="P352:AE352"/>
    <mergeCell ref="AA349:AF349"/>
    <mergeCell ref="P353:AE353"/>
    <mergeCell ref="AA347:AK347"/>
    <mergeCell ref="H346:R346"/>
    <mergeCell ref="P354:AE354"/>
    <mergeCell ref="R421:S421"/>
    <mergeCell ref="J376:K376"/>
    <mergeCell ref="S414:AJ414"/>
    <mergeCell ref="AC394:AJ394"/>
    <mergeCell ref="S411:U411"/>
    <mergeCell ref="O155:AH155"/>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I178:AK178"/>
    <mergeCell ref="O161:AH161"/>
    <mergeCell ref="O158:R158"/>
    <mergeCell ref="O159:T159"/>
    <mergeCell ref="O160:T160"/>
    <mergeCell ref="J173:S173"/>
    <mergeCell ref="L284:AD284"/>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Z272:AE272"/>
    <mergeCell ref="M272:R272"/>
    <mergeCell ref="L283:AJ283"/>
    <mergeCell ref="H298:R298"/>
    <mergeCell ref="A75:AT77"/>
    <mergeCell ref="A79:AT81"/>
    <mergeCell ref="AB215:AL215"/>
    <mergeCell ref="T198:U198"/>
    <mergeCell ref="Q212:R212"/>
    <mergeCell ref="D214:Z214"/>
    <mergeCell ref="AB216:AL216"/>
    <mergeCell ref="M245:R245"/>
    <mergeCell ref="Z245:AE245"/>
    <mergeCell ref="G113:H113"/>
    <mergeCell ref="C115:K115"/>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W243:X243"/>
    <mergeCell ref="T212:U212"/>
    <mergeCell ref="F150:T150"/>
    <mergeCell ref="Y120:AK120"/>
    <mergeCell ref="A86:AT87"/>
    <mergeCell ref="A89:AT90"/>
    <mergeCell ref="A92:AT98"/>
    <mergeCell ref="A100:AT103"/>
    <mergeCell ref="I184:AE184"/>
    <mergeCell ref="Y117:AK117"/>
    <mergeCell ref="T190:AE190"/>
    <mergeCell ref="M241:AK241"/>
    <mergeCell ref="A105:AT106"/>
    <mergeCell ref="L113:O113"/>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U175:V175"/>
    <mergeCell ref="O153:AH153"/>
    <mergeCell ref="O154:AH154"/>
    <mergeCell ref="O156:AH156"/>
    <mergeCell ref="O157:X157"/>
    <mergeCell ref="AF260:AK260"/>
    <mergeCell ref="M253:AE253"/>
    <mergeCell ref="M256:R256"/>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R177:S177"/>
    <mergeCell ref="M252:AE252"/>
    <mergeCell ref="D204:M204"/>
    <mergeCell ref="M247:T247"/>
    <mergeCell ref="T197:U197"/>
    <mergeCell ref="H299:R299"/>
    <mergeCell ref="V285:W285"/>
    <mergeCell ref="M262:T262"/>
    <mergeCell ref="AA340:AF340"/>
    <mergeCell ref="P324:R324"/>
    <mergeCell ref="N372:O372"/>
    <mergeCell ref="AA346:AK346"/>
    <mergeCell ref="H315:R315"/>
    <mergeCell ref="AA313:AK313"/>
    <mergeCell ref="AA318:AK318"/>
    <mergeCell ref="AA316:AF316"/>
    <mergeCell ref="AA314:AK314"/>
    <mergeCell ref="AA326:AK326"/>
    <mergeCell ref="AA341:AF341"/>
    <mergeCell ref="AA337:AK337"/>
    <mergeCell ref="AA336:AK336"/>
    <mergeCell ref="AI324:AK324"/>
    <mergeCell ref="AA321:AK321"/>
    <mergeCell ref="AA338:AK338"/>
    <mergeCell ref="AA330:AK330"/>
    <mergeCell ref="H334:R334"/>
    <mergeCell ref="H322:R322"/>
    <mergeCell ref="M364:N364"/>
    <mergeCell ref="H347:R347"/>
    <mergeCell ref="H330:R330"/>
    <mergeCell ref="H336:R336"/>
    <mergeCell ref="H337:R337"/>
    <mergeCell ref="AA345:AK345"/>
    <mergeCell ref="H345:R345"/>
    <mergeCell ref="P355:AE355"/>
    <mergeCell ref="H328:R328"/>
    <mergeCell ref="AA325:AF325"/>
    <mergeCell ref="P356:Z356"/>
    <mergeCell ref="M367:N367"/>
    <mergeCell ref="H339:R33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05:R305"/>
    <mergeCell ref="H332:M332"/>
    <mergeCell ref="AA339:AK339"/>
    <mergeCell ref="M268:AE268"/>
    <mergeCell ref="AA302:AK302"/>
    <mergeCell ref="M274:T274"/>
    <mergeCell ref="AA323:AK323"/>
    <mergeCell ref="AA322:AK322"/>
    <mergeCell ref="AA310:AK310"/>
    <mergeCell ref="AA305:AK305"/>
    <mergeCell ref="H310:R310"/>
    <mergeCell ref="L285:S285"/>
    <mergeCell ref="L287:Q287"/>
    <mergeCell ref="AA298:AK298"/>
    <mergeCell ref="H316:M316"/>
    <mergeCell ref="P340:R340"/>
    <mergeCell ref="AA333:AF333"/>
    <mergeCell ref="AI332:AK332"/>
    <mergeCell ref="AA329:AK329"/>
    <mergeCell ref="H326:R326"/>
    <mergeCell ref="P332:R332"/>
    <mergeCell ref="AA324:AF324"/>
    <mergeCell ref="P358:AE358"/>
    <mergeCell ref="AA307:AK307"/>
    <mergeCell ref="AA301:AF301"/>
    <mergeCell ref="AC465:AF465"/>
    <mergeCell ref="Q402:U402"/>
    <mergeCell ref="H338:R338"/>
    <mergeCell ref="D448:AF448"/>
    <mergeCell ref="AA331:AK331"/>
    <mergeCell ref="H301:M301"/>
    <mergeCell ref="H318:R318"/>
    <mergeCell ref="M365:N365"/>
    <mergeCell ref="H300:M300"/>
    <mergeCell ref="H308:M308"/>
    <mergeCell ref="H309:M309"/>
    <mergeCell ref="L286:AD286"/>
    <mergeCell ref="P430:R430"/>
    <mergeCell ref="F436:AH437"/>
    <mergeCell ref="AE411:AJ411"/>
    <mergeCell ref="AG388:AH388"/>
    <mergeCell ref="S401:U401"/>
    <mergeCell ref="AG399:AJ399"/>
    <mergeCell ref="AA306:AK306"/>
    <mergeCell ref="H297:R297"/>
    <mergeCell ref="D481:V481"/>
    <mergeCell ref="D478:V478"/>
    <mergeCell ref="D447:AF447"/>
    <mergeCell ref="AA334:AK334"/>
    <mergeCell ref="H324:M324"/>
    <mergeCell ref="H331:R331"/>
    <mergeCell ref="Q400:U400"/>
    <mergeCell ref="N381:Q381"/>
    <mergeCell ref="E429:AJ429"/>
    <mergeCell ref="W476:Y476"/>
    <mergeCell ref="D459:AF459"/>
    <mergeCell ref="N379:Q379"/>
    <mergeCell ref="H350:R350"/>
    <mergeCell ref="H344:R344"/>
    <mergeCell ref="AA342:AK342"/>
    <mergeCell ref="H348:M348"/>
    <mergeCell ref="D477:V477"/>
    <mergeCell ref="W481:Y481"/>
    <mergeCell ref="Q403:U403"/>
    <mergeCell ref="H333:M333"/>
    <mergeCell ref="AI406:AJ406"/>
    <mergeCell ref="AJ366:AK366"/>
    <mergeCell ref="AF427:AH427"/>
    <mergeCell ref="T408:AJ408"/>
    <mergeCell ref="D453:AF453"/>
    <mergeCell ref="R420:S420"/>
    <mergeCell ref="W473:Y473"/>
    <mergeCell ref="H329:R329"/>
    <mergeCell ref="AA348:AF348"/>
    <mergeCell ref="P434:Q434"/>
    <mergeCell ref="Q501:AK501"/>
    <mergeCell ref="AC510:AF510"/>
    <mergeCell ref="B522:H524"/>
    <mergeCell ref="B525:H527"/>
    <mergeCell ref="D454:AF454"/>
    <mergeCell ref="D460:AJ461"/>
    <mergeCell ref="AH509:AK509"/>
    <mergeCell ref="AC534:AF534"/>
    <mergeCell ref="D480:V480"/>
    <mergeCell ref="Z441:AA441"/>
    <mergeCell ref="Q495:AK495"/>
    <mergeCell ref="Q494:AK494"/>
    <mergeCell ref="AG457:AJ457"/>
    <mergeCell ref="D450:AF450"/>
    <mergeCell ref="AC529:AF529"/>
    <mergeCell ref="S497:AK498"/>
    <mergeCell ref="AG456:AJ456"/>
    <mergeCell ref="AC463:AF463"/>
    <mergeCell ref="AH510:AK510"/>
    <mergeCell ref="AC507:AK507"/>
    <mergeCell ref="AH525:AK525"/>
    <mergeCell ref="AH517:AK517"/>
    <mergeCell ref="AG451:AJ451"/>
    <mergeCell ref="AG452:AJ452"/>
    <mergeCell ref="AH527:AK527"/>
    <mergeCell ref="Q496:AK496"/>
    <mergeCell ref="D474:V474"/>
    <mergeCell ref="AH512:AK512"/>
    <mergeCell ref="W477:Y477"/>
    <mergeCell ref="Q500:AK500"/>
    <mergeCell ref="AH514:AK514"/>
    <mergeCell ref="AC514:AF514"/>
    <mergeCell ref="H341:M341"/>
    <mergeCell ref="H340:M340"/>
    <mergeCell ref="H342:R342"/>
    <mergeCell ref="K413:AJ413"/>
    <mergeCell ref="T573:V573"/>
    <mergeCell ref="C568:L568"/>
    <mergeCell ref="Z568:AD568"/>
    <mergeCell ref="AI571:AL571"/>
    <mergeCell ref="Z571:AD571"/>
    <mergeCell ref="T568:V568"/>
    <mergeCell ref="G578:R578"/>
    <mergeCell ref="Z569:AD569"/>
    <mergeCell ref="G594:R594"/>
    <mergeCell ref="W568:Y568"/>
    <mergeCell ref="P580:R580"/>
    <mergeCell ref="G585:R585"/>
    <mergeCell ref="C569:L569"/>
    <mergeCell ref="W571:Y571"/>
    <mergeCell ref="W572:Y572"/>
    <mergeCell ref="W573:Y573"/>
    <mergeCell ref="AF582:AK582"/>
    <mergeCell ref="Z593:AK593"/>
    <mergeCell ref="G587:R587"/>
    <mergeCell ref="Q566:S566"/>
    <mergeCell ref="AH520:AK520"/>
    <mergeCell ref="M565:P565"/>
    <mergeCell ref="AH528:AK528"/>
    <mergeCell ref="AC545:AF545"/>
    <mergeCell ref="D451:AF451"/>
    <mergeCell ref="AF439:AG439"/>
    <mergeCell ref="AG446:AJ446"/>
    <mergeCell ref="AG458:AJ458"/>
    <mergeCell ref="AO649:AS649"/>
    <mergeCell ref="Z659:AK659"/>
    <mergeCell ref="AK646:AN646"/>
    <mergeCell ref="C639:L639"/>
    <mergeCell ref="G659:R659"/>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M645:P645"/>
    <mergeCell ref="G670:R670"/>
    <mergeCell ref="AG689:AH689"/>
    <mergeCell ref="AI695:AK695"/>
    <mergeCell ref="J713:O713"/>
    <mergeCell ref="G684:R684"/>
    <mergeCell ref="AE704:AI704"/>
    <mergeCell ref="K722:N725"/>
    <mergeCell ref="G675:R675"/>
    <mergeCell ref="G655:L655"/>
    <mergeCell ref="AF644:AJ644"/>
    <mergeCell ref="T646:V646"/>
    <mergeCell ref="G722:J725"/>
    <mergeCell ref="C643:L643"/>
    <mergeCell ref="B726:F726"/>
    <mergeCell ref="G728:J728"/>
    <mergeCell ref="B729:F729"/>
    <mergeCell ref="G760:J760"/>
    <mergeCell ref="Z815:AE815"/>
    <mergeCell ref="AC797:AG797"/>
    <mergeCell ref="AC798:AG798"/>
    <mergeCell ref="Z826:AE826"/>
    <mergeCell ref="T803:W803"/>
    <mergeCell ref="J784:N784"/>
    <mergeCell ref="U831:X832"/>
    <mergeCell ref="Q831:T832"/>
    <mergeCell ref="Z817:AE817"/>
    <mergeCell ref="AC800:AG800"/>
    <mergeCell ref="O795:S795"/>
    <mergeCell ref="Z685:AK685"/>
    <mergeCell ref="B742:F742"/>
    <mergeCell ref="B736:F736"/>
    <mergeCell ref="K745:N745"/>
    <mergeCell ref="AE710:AF710"/>
    <mergeCell ref="T738:W738"/>
    <mergeCell ref="T736:W736"/>
    <mergeCell ref="J777:N780"/>
    <mergeCell ref="U834:X834"/>
    <mergeCell ref="X802:AB802"/>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T784:W784"/>
    <mergeCell ref="T782:W782"/>
    <mergeCell ref="Y809:AC809"/>
    <mergeCell ref="Y808:AC808"/>
    <mergeCell ref="AC804:AG804"/>
    <mergeCell ref="AC796:AG796"/>
    <mergeCell ref="O801:S801"/>
    <mergeCell ref="J798:N798"/>
    <mergeCell ref="AH753:AJ753"/>
    <mergeCell ref="AH754:AJ754"/>
    <mergeCell ref="AH755:AJ755"/>
    <mergeCell ref="AH756:AJ756"/>
    <mergeCell ref="C833:H833"/>
    <mergeCell ref="AW927:AY927"/>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O796:S796"/>
    <mergeCell ref="J800:N800"/>
    <mergeCell ref="U837:X837"/>
    <mergeCell ref="Q836:T836"/>
    <mergeCell ref="AC836:AF836"/>
    <mergeCell ref="Y835:AB835"/>
    <mergeCell ref="AG835:AJ835"/>
    <mergeCell ref="X797:AB797"/>
    <mergeCell ref="AG831:AJ832"/>
    <mergeCell ref="AZ859:BA859"/>
    <mergeCell ref="AC899:AH899"/>
    <mergeCell ref="W887:AC887"/>
    <mergeCell ref="U940:Z940"/>
    <mergeCell ref="F924:T924"/>
    <mergeCell ref="AA935:AF935"/>
    <mergeCell ref="U936:Z936"/>
    <mergeCell ref="AA936:AF936"/>
    <mergeCell ref="M887:V887"/>
    <mergeCell ref="BD911:BE911"/>
    <mergeCell ref="BD909:BE909"/>
    <mergeCell ref="AC902:AH902"/>
    <mergeCell ref="M886:V886"/>
    <mergeCell ref="AC893:AH893"/>
    <mergeCell ref="BD913:BE913"/>
    <mergeCell ref="BD915:BF915"/>
    <mergeCell ref="BD914:BF914"/>
    <mergeCell ref="W886:AC886"/>
    <mergeCell ref="BD908:BE908"/>
    <mergeCell ref="BD910:BE910"/>
    <mergeCell ref="AC895:AH895"/>
    <mergeCell ref="W885:AC885"/>
    <mergeCell ref="M869:V869"/>
    <mergeCell ref="W862:AC862"/>
    <mergeCell ref="W883:AC883"/>
    <mergeCell ref="W884:AC884"/>
    <mergeCell ref="T866:V866"/>
    <mergeCell ref="T868:V868"/>
    <mergeCell ref="BD919:BE919"/>
    <mergeCell ref="BD912:BE912"/>
    <mergeCell ref="AC898:AH898"/>
    <mergeCell ref="AC903:AH903"/>
    <mergeCell ref="B741:F741"/>
    <mergeCell ref="B762:AH763"/>
    <mergeCell ref="X782:AB782"/>
    <mergeCell ref="T781:W781"/>
    <mergeCell ref="J781:N781"/>
    <mergeCell ref="O781:S781"/>
    <mergeCell ref="O782:S782"/>
    <mergeCell ref="O802:S802"/>
    <mergeCell ref="F946:T946"/>
    <mergeCell ref="U946:Z946"/>
    <mergeCell ref="AA946:AF946"/>
    <mergeCell ref="E894:AB894"/>
    <mergeCell ref="M836:P836"/>
    <mergeCell ref="M835:P835"/>
    <mergeCell ref="J805:N805"/>
    <mergeCell ref="Z908:AE908"/>
    <mergeCell ref="AC897:AH897"/>
    <mergeCell ref="W850:AC850"/>
    <mergeCell ref="W855:AC855"/>
    <mergeCell ref="W853:AC853"/>
    <mergeCell ref="M854:V854"/>
    <mergeCell ref="J857:V857"/>
    <mergeCell ref="W854:AC854"/>
    <mergeCell ref="M838:P838"/>
    <mergeCell ref="W860:AC860"/>
    <mergeCell ref="C845:AJ845"/>
    <mergeCell ref="W876:AC876"/>
    <mergeCell ref="X760:AB760"/>
    <mergeCell ref="AC748:AG748"/>
    <mergeCell ref="AC749:AG749"/>
    <mergeCell ref="AC745:AG745"/>
    <mergeCell ref="O760:S760"/>
    <mergeCell ref="AC805:AG805"/>
    <mergeCell ref="AC795:AG795"/>
    <mergeCell ref="AC761:AG761"/>
    <mergeCell ref="O761:S761"/>
    <mergeCell ref="AC750:AG750"/>
    <mergeCell ref="AC751:AG751"/>
    <mergeCell ref="AC752:AG752"/>
    <mergeCell ref="AC753:AG753"/>
    <mergeCell ref="AC754:AG754"/>
    <mergeCell ref="Z814:AE814"/>
    <mergeCell ref="X799:AB799"/>
    <mergeCell ref="K760:N760"/>
    <mergeCell ref="O805:S805"/>
    <mergeCell ref="T749:W749"/>
    <mergeCell ref="X743:AB743"/>
    <mergeCell ref="X744:AB744"/>
    <mergeCell ref="X777:AB780"/>
    <mergeCell ref="T777:W780"/>
    <mergeCell ref="AC801:AG801"/>
    <mergeCell ref="X783:AB783"/>
    <mergeCell ref="X784:AB784"/>
    <mergeCell ref="O747:S747"/>
    <mergeCell ref="O744:S744"/>
    <mergeCell ref="CG742:CH742"/>
    <mergeCell ref="CP747:CT747"/>
    <mergeCell ref="T731:W731"/>
    <mergeCell ref="AK727:AO727"/>
    <mergeCell ref="G731:J731"/>
    <mergeCell ref="G727:J727"/>
    <mergeCell ref="AC730:AG730"/>
    <mergeCell ref="Q835:T835"/>
    <mergeCell ref="J803:N803"/>
    <mergeCell ref="AC782:AG782"/>
    <mergeCell ref="X785:AB785"/>
    <mergeCell ref="AG836:AJ836"/>
    <mergeCell ref="K737:N737"/>
    <mergeCell ref="O730:S730"/>
    <mergeCell ref="AH737:AJ737"/>
    <mergeCell ref="X736:AB736"/>
    <mergeCell ref="K726:N726"/>
    <mergeCell ref="G726:J726"/>
    <mergeCell ref="K729:N729"/>
    <mergeCell ref="AH735:AJ735"/>
    <mergeCell ref="X733:AB733"/>
    <mergeCell ref="X729:AB729"/>
    <mergeCell ref="K735:N735"/>
    <mergeCell ref="K734:N734"/>
    <mergeCell ref="O727:S727"/>
    <mergeCell ref="AC736:AG736"/>
    <mergeCell ref="K736:N736"/>
    <mergeCell ref="AH736:AJ736"/>
    <mergeCell ref="O733:S733"/>
    <mergeCell ref="O734:S734"/>
    <mergeCell ref="K733:N733"/>
    <mergeCell ref="X728:AB728"/>
    <mergeCell ref="CI740:CJ740"/>
    <mergeCell ref="CI741:CJ741"/>
    <mergeCell ref="CM744:CN744"/>
    <mergeCell ref="CI746:CJ746"/>
    <mergeCell ref="CP749:CT749"/>
    <mergeCell ref="CI742:CJ742"/>
    <mergeCell ref="CM747:CN747"/>
    <mergeCell ref="CI745:CJ745"/>
    <mergeCell ref="CG741:CH741"/>
    <mergeCell ref="CI747:CJ747"/>
    <mergeCell ref="CZ738:DD738"/>
    <mergeCell ref="CI730:CJ730"/>
    <mergeCell ref="CZ749:DD749"/>
    <mergeCell ref="CM738:CN738"/>
    <mergeCell ref="CK735:CL735"/>
    <mergeCell ref="CZ747:DD747"/>
    <mergeCell ref="CZ730:DD730"/>
    <mergeCell ref="CZ732:DD732"/>
    <mergeCell ref="CZ733:DD733"/>
    <mergeCell ref="CP735:CT735"/>
    <mergeCell ref="CI735:CJ735"/>
    <mergeCell ref="CK733:CL733"/>
    <mergeCell ref="CP740:CT740"/>
    <mergeCell ref="CM737:CN737"/>
    <mergeCell ref="CM733:CN733"/>
    <mergeCell ref="CK736:CL736"/>
    <mergeCell ref="CK747:CL747"/>
    <mergeCell ref="CG740:CH740"/>
    <mergeCell ref="CP732:CT732"/>
    <mergeCell ref="CK746:CL746"/>
    <mergeCell ref="CI739:CJ739"/>
    <mergeCell ref="CI736:CJ736"/>
    <mergeCell ref="CP738:CT738"/>
    <mergeCell ref="T726:W726"/>
    <mergeCell ref="CM746:CN746"/>
    <mergeCell ref="CK738:CL738"/>
    <mergeCell ref="CK744:CL744"/>
    <mergeCell ref="CG745:CH745"/>
    <mergeCell ref="CG749:CH749"/>
    <mergeCell ref="AK747:AO747"/>
    <mergeCell ref="CI729:CJ729"/>
    <mergeCell ref="CI744:CJ744"/>
    <mergeCell ref="AK745:AO745"/>
    <mergeCell ref="K728:N728"/>
    <mergeCell ref="O735:S735"/>
    <mergeCell ref="AC735:AG735"/>
    <mergeCell ref="X732:AB732"/>
    <mergeCell ref="T728:W728"/>
    <mergeCell ref="X730:AB730"/>
    <mergeCell ref="T734:W734"/>
    <mergeCell ref="AK737:AO737"/>
    <mergeCell ref="X738:AB738"/>
    <mergeCell ref="O741:S741"/>
    <mergeCell ref="AH741:AJ741"/>
    <mergeCell ref="K738:N738"/>
    <mergeCell ref="AK735:AO735"/>
    <mergeCell ref="AH732:AJ732"/>
    <mergeCell ref="AC737:AG737"/>
    <mergeCell ref="O728:S728"/>
    <mergeCell ref="K732:N732"/>
    <mergeCell ref="O739:S739"/>
    <mergeCell ref="T733:W733"/>
    <mergeCell ref="T737:W737"/>
    <mergeCell ref="CM743:CN743"/>
    <mergeCell ref="AK739:AO739"/>
    <mergeCell ref="X740:AB740"/>
    <mergeCell ref="CM732:CN732"/>
    <mergeCell ref="CM734:CN734"/>
    <mergeCell ref="AH727:AJ727"/>
    <mergeCell ref="G738:J738"/>
    <mergeCell ref="CI725:CJ725"/>
    <mergeCell ref="CP725:CT725"/>
    <mergeCell ref="CU729:CY729"/>
    <mergeCell ref="CU728:CY728"/>
    <mergeCell ref="G740:J740"/>
    <mergeCell ref="AH743:AJ743"/>
    <mergeCell ref="X742:AB742"/>
    <mergeCell ref="K739:N739"/>
    <mergeCell ref="X739:AB739"/>
    <mergeCell ref="G736:J736"/>
    <mergeCell ref="AC732:AG732"/>
    <mergeCell ref="AC738:AG738"/>
    <mergeCell ref="CU730:CY730"/>
    <mergeCell ref="CP736:CT736"/>
    <mergeCell ref="CP728:CT728"/>
    <mergeCell ref="CI728:CJ728"/>
    <mergeCell ref="CI732:CJ732"/>
    <mergeCell ref="O726:S726"/>
    <mergeCell ref="AC740:AG740"/>
    <mergeCell ref="X741:AB741"/>
    <mergeCell ref="AH729:AJ729"/>
    <mergeCell ref="T730:W730"/>
    <mergeCell ref="O736:S736"/>
    <mergeCell ref="X727:AB727"/>
    <mergeCell ref="O737:S737"/>
    <mergeCell ref="AC729:AG729"/>
    <mergeCell ref="AE703:AI703"/>
    <mergeCell ref="Z652:AK652"/>
    <mergeCell ref="AK736:AO736"/>
    <mergeCell ref="AK730:AO730"/>
    <mergeCell ref="CG728:CH728"/>
    <mergeCell ref="CG733:CH733"/>
    <mergeCell ref="P695:R695"/>
    <mergeCell ref="G685:R685"/>
    <mergeCell ref="Z686:AK686"/>
    <mergeCell ref="AK729:AO729"/>
    <mergeCell ref="AK728:AO728"/>
    <mergeCell ref="CG727:CH727"/>
    <mergeCell ref="AH726:AJ726"/>
    <mergeCell ref="T729:W729"/>
    <mergeCell ref="O722:S725"/>
    <mergeCell ref="O738:S738"/>
    <mergeCell ref="CM728:CN728"/>
    <mergeCell ref="CM730:CN730"/>
    <mergeCell ref="AH728:AJ728"/>
    <mergeCell ref="AC727:AG727"/>
    <mergeCell ref="T735:W735"/>
    <mergeCell ref="T727:W727"/>
    <mergeCell ref="O732:S732"/>
    <mergeCell ref="G678:R678"/>
    <mergeCell ref="X735:AB735"/>
    <mergeCell ref="AH734:AJ734"/>
    <mergeCell ref="G676:R676"/>
    <mergeCell ref="G735:J735"/>
    <mergeCell ref="N681:O681"/>
    <mergeCell ref="G695:L695"/>
    <mergeCell ref="N657:O657"/>
    <mergeCell ref="CG729:CH729"/>
    <mergeCell ref="AG681:AH681"/>
    <mergeCell ref="AG673:AH673"/>
    <mergeCell ref="H672:R672"/>
    <mergeCell ref="G683:R683"/>
    <mergeCell ref="G660:R660"/>
    <mergeCell ref="G667:R667"/>
    <mergeCell ref="P679:R679"/>
    <mergeCell ref="Z683:AK683"/>
    <mergeCell ref="N697:O697"/>
    <mergeCell ref="AA696:AK696"/>
    <mergeCell ref="G651:R651"/>
    <mergeCell ref="P671:R671"/>
    <mergeCell ref="Z691:AK691"/>
    <mergeCell ref="Z676:AK676"/>
    <mergeCell ref="G741:J741"/>
    <mergeCell ref="G730:J730"/>
    <mergeCell ref="K727:N727"/>
    <mergeCell ref="O729:S729"/>
    <mergeCell ref="K730:N730"/>
    <mergeCell ref="K731:N731"/>
    <mergeCell ref="Z655:AE655"/>
    <mergeCell ref="Z678:AK678"/>
    <mergeCell ref="Z667:AK667"/>
    <mergeCell ref="Z671:AE671"/>
    <mergeCell ref="Z651:AK651"/>
    <mergeCell ref="AI663:AK663"/>
    <mergeCell ref="G677:R677"/>
    <mergeCell ref="AA680:AK680"/>
    <mergeCell ref="N689:O689"/>
    <mergeCell ref="G694:R694"/>
    <mergeCell ref="G687:L687"/>
    <mergeCell ref="R713:T713"/>
    <mergeCell ref="CZ737:DD737"/>
    <mergeCell ref="CZ739:DD739"/>
    <mergeCell ref="CU731:CY731"/>
    <mergeCell ref="CK731:CL731"/>
    <mergeCell ref="CM736:CN736"/>
    <mergeCell ref="CU734:CY734"/>
    <mergeCell ref="CZ734:DD734"/>
    <mergeCell ref="CZ743:DD743"/>
    <mergeCell ref="CU742:CY742"/>
    <mergeCell ref="CP744:CT744"/>
    <mergeCell ref="CM745:CN745"/>
    <mergeCell ref="CU745:CY745"/>
    <mergeCell ref="CG737:CH737"/>
    <mergeCell ref="CG731:CH731"/>
    <mergeCell ref="CG735:CH735"/>
    <mergeCell ref="CZ736:DD736"/>
    <mergeCell ref="CI731:CJ731"/>
    <mergeCell ref="CI734:CJ734"/>
    <mergeCell ref="CG734:CH734"/>
    <mergeCell ref="CM735:CN735"/>
    <mergeCell ref="CK734:CL734"/>
    <mergeCell ref="CP739:CT739"/>
    <mergeCell ref="CU737:CY737"/>
    <mergeCell ref="CI737:CJ737"/>
    <mergeCell ref="CP737:CT737"/>
    <mergeCell ref="CU736:CY736"/>
    <mergeCell ref="CM731:CN731"/>
    <mergeCell ref="CK739:CL739"/>
    <mergeCell ref="CK737:CL737"/>
    <mergeCell ref="CU732:CY732"/>
    <mergeCell ref="CU733:CY733"/>
    <mergeCell ref="CU738:CY738"/>
    <mergeCell ref="Z613:AE613"/>
    <mergeCell ref="M632:P634"/>
    <mergeCell ref="G605:L605"/>
    <mergeCell ref="Z619:AK619"/>
    <mergeCell ref="AI605:AK605"/>
    <mergeCell ref="G596:R596"/>
    <mergeCell ref="W646:Y646"/>
    <mergeCell ref="Z662:AK662"/>
    <mergeCell ref="Z641:AB641"/>
    <mergeCell ref="Z638:AB638"/>
    <mergeCell ref="T638:V638"/>
    <mergeCell ref="T639:V639"/>
    <mergeCell ref="AC636:AE636"/>
    <mergeCell ref="AK636:AN636"/>
    <mergeCell ref="Z636:AB636"/>
    <mergeCell ref="Z617:AK617"/>
    <mergeCell ref="N615:O615"/>
    <mergeCell ref="H622:R622"/>
    <mergeCell ref="G613:L613"/>
    <mergeCell ref="AF645:AJ645"/>
    <mergeCell ref="AC644:AE644"/>
    <mergeCell ref="T637:V637"/>
    <mergeCell ref="C645:L645"/>
    <mergeCell ref="M646:P646"/>
    <mergeCell ref="G621:L621"/>
    <mergeCell ref="AA614:AK614"/>
    <mergeCell ref="C635:L635"/>
    <mergeCell ref="N591:O591"/>
    <mergeCell ref="M570:P570"/>
    <mergeCell ref="M571:P571"/>
    <mergeCell ref="AE569:AH569"/>
    <mergeCell ref="Z639:AB639"/>
    <mergeCell ref="AF632:AJ634"/>
    <mergeCell ref="H606:R606"/>
    <mergeCell ref="P597:R597"/>
    <mergeCell ref="Z596:AK596"/>
    <mergeCell ref="AA606:AK606"/>
    <mergeCell ref="AF641:AJ641"/>
    <mergeCell ref="Q638:S638"/>
    <mergeCell ref="A625:AT626"/>
    <mergeCell ref="P605:R605"/>
    <mergeCell ref="AO641:AS641"/>
    <mergeCell ref="AO638:AS638"/>
    <mergeCell ref="AC637:AE637"/>
    <mergeCell ref="T636:V636"/>
    <mergeCell ref="AI573:AL573"/>
    <mergeCell ref="AE570:AH570"/>
    <mergeCell ref="Q570:S570"/>
    <mergeCell ref="G576:R576"/>
    <mergeCell ref="Z588:AK588"/>
    <mergeCell ref="Z603:AK603"/>
    <mergeCell ref="G597:L597"/>
    <mergeCell ref="AM569:AS569"/>
    <mergeCell ref="G593:R593"/>
    <mergeCell ref="Q639:S639"/>
    <mergeCell ref="T640:V640"/>
    <mergeCell ref="Z640:AB640"/>
    <mergeCell ref="M638:P638"/>
    <mergeCell ref="M639:P639"/>
    <mergeCell ref="AC512:AF512"/>
    <mergeCell ref="AH543:AK543"/>
    <mergeCell ref="AC540:AF540"/>
    <mergeCell ref="AC539:AF539"/>
    <mergeCell ref="AC547:AF547"/>
    <mergeCell ref="Q568:S568"/>
    <mergeCell ref="Q573:S573"/>
    <mergeCell ref="O534:AA534"/>
    <mergeCell ref="AC537:AF537"/>
    <mergeCell ref="AH538:AK538"/>
    <mergeCell ref="Z564:AD564"/>
    <mergeCell ref="Q569:S569"/>
    <mergeCell ref="H581:R581"/>
    <mergeCell ref="AC525:AF525"/>
    <mergeCell ref="AI568:AL568"/>
    <mergeCell ref="AE563:AH563"/>
    <mergeCell ref="AH547:AK547"/>
    <mergeCell ref="AH549:AK549"/>
    <mergeCell ref="AC543:AF543"/>
    <mergeCell ref="AH513:AK513"/>
    <mergeCell ref="G580:L580"/>
    <mergeCell ref="B574:AL574"/>
    <mergeCell ref="AE568:AH568"/>
    <mergeCell ref="AC517:AF517"/>
    <mergeCell ref="M637:P637"/>
    <mergeCell ref="W632:Y634"/>
    <mergeCell ref="W636:Y636"/>
    <mergeCell ref="W643:Y643"/>
    <mergeCell ref="AC632:AE634"/>
    <mergeCell ref="B632:L634"/>
    <mergeCell ref="AC640:AE640"/>
    <mergeCell ref="AI621:AK621"/>
    <mergeCell ref="AA622:AK622"/>
    <mergeCell ref="C640:L640"/>
    <mergeCell ref="M640:P640"/>
    <mergeCell ref="AO644:AS644"/>
    <mergeCell ref="AC642:AE642"/>
    <mergeCell ref="M568:P568"/>
    <mergeCell ref="H614:R614"/>
    <mergeCell ref="G618:R618"/>
    <mergeCell ref="Z618:AK618"/>
    <mergeCell ref="AI569:AL569"/>
    <mergeCell ref="Q572:S572"/>
    <mergeCell ref="P589:R589"/>
    <mergeCell ref="N599:O599"/>
    <mergeCell ref="Z612:AK612"/>
    <mergeCell ref="AE572:AH572"/>
    <mergeCell ref="T569:V569"/>
    <mergeCell ref="G603:R603"/>
    <mergeCell ref="G604:R604"/>
    <mergeCell ref="Q641:S641"/>
    <mergeCell ref="AF639:AJ639"/>
    <mergeCell ref="Z637:AB637"/>
    <mergeCell ref="N607:O607"/>
    <mergeCell ref="Z586:AK586"/>
    <mergeCell ref="AG591:AH591"/>
    <mergeCell ref="AI566:AL566"/>
    <mergeCell ref="T559:V561"/>
    <mergeCell ref="Z565:AD565"/>
    <mergeCell ref="Z570:AD570"/>
    <mergeCell ref="AG583:AH583"/>
    <mergeCell ref="H598:R598"/>
    <mergeCell ref="Z585:AK585"/>
    <mergeCell ref="M582:R582"/>
    <mergeCell ref="W563:Y563"/>
    <mergeCell ref="AG615:AH615"/>
    <mergeCell ref="AI572:AL572"/>
    <mergeCell ref="AE567:AH567"/>
    <mergeCell ref="AC549:AF549"/>
    <mergeCell ref="AE565:AH565"/>
    <mergeCell ref="Z566:AD566"/>
    <mergeCell ref="C571:L571"/>
    <mergeCell ref="AE573:AH573"/>
    <mergeCell ref="G595:R595"/>
    <mergeCell ref="G586:R586"/>
    <mergeCell ref="Q571:S571"/>
    <mergeCell ref="Z578:AK578"/>
    <mergeCell ref="C567:L567"/>
    <mergeCell ref="G609:R609"/>
    <mergeCell ref="G601:R601"/>
    <mergeCell ref="Z589:AE589"/>
    <mergeCell ref="Z594:AK594"/>
    <mergeCell ref="AA590:AK590"/>
    <mergeCell ref="AA598:AK598"/>
    <mergeCell ref="AI597:AK597"/>
    <mergeCell ref="Z604:AK604"/>
    <mergeCell ref="Z609:AK609"/>
    <mergeCell ref="AG599:AH599"/>
    <mergeCell ref="CZ729:DD729"/>
    <mergeCell ref="DJ727:DN727"/>
    <mergeCell ref="CU725:CY725"/>
    <mergeCell ref="EC672:EG672"/>
    <mergeCell ref="EC652:EG652"/>
    <mergeCell ref="Q632:S634"/>
    <mergeCell ref="Z663:AE663"/>
    <mergeCell ref="N665:O665"/>
    <mergeCell ref="C636:L636"/>
    <mergeCell ref="AF636:AJ636"/>
    <mergeCell ref="Q646:S646"/>
    <mergeCell ref="H656:R656"/>
    <mergeCell ref="CM725:CN725"/>
    <mergeCell ref="CM727:CN727"/>
    <mergeCell ref="CM729:CN729"/>
    <mergeCell ref="W711:AK711"/>
    <mergeCell ref="AC728:AG728"/>
    <mergeCell ref="Z687:AE687"/>
    <mergeCell ref="CI727:CJ727"/>
    <mergeCell ref="AI687:AK687"/>
    <mergeCell ref="AK632:AN634"/>
    <mergeCell ref="C638:L638"/>
    <mergeCell ref="M641:P641"/>
    <mergeCell ref="T641:V641"/>
    <mergeCell ref="EE726:EI726"/>
    <mergeCell ref="AO648:AS648"/>
    <mergeCell ref="W644:Y644"/>
    <mergeCell ref="M644:P644"/>
    <mergeCell ref="T643:V643"/>
    <mergeCell ref="T644:V644"/>
    <mergeCell ref="T645:V645"/>
    <mergeCell ref="AO640:AS640"/>
    <mergeCell ref="Z576:AK576"/>
    <mergeCell ref="Z579:AK579"/>
    <mergeCell ref="EC649:EG649"/>
    <mergeCell ref="EC651:EG651"/>
    <mergeCell ref="EC650:EG650"/>
    <mergeCell ref="AF646:AJ646"/>
    <mergeCell ref="Z675:AK675"/>
    <mergeCell ref="AC646:AE646"/>
    <mergeCell ref="AK722:AO725"/>
    <mergeCell ref="AK726:AO726"/>
    <mergeCell ref="Z661:AK661"/>
    <mergeCell ref="DX677:EB677"/>
    <mergeCell ref="EC678:EG678"/>
    <mergeCell ref="DX657:EB657"/>
    <mergeCell ref="DX663:EB663"/>
    <mergeCell ref="EC667:EG667"/>
    <mergeCell ref="EC668:EG668"/>
    <mergeCell ref="Z597:AE597"/>
    <mergeCell ref="B649:AN649"/>
    <mergeCell ref="EC666:EG666"/>
    <mergeCell ref="AE701:AF701"/>
    <mergeCell ref="AC643:AE643"/>
    <mergeCell ref="DX672:EB672"/>
    <mergeCell ref="DX664:EB664"/>
    <mergeCell ref="EC664:EG664"/>
    <mergeCell ref="DZ726:ED726"/>
    <mergeCell ref="EC669:EG669"/>
    <mergeCell ref="AG657:AH657"/>
    <mergeCell ref="DO725:DS725"/>
    <mergeCell ref="Z643:AB643"/>
    <mergeCell ref="Q640:S640"/>
    <mergeCell ref="M635:P635"/>
    <mergeCell ref="AO645:AS645"/>
    <mergeCell ref="E715:AK715"/>
    <mergeCell ref="W714:AK714"/>
    <mergeCell ref="B728:F728"/>
    <mergeCell ref="J712:X712"/>
    <mergeCell ref="T722:W725"/>
    <mergeCell ref="AA656:AK656"/>
    <mergeCell ref="AK645:AN645"/>
    <mergeCell ref="G686:R686"/>
    <mergeCell ref="P687:R687"/>
    <mergeCell ref="H680:R680"/>
    <mergeCell ref="EM671:EQ671"/>
    <mergeCell ref="DE725:DI725"/>
    <mergeCell ref="EC673:EG673"/>
    <mergeCell ref="EH673:EL673"/>
    <mergeCell ref="CZ726:DD726"/>
    <mergeCell ref="AC726:AG726"/>
    <mergeCell ref="Z679:AE679"/>
    <mergeCell ref="Z695:AE695"/>
    <mergeCell ref="AI671:AK671"/>
    <mergeCell ref="CU726:CY726"/>
    <mergeCell ref="P655:R655"/>
    <mergeCell ref="AI655:AK655"/>
    <mergeCell ref="G662:R662"/>
    <mergeCell ref="G661:R661"/>
    <mergeCell ref="G679:L679"/>
    <mergeCell ref="AA672:AK672"/>
    <mergeCell ref="AA688:AK688"/>
    <mergeCell ref="G663:L663"/>
    <mergeCell ref="H664:R664"/>
    <mergeCell ref="H696:R696"/>
    <mergeCell ref="Z677:AK677"/>
    <mergeCell ref="B730:F730"/>
    <mergeCell ref="B733:F733"/>
    <mergeCell ref="B732:F732"/>
    <mergeCell ref="DX653:EB653"/>
    <mergeCell ref="DE731:DI731"/>
    <mergeCell ref="EC645:EG645"/>
    <mergeCell ref="G652:R652"/>
    <mergeCell ref="P663:R663"/>
    <mergeCell ref="ET731:EX731"/>
    <mergeCell ref="DZ731:ED731"/>
    <mergeCell ref="ET733:EX733"/>
    <mergeCell ref="DU732:DY732"/>
    <mergeCell ref="EJ732:EN732"/>
    <mergeCell ref="DJ736:DN736"/>
    <mergeCell ref="CZ731:DD731"/>
    <mergeCell ref="DZ728:ED728"/>
    <mergeCell ref="EO735:ES735"/>
    <mergeCell ref="DO733:DS733"/>
    <mergeCell ref="DJ732:DN732"/>
    <mergeCell ref="DE728:DI728"/>
    <mergeCell ref="DE732:DI732"/>
    <mergeCell ref="CZ727:DD727"/>
    <mergeCell ref="DO728:DS728"/>
    <mergeCell ref="DU730:DY730"/>
    <mergeCell ref="EJ727:EN727"/>
    <mergeCell ref="DE730:DI730"/>
    <mergeCell ref="EO731:ES731"/>
    <mergeCell ref="EE732:EI732"/>
    <mergeCell ref="DJ733:DN733"/>
    <mergeCell ref="DO730:DS730"/>
    <mergeCell ref="CZ728:DD728"/>
    <mergeCell ref="DJ731:DN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CZ756:DD756"/>
    <mergeCell ref="ET744:EX744"/>
    <mergeCell ref="DJ741:DN741"/>
    <mergeCell ref="EJ742:EN742"/>
    <mergeCell ref="EO749:ES749"/>
    <mergeCell ref="DO755:DS755"/>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DE735:DI735"/>
    <mergeCell ref="DE736:DI736"/>
    <mergeCell ref="CZ735:DD735"/>
    <mergeCell ref="DE729:DI729"/>
    <mergeCell ref="CG726:CH726"/>
    <mergeCell ref="Z653:AK653"/>
    <mergeCell ref="CZ725:DD725"/>
    <mergeCell ref="Z670:AK670"/>
    <mergeCell ref="X795:AB795"/>
    <mergeCell ref="X804:AB804"/>
    <mergeCell ref="Y837:AB837"/>
    <mergeCell ref="DJ737:DN737"/>
    <mergeCell ref="DE727:DI727"/>
    <mergeCell ref="AM567:AS567"/>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G742:J742"/>
    <mergeCell ref="O740:S740"/>
    <mergeCell ref="AC741:AG741"/>
    <mergeCell ref="AH740:AJ740"/>
    <mergeCell ref="G746:J746"/>
    <mergeCell ref="O745:S745"/>
    <mergeCell ref="O746:S746"/>
    <mergeCell ref="T747:W747"/>
    <mergeCell ref="CZ748:DD748"/>
    <mergeCell ref="CZ755:DD755"/>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U958:Z958"/>
    <mergeCell ref="Z909:AE909"/>
    <mergeCell ref="Y833:AB833"/>
    <mergeCell ref="AC833:AF833"/>
    <mergeCell ref="AA950:AF950"/>
    <mergeCell ref="AA938:AF938"/>
    <mergeCell ref="AH748:AJ748"/>
    <mergeCell ref="O743:S743"/>
    <mergeCell ref="O754:S754"/>
    <mergeCell ref="O751:S751"/>
    <mergeCell ref="T751:W751"/>
    <mergeCell ref="K752:N752"/>
    <mergeCell ref="O752:S752"/>
    <mergeCell ref="T743:W743"/>
    <mergeCell ref="T742:W742"/>
    <mergeCell ref="AH747:AJ747"/>
    <mergeCell ref="CU782:CY782"/>
    <mergeCell ref="X791:AB794"/>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A957:AF957"/>
    <mergeCell ref="U941:Z941"/>
    <mergeCell ref="AA941:AF941"/>
    <mergeCell ref="F947:T947"/>
    <mergeCell ref="AA940:AF940"/>
    <mergeCell ref="AA953:AF953"/>
    <mergeCell ref="C837:H837"/>
    <mergeCell ref="AC835:AF835"/>
    <mergeCell ref="W870:AC870"/>
    <mergeCell ref="W880:AC880"/>
    <mergeCell ref="Q838:T838"/>
    <mergeCell ref="AG839:AJ839"/>
    <mergeCell ref="AC834:AF834"/>
    <mergeCell ref="W857:AC857"/>
    <mergeCell ref="AA942:AF942"/>
    <mergeCell ref="C834:H834"/>
    <mergeCell ref="F940:T940"/>
    <mergeCell ref="U945:Z945"/>
    <mergeCell ref="F949:T949"/>
    <mergeCell ref="U948:Z948"/>
    <mergeCell ref="U949:Z949"/>
    <mergeCell ref="AA947:AF947"/>
    <mergeCell ref="U932:Z932"/>
    <mergeCell ref="F938:T938"/>
    <mergeCell ref="AC896:AH896"/>
    <mergeCell ref="U955:Z955"/>
    <mergeCell ref="F955:H955"/>
    <mergeCell ref="AA976:AG976"/>
    <mergeCell ref="F937:T937"/>
    <mergeCell ref="U935:Z935"/>
    <mergeCell ref="U929:Z929"/>
    <mergeCell ref="W869:AC869"/>
    <mergeCell ref="I957:T957"/>
    <mergeCell ref="F935:T935"/>
    <mergeCell ref="F936:T93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37:F737"/>
    <mergeCell ref="B739:F739"/>
    <mergeCell ref="B738:F738"/>
    <mergeCell ref="X750:AB750"/>
    <mergeCell ref="AH750:AJ750"/>
    <mergeCell ref="B749:F749"/>
    <mergeCell ref="AC744:AG744"/>
    <mergeCell ref="T740:W740"/>
    <mergeCell ref="T739:W739"/>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K742:N742"/>
    <mergeCell ref="W878:AC878"/>
    <mergeCell ref="AC904:AH904"/>
    <mergeCell ref="W851:AC851"/>
    <mergeCell ref="Q834:T834"/>
    <mergeCell ref="T744:W744"/>
    <mergeCell ref="AG837:AJ837"/>
    <mergeCell ref="AG834:AJ834"/>
    <mergeCell ref="AG833:AJ833"/>
    <mergeCell ref="C840:L840"/>
    <mergeCell ref="W865:AC865"/>
    <mergeCell ref="M883:V883"/>
    <mergeCell ref="Y839:AB839"/>
    <mergeCell ref="W859:AC859"/>
    <mergeCell ref="W863:AC863"/>
    <mergeCell ref="B746:F746"/>
    <mergeCell ref="K757:N757"/>
    <mergeCell ref="O757:S757"/>
    <mergeCell ref="K746:N746"/>
    <mergeCell ref="T752:W752"/>
    <mergeCell ref="O755:S755"/>
    <mergeCell ref="T755:W755"/>
    <mergeCell ref="AC756:AG756"/>
    <mergeCell ref="T750:W750"/>
    <mergeCell ref="X753:AB753"/>
    <mergeCell ref="AC747:AG747"/>
    <mergeCell ref="Y831:AB832"/>
    <mergeCell ref="B761:F761"/>
    <mergeCell ref="C836:H836"/>
    <mergeCell ref="W861:AC861"/>
    <mergeCell ref="C901:AB901"/>
    <mergeCell ref="C838:H838"/>
    <mergeCell ref="T746:W746"/>
    <mergeCell ref="O748:S748"/>
    <mergeCell ref="K749:N749"/>
    <mergeCell ref="X748:AB748"/>
    <mergeCell ref="K759:N759"/>
    <mergeCell ref="O759:S759"/>
    <mergeCell ref="T982:Z982"/>
    <mergeCell ref="C904:AB904"/>
    <mergeCell ref="M976:S976"/>
    <mergeCell ref="AB995:AI995"/>
    <mergeCell ref="D994:Q994"/>
    <mergeCell ref="AB994:AI994"/>
    <mergeCell ref="B760:F760"/>
    <mergeCell ref="B759:F759"/>
    <mergeCell ref="B750:F750"/>
    <mergeCell ref="B751:F751"/>
    <mergeCell ref="G761:J761"/>
    <mergeCell ref="AD767:AF767"/>
    <mergeCell ref="AA955:AF955"/>
    <mergeCell ref="U953:Z953"/>
    <mergeCell ref="AG838:AJ838"/>
    <mergeCell ref="U840:X840"/>
    <mergeCell ref="M840:P840"/>
    <mergeCell ref="U952:Z952"/>
    <mergeCell ref="U950:Z950"/>
    <mergeCell ref="AA952:AF952"/>
    <mergeCell ref="F951:T951"/>
    <mergeCell ref="U951:Z951"/>
    <mergeCell ref="U939:Z939"/>
    <mergeCell ref="AA939:AF939"/>
    <mergeCell ref="AH757:AJ757"/>
    <mergeCell ref="M977:S977"/>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E970:AK970"/>
    <mergeCell ref="G749:J749"/>
    <mergeCell ref="O750:S750"/>
    <mergeCell ref="AC755:AG755"/>
    <mergeCell ref="T760:W760"/>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I956:T956"/>
    <mergeCell ref="F984:L984"/>
    <mergeCell ref="F941:T941"/>
    <mergeCell ref="AA948:AF948"/>
    <mergeCell ref="AA949:AF949"/>
    <mergeCell ref="M964:S964"/>
    <mergeCell ref="AA945:AF945"/>
    <mergeCell ref="AA951:AF951"/>
    <mergeCell ref="U933:Z933"/>
    <mergeCell ref="U942:Z942"/>
    <mergeCell ref="U943:Z943"/>
    <mergeCell ref="F939:T939"/>
    <mergeCell ref="AG1029:AH1029"/>
    <mergeCell ref="D1025:AE1025"/>
    <mergeCell ref="D1017:AE1019"/>
    <mergeCell ref="AF1030:AI1031"/>
    <mergeCell ref="AJ1062:AQ1062"/>
    <mergeCell ref="D995:Q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AJ1045:AQ1049"/>
    <mergeCell ref="D1050:AE1050"/>
    <mergeCell ref="D1051:AE1053"/>
    <mergeCell ref="O983:P983"/>
    <mergeCell ref="FJ733:FN733"/>
    <mergeCell ref="D1008:AE1008"/>
    <mergeCell ref="R996:AA996"/>
    <mergeCell ref="D1010:AE1010"/>
    <mergeCell ref="FY735:GC735"/>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X759:AB759"/>
    <mergeCell ref="AB999:AI999"/>
    <mergeCell ref="O749:S749"/>
    <mergeCell ref="O758:S758"/>
    <mergeCell ref="K753:N753"/>
    <mergeCell ref="T748:W748"/>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E735:FI735"/>
    <mergeCell ref="FJ735:FN735"/>
    <mergeCell ref="FO735:FS735"/>
    <mergeCell ref="FT735:FX735"/>
    <mergeCell ref="FJ734:FN734"/>
    <mergeCell ref="FO734:FS734"/>
    <mergeCell ref="FT734:FX734"/>
    <mergeCell ref="EZ736:FD736"/>
    <mergeCell ref="FE736:FI736"/>
    <mergeCell ref="FJ736:FN736"/>
    <mergeCell ref="FO736:FS736"/>
    <mergeCell ref="FT736:FX736"/>
    <mergeCell ref="FY734:GC734"/>
    <mergeCell ref="FT759:FX759"/>
    <mergeCell ref="D1003:AE1003"/>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DU739:DY739"/>
    <mergeCell ref="EO739:ES739"/>
    <mergeCell ref="FT757:FX757"/>
    <mergeCell ref="FJ755:FN755"/>
    <mergeCell ref="FO755:FS755"/>
    <mergeCell ref="FT755:FX755"/>
    <mergeCell ref="EZ745:FD745"/>
    <mergeCell ref="FE745:FI745"/>
    <mergeCell ref="FJ745:FN745"/>
    <mergeCell ref="FO745:FS745"/>
    <mergeCell ref="FJ742:FN742"/>
    <mergeCell ref="FO742:FS742"/>
    <mergeCell ref="FO738:FS738"/>
    <mergeCell ref="FT738:FX738"/>
    <mergeCell ref="FO740:FS740"/>
    <mergeCell ref="FT740:FX740"/>
    <mergeCell ref="EZ740:FD740"/>
    <mergeCell ref="DU738:DY738"/>
    <mergeCell ref="EE736:EI736"/>
    <mergeCell ref="EJ736:EN736"/>
    <mergeCell ref="EO745:ES745"/>
    <mergeCell ref="FT750:FX750"/>
    <mergeCell ref="EE741:EI741"/>
    <mergeCell ref="EO754:ES754"/>
    <mergeCell ref="ET740:EX740"/>
    <mergeCell ref="DZ740:ED740"/>
    <mergeCell ref="EE740:EI740"/>
    <mergeCell ref="EZ757:FD757"/>
    <mergeCell ref="FE757:FI757"/>
    <mergeCell ref="FJ757:FN757"/>
    <mergeCell ref="FO757:FS757"/>
    <mergeCell ref="EZ755:FD755"/>
    <mergeCell ref="FJ749:FN749"/>
    <mergeCell ref="FO749:FS74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FT749:FX749"/>
    <mergeCell ref="FY746:GC746"/>
    <mergeCell ref="FY738:GC738"/>
    <mergeCell ref="FY744:GC744"/>
    <mergeCell ref="FY740:GC740"/>
    <mergeCell ref="FO744:FS744"/>
    <mergeCell ref="FT744:FX744"/>
    <mergeCell ref="FJ748:FN748"/>
    <mergeCell ref="FE741:FI741"/>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EZ744:FD744"/>
    <mergeCell ref="FE744:FI744"/>
    <mergeCell ref="FJ744:FN744"/>
    <mergeCell ref="EW676:FA67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Y755:GC755"/>
    <mergeCell ref="FT756:FX756"/>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O746:ES746"/>
    <mergeCell ref="EW665:FA665"/>
    <mergeCell ref="EH667:EL667"/>
    <mergeCell ref="ER669:EV669"/>
    <mergeCell ref="EM649:EQ649"/>
    <mergeCell ref="ER663:EV663"/>
    <mergeCell ref="EH656:EL656"/>
    <mergeCell ref="EH659:EL659"/>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EW656:FA656"/>
    <mergeCell ref="EH654:EL654"/>
    <mergeCell ref="EM675:EQ675"/>
    <mergeCell ref="ER675:EV675"/>
    <mergeCell ref="DZ735:ED735"/>
    <mergeCell ref="EE735:EI735"/>
    <mergeCell ref="EE731:EI731"/>
    <mergeCell ref="EJ731:EN731"/>
    <mergeCell ref="EO733:ES733"/>
    <mergeCell ref="ER677:EV677"/>
    <mergeCell ref="ER676:EV676"/>
    <mergeCell ref="EE733:EI733"/>
    <mergeCell ref="EE734:EI734"/>
    <mergeCell ref="EJ734:EN734"/>
    <mergeCell ref="ER678:EV678"/>
    <mergeCell ref="EE725:EI725"/>
    <mergeCell ref="EJ728:EN728"/>
    <mergeCell ref="EO730:ES730"/>
    <mergeCell ref="EO725:ES725"/>
    <mergeCell ref="DX676:EB676"/>
    <mergeCell ref="EC676:EG676"/>
    <mergeCell ref="DX654:EB654"/>
    <mergeCell ref="EC654:EG654"/>
    <mergeCell ref="DX656:EB656"/>
    <mergeCell ref="ER673:EV673"/>
    <mergeCell ref="DX655:EB655"/>
    <mergeCell ref="DZ734:ED734"/>
    <mergeCell ref="DU734:DY734"/>
    <mergeCell ref="EE727:EI727"/>
    <mergeCell ref="EJ733:EN733"/>
    <mergeCell ref="EH660:EL660"/>
    <mergeCell ref="EM667:EQ667"/>
    <mergeCell ref="ER667:EV667"/>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H650:EL650"/>
    <mergeCell ref="EM650:EQ650"/>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77:FA677"/>
    <mergeCell ref="EH661:EL661"/>
    <mergeCell ref="EO728:ES728"/>
    <mergeCell ref="EW673:FA673"/>
    <mergeCell ref="EW667:FA66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M657:EQ657"/>
    <mergeCell ref="EM662:EQ662"/>
    <mergeCell ref="ER662:EV662"/>
    <mergeCell ref="EM660:EQ660"/>
    <mergeCell ref="ER650:EV650"/>
    <mergeCell ref="DX649:EB649"/>
    <mergeCell ref="EW662:FA662"/>
    <mergeCell ref="EW649:FA649"/>
    <mergeCell ref="EW672:FA672"/>
    <mergeCell ref="EW659:FA659"/>
    <mergeCell ref="EW657:FA657"/>
    <mergeCell ref="EH652:EL652"/>
    <mergeCell ref="EW669:FA669"/>
    <mergeCell ref="EM670:EQ670"/>
    <mergeCell ref="ER670:EV670"/>
    <mergeCell ref="DU735:DY735"/>
    <mergeCell ref="DU745:DY745"/>
    <mergeCell ref="DU743:DY743"/>
    <mergeCell ref="DO745:DS745"/>
    <mergeCell ref="ER657:EV657"/>
    <mergeCell ref="DJ728:DN728"/>
    <mergeCell ref="DJ725:DN725"/>
    <mergeCell ref="DJ730:DN730"/>
    <mergeCell ref="EE737:EI737"/>
    <mergeCell ref="EW668:FA668"/>
    <mergeCell ref="DX669:EB669"/>
    <mergeCell ref="ER661:EV661"/>
    <mergeCell ref="ER674:EV674"/>
    <mergeCell ref="EH664:EL664"/>
    <mergeCell ref="EM664:EQ664"/>
    <mergeCell ref="EW660:FA660"/>
    <mergeCell ref="EM669:EQ669"/>
    <mergeCell ref="EM678:EQ678"/>
    <mergeCell ref="EW658:FA658"/>
    <mergeCell ref="DU727:DY727"/>
    <mergeCell ref="EZ734:FD734"/>
    <mergeCell ref="EH669:EL669"/>
    <mergeCell ref="EZ728:FD728"/>
    <mergeCell ref="ET742:EX742"/>
    <mergeCell ref="ET743:EX743"/>
    <mergeCell ref="EM661:EQ661"/>
    <mergeCell ref="EW663:FA663"/>
    <mergeCell ref="DO738:DS738"/>
    <mergeCell ref="DO739:DS739"/>
    <mergeCell ref="ET739:EX739"/>
    <mergeCell ref="EJ735:EN735"/>
    <mergeCell ref="EO737:ES737"/>
    <mergeCell ref="EJ743:EN743"/>
    <mergeCell ref="EO743:ES743"/>
    <mergeCell ref="DZ743:ED743"/>
    <mergeCell ref="ET745:EX745"/>
    <mergeCell ref="EJ761:EN761"/>
    <mergeCell ref="DO748:DS748"/>
    <mergeCell ref="DJ748:DN748"/>
    <mergeCell ref="DE759:DI759"/>
    <mergeCell ref="EE760:EI760"/>
    <mergeCell ref="DU746:DY746"/>
    <mergeCell ref="EO761:ES761"/>
    <mergeCell ref="EJ748:EN748"/>
    <mergeCell ref="EO753:ES753"/>
    <mergeCell ref="EE761:EI761"/>
    <mergeCell ref="DE754:DI754"/>
    <mergeCell ref="DE748:DI748"/>
    <mergeCell ref="DE746:DI746"/>
    <mergeCell ref="EJ737:EN737"/>
    <mergeCell ref="DZ739:ED739"/>
    <mergeCell ref="EE739:EI739"/>
    <mergeCell ref="EJ739:EN739"/>
    <mergeCell ref="DU740:DY740"/>
    <mergeCell ref="EJ740:EN740"/>
    <mergeCell ref="EJ746:EN746"/>
    <mergeCell ref="DE743:DI743"/>
    <mergeCell ref="DO746:DS746"/>
    <mergeCell ref="DZ738:ED738"/>
    <mergeCell ref="EE738:EI738"/>
    <mergeCell ref="EJ738:EN738"/>
    <mergeCell ref="EW674:FA674"/>
    <mergeCell ref="DO735:DS735"/>
    <mergeCell ref="DO736:DS736"/>
    <mergeCell ref="DO731:DS731"/>
    <mergeCell ref="DO732:DS732"/>
    <mergeCell ref="DO740:DS740"/>
    <mergeCell ref="DU744:DY744"/>
    <mergeCell ref="EE745:EI745"/>
    <mergeCell ref="EJ745:EN745"/>
    <mergeCell ref="DZ744:ED744"/>
    <mergeCell ref="EE744:EI744"/>
    <mergeCell ref="EJ744:EN744"/>
    <mergeCell ref="DZ759:ED759"/>
    <mergeCell ref="DU760:DY760"/>
    <mergeCell ref="DZ760:ED760"/>
    <mergeCell ref="DJ760:DN760"/>
    <mergeCell ref="DO752:DS752"/>
    <mergeCell ref="DZ745:ED745"/>
    <mergeCell ref="DZ746:ED746"/>
    <mergeCell ref="EE746:EI746"/>
    <mergeCell ref="DO758:DS758"/>
    <mergeCell ref="DJ753:DN753"/>
    <mergeCell ref="DO753:DS753"/>
    <mergeCell ref="DO750:DS750"/>
    <mergeCell ref="DU748:DY748"/>
    <mergeCell ref="DZ748:ED748"/>
    <mergeCell ref="EE748:EI748"/>
    <mergeCell ref="EE753:EI753"/>
    <mergeCell ref="DU757:DY757"/>
    <mergeCell ref="DZ757:ED757"/>
    <mergeCell ref="EZ760:FD760"/>
    <mergeCell ref="DO744:DS744"/>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EE747:EI747"/>
    <mergeCell ref="DO761:DS761"/>
    <mergeCell ref="DJ758:DN758"/>
    <mergeCell ref="DO757:DS757"/>
    <mergeCell ref="DE756:DI756"/>
    <mergeCell ref="CI738:CJ738"/>
    <mergeCell ref="DO743:DS743"/>
    <mergeCell ref="CI759:CJ759"/>
    <mergeCell ref="CP743:CT743"/>
    <mergeCell ref="DJ744:DN744"/>
    <mergeCell ref="DE744:DI744"/>
    <mergeCell ref="CM748:CN748"/>
    <mergeCell ref="DO747:DS747"/>
    <mergeCell ref="CZ783:DD783"/>
    <mergeCell ref="CZ784:DD784"/>
    <mergeCell ref="DE784:DI784"/>
    <mergeCell ref="DJ754:DN754"/>
    <mergeCell ref="DE758:DI758"/>
    <mergeCell ref="DO762:DS762"/>
    <mergeCell ref="DE761:DI761"/>
    <mergeCell ref="DO759:DS759"/>
    <mergeCell ref="DO760:DS760"/>
    <mergeCell ref="DO782:DS782"/>
    <mergeCell ref="DO781:DS781"/>
    <mergeCell ref="DJ759:DN759"/>
    <mergeCell ref="CP755:CT755"/>
    <mergeCell ref="CP753:CT753"/>
    <mergeCell ref="CU750:CY750"/>
    <mergeCell ref="CZ750:DD750"/>
    <mergeCell ref="CP781:CT781"/>
    <mergeCell ref="DJ750:DN750"/>
    <mergeCell ref="CK749:CL749"/>
    <mergeCell ref="CM749:CN749"/>
    <mergeCell ref="DE755:DI755"/>
    <mergeCell ref="CP802:CT802"/>
    <mergeCell ref="EE752:EI752"/>
    <mergeCell ref="EH658:EL658"/>
    <mergeCell ref="EO744:ES744"/>
    <mergeCell ref="DZ761:ED761"/>
    <mergeCell ref="DZ752:ED752"/>
    <mergeCell ref="EO748:ES748"/>
    <mergeCell ref="DJ749:DN749"/>
    <mergeCell ref="DE745:DI745"/>
    <mergeCell ref="DJ751:DN751"/>
    <mergeCell ref="DJ756:DN756"/>
    <mergeCell ref="DO756:DS756"/>
    <mergeCell ref="EE743:EI743"/>
    <mergeCell ref="DU761:DY761"/>
    <mergeCell ref="EE759:EI759"/>
    <mergeCell ref="DU759:DY759"/>
    <mergeCell ref="CZ745:DD745"/>
    <mergeCell ref="DE741:DI741"/>
    <mergeCell ref="CU743:CY743"/>
    <mergeCell ref="CZ759:DD759"/>
    <mergeCell ref="CU741:CY741"/>
    <mergeCell ref="DX658:EB658"/>
    <mergeCell ref="EC658:EG658"/>
    <mergeCell ref="EC663:EG663"/>
    <mergeCell ref="DX675:EB675"/>
    <mergeCell ref="ER665:EV665"/>
    <mergeCell ref="DU737:DY737"/>
    <mergeCell ref="DZ732:ED732"/>
    <mergeCell ref="DU736:DY736"/>
    <mergeCell ref="DZ742:ED742"/>
    <mergeCell ref="ET737:EX737"/>
    <mergeCell ref="DZ736:ED736"/>
    <mergeCell ref="DE734:DI734"/>
    <mergeCell ref="AK738:AO738"/>
    <mergeCell ref="EM656:EQ656"/>
    <mergeCell ref="EH663:EL663"/>
    <mergeCell ref="EM663:EQ663"/>
    <mergeCell ref="DU726:DY726"/>
    <mergeCell ref="DU729:DY729"/>
    <mergeCell ref="EE729:EI729"/>
    <mergeCell ref="EJ729:EN729"/>
    <mergeCell ref="DZ729:ED729"/>
    <mergeCell ref="DZ730:ED730"/>
    <mergeCell ref="DU725:DY725"/>
    <mergeCell ref="DU747:DY747"/>
    <mergeCell ref="DZ747:ED747"/>
    <mergeCell ref="EJ725:EN725"/>
    <mergeCell ref="EO740:ES740"/>
    <mergeCell ref="EJ747:EN747"/>
    <mergeCell ref="DJ746:DN746"/>
    <mergeCell ref="CM742:CN742"/>
    <mergeCell ref="DO741:DS741"/>
    <mergeCell ref="DO742:DS742"/>
    <mergeCell ref="DO729:DS729"/>
    <mergeCell ref="DO734:DS734"/>
    <mergeCell ref="DO726:DS726"/>
    <mergeCell ref="AI679:AK679"/>
    <mergeCell ref="Z684:AK684"/>
    <mergeCell ref="DJ726:DN726"/>
    <mergeCell ref="Z692:AK692"/>
    <mergeCell ref="W708:AK708"/>
    <mergeCell ref="DJ729:DN729"/>
    <mergeCell ref="Z669:AK669"/>
    <mergeCell ref="Z668:AK668"/>
    <mergeCell ref="AC524:AF524"/>
    <mergeCell ref="AI570:AL570"/>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AK734:AO734"/>
    <mergeCell ref="DJ742:DN742"/>
    <mergeCell ref="CP797:CT797"/>
    <mergeCell ref="CP795:CT795"/>
    <mergeCell ref="AK758:AO758"/>
    <mergeCell ref="CG744:CH744"/>
    <mergeCell ref="CI748:CJ748"/>
    <mergeCell ref="DJ738:DN738"/>
    <mergeCell ref="DJ735:DN735"/>
    <mergeCell ref="DJ734:DN734"/>
    <mergeCell ref="CI733:CJ733"/>
    <mergeCell ref="CZ740:DD740"/>
    <mergeCell ref="CZ753:DD753"/>
    <mergeCell ref="DE753:DI753"/>
    <mergeCell ref="CU781:CY781"/>
    <mergeCell ref="CP746:CT746"/>
    <mergeCell ref="AK760:AO760"/>
    <mergeCell ref="DE737:DI737"/>
    <mergeCell ref="AF640:AJ640"/>
    <mergeCell ref="AC639:AE639"/>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AM572:AS572"/>
    <mergeCell ref="AM574:AS574"/>
    <mergeCell ref="AE564:AH564"/>
    <mergeCell ref="AG607:AH607"/>
    <mergeCell ref="AM566:AS566"/>
    <mergeCell ref="M26:Q26"/>
    <mergeCell ref="H16:AJ16"/>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C511:AF511"/>
    <mergeCell ref="AK639:AN639"/>
    <mergeCell ref="AK640:AN640"/>
    <mergeCell ref="AI564:AL564"/>
    <mergeCell ref="T565:V565"/>
    <mergeCell ref="W564:Y564"/>
    <mergeCell ref="Q564:S564"/>
    <mergeCell ref="M562:P562"/>
    <mergeCell ref="M573:P573"/>
    <mergeCell ref="AC521:AF521"/>
    <mergeCell ref="AH544:AK544"/>
    <mergeCell ref="AH536:AK536"/>
    <mergeCell ref="M567:P567"/>
    <mergeCell ref="C572:L572"/>
    <mergeCell ref="M572:P572"/>
    <mergeCell ref="W562:Y562"/>
    <mergeCell ref="AM564:AS56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W641:Y641"/>
    <mergeCell ref="G669:R669"/>
    <mergeCell ref="AO632:AS634"/>
    <mergeCell ref="AC638:AE638"/>
    <mergeCell ref="G611:R611"/>
    <mergeCell ref="O784:S784"/>
    <mergeCell ref="O777:S780"/>
    <mergeCell ref="O799:S799"/>
    <mergeCell ref="K748:N748"/>
    <mergeCell ref="AC746:AG746"/>
    <mergeCell ref="G747:J747"/>
    <mergeCell ref="X749:AB749"/>
    <mergeCell ref="J796:N796"/>
    <mergeCell ref="G653:R653"/>
    <mergeCell ref="A69:AT70"/>
    <mergeCell ref="L516:AB516"/>
    <mergeCell ref="O528:AA528"/>
    <mergeCell ref="AH534:AK534"/>
    <mergeCell ref="M569:P569"/>
    <mergeCell ref="G577:R577"/>
    <mergeCell ref="H590:R590"/>
    <mergeCell ref="Z587:AK587"/>
    <mergeCell ref="AA581:AK581"/>
    <mergeCell ref="C573:L573"/>
    <mergeCell ref="W566:Y566"/>
    <mergeCell ref="AE566:AH566"/>
    <mergeCell ref="C565:L565"/>
    <mergeCell ref="Z572:AD572"/>
    <mergeCell ref="Z573:AD573"/>
    <mergeCell ref="Z580:AE580"/>
    <mergeCell ref="AI563:AL563"/>
    <mergeCell ref="T566:V566"/>
    <mergeCell ref="B743:F743"/>
    <mergeCell ref="AB996:AI996"/>
    <mergeCell ref="D996:Q996"/>
    <mergeCell ref="R998:AA998"/>
    <mergeCell ref="AJ998:AQ998"/>
    <mergeCell ref="AM570:AS570"/>
    <mergeCell ref="M642:P642"/>
    <mergeCell ref="Q642:S642"/>
    <mergeCell ref="AK644:AN644"/>
    <mergeCell ref="AK744:AO744"/>
    <mergeCell ref="AK746:AO746"/>
    <mergeCell ref="AE965:AK965"/>
    <mergeCell ref="P954:T954"/>
    <mergeCell ref="F953:T953"/>
    <mergeCell ref="G744:J744"/>
    <mergeCell ref="AH759:AJ759"/>
    <mergeCell ref="K754:N754"/>
    <mergeCell ref="T754:W754"/>
    <mergeCell ref="K755:N755"/>
    <mergeCell ref="AH758:AJ758"/>
    <mergeCell ref="B744:F744"/>
    <mergeCell ref="W875:AC875"/>
    <mergeCell ref="W867:AC867"/>
    <mergeCell ref="AK638:AN638"/>
    <mergeCell ref="AO639:AS639"/>
    <mergeCell ref="G692:R692"/>
    <mergeCell ref="G589:L589"/>
    <mergeCell ref="Z605:AE605"/>
    <mergeCell ref="AF637:AJ637"/>
    <mergeCell ref="W637:Y637"/>
    <mergeCell ref="T571:V571"/>
    <mergeCell ref="AK641:AN641"/>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G764:AJ764"/>
    <mergeCell ref="AE707:AI707"/>
    <mergeCell ref="C642:L642"/>
    <mergeCell ref="M981:S981"/>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Formulas="1" showGridLines="0" topLeftCell="A4" workbookViewId="0">
      <selection activeCell="E26" sqref="E2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547</v>
      </c>
      <c r="B1" s="125"/>
      <c r="C1" s="125"/>
      <c r="D1" s="125"/>
      <c r="E1" s="126"/>
      <c r="F1" s="1266" t="s">
        <v>619</v>
      </c>
      <c r="G1" s="1267"/>
      <c r="H1" s="1267"/>
      <c r="I1" s="1267"/>
      <c r="J1" s="1267"/>
      <c r="K1" s="1267"/>
      <c r="L1" s="1267"/>
      <c r="M1" s="1267"/>
      <c r="N1" s="1267"/>
      <c r="O1" s="1267"/>
      <c r="P1" s="1267"/>
      <c r="Q1" s="1267"/>
      <c r="R1" s="1268"/>
      <c r="S1" s="112"/>
      <c r="T1" s="111"/>
      <c r="U1" s="113"/>
    </row>
    <row r="2" spans="1:21" s="138" customFormat="1" ht="71.25" customHeight="1">
      <c r="A2" s="137"/>
      <c r="B2" s="138" t="s">
        <v>23</v>
      </c>
      <c r="C2" s="138" t="s">
        <v>373</v>
      </c>
      <c r="D2" s="138" t="s">
        <v>372</v>
      </c>
      <c r="E2" s="138" t="s">
        <v>24</v>
      </c>
      <c r="F2" s="139" t="str">
        <f>Application!B635&amp;Application!C635</f>
        <v>1)BWE Tax Exempt Perm Loan</v>
      </c>
      <c r="G2" s="139" t="str">
        <f>Application!B636&amp;Application!C636</f>
        <v>2)LAHD Homes for LA ULA MF</v>
      </c>
      <c r="H2" s="139" t="str">
        <f>Application!B637&amp;Application!C637</f>
        <v>3)HCD AHSC Loan</v>
      </c>
      <c r="I2" s="139" t="str">
        <f>Application!B638&amp;Application!C638</f>
        <v>4)GP Loan of HCD HRI Grant</v>
      </c>
      <c r="J2" s="139" t="str">
        <f>Application!B639&amp;Application!C639</f>
        <v>5)Deferred Developer Fee</v>
      </c>
      <c r="K2" s="139" t="str">
        <f>Application!B640&amp;Application!C640</f>
        <v>6)General Partner Equity</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B4-SUM(F4:Q4)</f>
        <v>0</v>
      </c>
      <c r="F4" s="147"/>
      <c r="G4" s="147"/>
      <c r="H4" s="147"/>
      <c r="I4" s="147"/>
      <c r="J4" s="147"/>
      <c r="K4" s="147"/>
      <c r="L4" s="147"/>
      <c r="M4" s="147"/>
      <c r="N4" s="147"/>
      <c r="O4" s="147"/>
      <c r="P4" s="147"/>
      <c r="Q4" s="147"/>
      <c r="R4" s="515">
        <f>SUM(E4:Q4)</f>
        <v>0</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15">
        <f>SUM(E5:Q5)</f>
        <v>0</v>
      </c>
      <c r="S5" s="148"/>
      <c r="T5" s="148"/>
      <c r="U5" s="143"/>
    </row>
    <row r="6" spans="1:21" s="144" customFormat="1">
      <c r="A6" s="145" t="s">
        <v>29</v>
      </c>
      <c r="B6" s="146">
        <f>SUM(C6+D6)</f>
        <v>35000</v>
      </c>
      <c r="C6" s="147">
        <v>34465</v>
      </c>
      <c r="D6" s="147">
        <v>535</v>
      </c>
      <c r="E6" s="147">
        <f t="shared" si="0"/>
        <v>35000</v>
      </c>
      <c r="F6" s="147"/>
      <c r="G6" s="147"/>
      <c r="H6" s="147"/>
      <c r="I6" s="147"/>
      <c r="J6" s="147"/>
      <c r="K6" s="147"/>
      <c r="L6" s="147"/>
      <c r="M6" s="147"/>
      <c r="N6" s="147"/>
      <c r="O6" s="147"/>
      <c r="P6" s="147"/>
      <c r="Q6" s="147"/>
      <c r="R6" s="515">
        <f>SUM(E6:Q6)</f>
        <v>35000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5">
        <f>SUM(E7:Q7)</f>
        <v>0</v>
      </c>
      <c r="S7" s="148"/>
      <c r="T7" s="148"/>
      <c r="U7" s="143"/>
    </row>
    <row r="8" spans="1:21" s="144" customFormat="1">
      <c r="A8" s="149" t="s">
        <v>591</v>
      </c>
      <c r="B8" s="146">
        <f>SUM(C8:D8)</f>
        <v>35000</v>
      </c>
      <c r="C8" s="146">
        <f t="shared" ref="C8:Q8" si="1">SUM(C4:C7)</f>
        <v>34465</v>
      </c>
      <c r="D8" s="146">
        <f t="shared" si="1"/>
        <v>535</v>
      </c>
      <c r="E8" s="146">
        <f t="shared" si="1"/>
        <v>35000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1">
        <f>SUM(R4:R7)</f>
        <v>35000</v>
      </c>
      <c r="S8" s="148"/>
      <c r="T8" s="148"/>
      <c r="U8" s="143"/>
    </row>
    <row r="9" spans="1:21" s="144" customFormat="1">
      <c r="A9" s="145" t="s">
        <v>592</v>
      </c>
      <c r="B9" s="146">
        <f>SUM(C9+D9)</f>
        <v>0</v>
      </c>
      <c r="C9" s="147"/>
      <c r="D9" s="147"/>
      <c r="E9" s="147">
        <f t="shared" ref="E9:E10" si="2">B9-SUM(F9:Q9)</f>
        <v>0</v>
      </c>
      <c r="F9" s="147"/>
      <c r="G9" s="147"/>
      <c r="H9" s="147"/>
      <c r="I9" s="147"/>
      <c r="J9" s="147"/>
      <c r="K9" s="147"/>
      <c r="L9" s="147"/>
      <c r="M9" s="147"/>
      <c r="N9" s="147"/>
      <c r="O9" s="147"/>
      <c r="P9" s="147"/>
      <c r="Q9" s="147"/>
      <c r="R9" s="515">
        <f>SUM(E9:Q9)</f>
        <v>0</v>
      </c>
      <c r="S9" s="148"/>
      <c r="T9" s="147"/>
      <c r="U9" s="143"/>
    </row>
    <row r="10" spans="1:21" s="144" customFormat="1">
      <c r="A10" s="145" t="s">
        <v>593</v>
      </c>
      <c r="B10" s="146">
        <f>SUM(C10+D10)</f>
        <v>237461</v>
      </c>
      <c r="C10" s="147">
        <v>237461</v>
      </c>
      <c r="D10" s="147"/>
      <c r="E10" s="147">
        <f t="shared" si="2"/>
        <v>237461</v>
      </c>
      <c r="F10" s="147"/>
      <c r="G10" s="147"/>
      <c r="H10" s="147"/>
      <c r="I10" s="147"/>
      <c r="J10" s="147"/>
      <c r="K10" s="147"/>
      <c r="L10" s="147"/>
      <c r="M10" s="147"/>
      <c r="N10" s="147"/>
      <c r="O10" s="147"/>
      <c r="P10" s="147"/>
      <c r="Q10" s="147"/>
      <c r="R10" s="515">
        <f>SUM(E10:Q10)</f>
        <v>237461</v>
      </c>
      <c r="S10" s="147">
        <f>C10</f>
        <v>237461</v>
      </c>
      <c r="T10" s="147"/>
      <c r="U10" s="143"/>
    </row>
    <row r="11" spans="1:21" s="144" customFormat="1">
      <c r="A11" s="149" t="s">
        <v>594</v>
      </c>
      <c r="B11" s="146">
        <f>SUM(C11:D11)</f>
        <v>237461</v>
      </c>
      <c r="C11" s="146">
        <f t="shared" ref="C11:Q11" si="3">SUM(C9:C10)</f>
        <v>237461</v>
      </c>
      <c r="D11" s="146">
        <f t="shared" si="3"/>
        <v>0</v>
      </c>
      <c r="E11" s="146">
        <f t="shared" si="3"/>
        <v>237461</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1">
        <f>SUM(R9:R10)</f>
        <v>237461</v>
      </c>
      <c r="S11" s="148"/>
      <c r="T11" s="150">
        <f>SUM(T9:T10)</f>
        <v>0</v>
      </c>
      <c r="U11" s="143"/>
    </row>
    <row r="12" spans="1:21" s="144" customFormat="1">
      <c r="A12" s="149" t="s">
        <v>84</v>
      </c>
      <c r="B12" s="146">
        <f t="shared" ref="B12:Q12" si="4">SUM(B8+B11)</f>
        <v>272461</v>
      </c>
      <c r="C12" s="146">
        <f t="shared" si="4"/>
        <v>271926</v>
      </c>
      <c r="D12" s="146">
        <f t="shared" si="4"/>
        <v>535</v>
      </c>
      <c r="E12" s="146">
        <f t="shared" si="4"/>
        <v>272461</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1">
        <f>SUM(R8+R11)</f>
        <v>272461</v>
      </c>
      <c r="S12" s="148"/>
      <c r="T12" s="148"/>
      <c r="U12" s="143"/>
    </row>
    <row r="13" spans="1:21" s="144" customFormat="1">
      <c r="A13" s="286" t="s">
        <v>900</v>
      </c>
      <c r="B13" s="146">
        <f>SUM(C13+D13)</f>
        <v>0</v>
      </c>
      <c r="C13" s="147"/>
      <c r="D13" s="147"/>
      <c r="E13" s="147">
        <f t="shared" ref="E13:E15" si="5">B13-SUM(F13:Q13)</f>
        <v>0</v>
      </c>
      <c r="F13" s="147"/>
      <c r="G13" s="147"/>
      <c r="H13" s="147"/>
      <c r="I13" s="147"/>
      <c r="J13" s="147"/>
      <c r="K13" s="147"/>
      <c r="L13" s="147"/>
      <c r="M13" s="147"/>
      <c r="N13" s="147"/>
      <c r="O13" s="147"/>
      <c r="P13" s="147"/>
      <c r="Q13" s="147"/>
      <c r="R13" s="515">
        <f>SUM(E13:Q13)</f>
        <v>0</v>
      </c>
      <c r="S13" s="147"/>
      <c r="T13" s="147"/>
      <c r="U13" s="143"/>
    </row>
    <row r="14" spans="1:21" s="144" customFormat="1" ht="24">
      <c r="A14" s="287" t="s">
        <v>1630</v>
      </c>
      <c r="B14" s="146">
        <f>SUM(C14+D14)</f>
        <v>0</v>
      </c>
      <c r="C14" s="147"/>
      <c r="D14" s="147"/>
      <c r="E14" s="147">
        <f t="shared" si="5"/>
        <v>0</v>
      </c>
      <c r="F14" s="147"/>
      <c r="G14" s="147"/>
      <c r="H14" s="147"/>
      <c r="I14" s="147"/>
      <c r="J14" s="147"/>
      <c r="K14" s="147"/>
      <c r="L14" s="147"/>
      <c r="M14" s="147"/>
      <c r="N14" s="147"/>
      <c r="O14" s="147"/>
      <c r="P14" s="147"/>
      <c r="Q14" s="147"/>
      <c r="R14" s="515">
        <f>SUM(E14:Q14)</f>
        <v>0</v>
      </c>
      <c r="S14" s="147"/>
      <c r="T14" s="147"/>
      <c r="U14" s="143"/>
    </row>
    <row r="15" spans="1:21" s="144" customFormat="1">
      <c r="A15" s="287" t="s">
        <v>1159</v>
      </c>
      <c r="B15" s="146">
        <f>SUM(C15+D15)</f>
        <v>0</v>
      </c>
      <c r="C15" s="147"/>
      <c r="D15" s="147"/>
      <c r="E15" s="147">
        <f t="shared" si="5"/>
        <v>0</v>
      </c>
      <c r="F15" s="147"/>
      <c r="G15" s="147"/>
      <c r="H15" s="147"/>
      <c r="I15" s="147"/>
      <c r="J15" s="147"/>
      <c r="K15" s="147"/>
      <c r="L15" s="147"/>
      <c r="M15" s="147"/>
      <c r="N15" s="147"/>
      <c r="O15" s="147"/>
      <c r="P15" s="147"/>
      <c r="Q15" s="147"/>
      <c r="R15" s="515">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6">SUM(C17+D17)</f>
        <v>0</v>
      </c>
      <c r="C17" s="147"/>
      <c r="D17" s="147"/>
      <c r="E17" s="147">
        <f t="shared" ref="E17:E25" si="7">B17-SUM(F17:Q17)</f>
        <v>0</v>
      </c>
      <c r="F17" s="147"/>
      <c r="G17" s="147"/>
      <c r="H17" s="147"/>
      <c r="I17" s="147"/>
      <c r="J17" s="147"/>
      <c r="K17" s="147"/>
      <c r="L17" s="147"/>
      <c r="M17" s="147"/>
      <c r="N17" s="147"/>
      <c r="O17" s="147"/>
      <c r="P17" s="147"/>
      <c r="Q17" s="147"/>
      <c r="R17" s="515">
        <f>SUM(E17:Q17)</f>
        <v>0</v>
      </c>
      <c r="S17" s="147"/>
      <c r="T17" s="147"/>
      <c r="U17" s="143"/>
    </row>
    <row r="18" spans="1:21" s="144" customFormat="1">
      <c r="A18" s="145" t="s">
        <v>597</v>
      </c>
      <c r="B18" s="146">
        <f t="shared" si="6"/>
        <v>0</v>
      </c>
      <c r="C18" s="147"/>
      <c r="D18" s="147"/>
      <c r="E18" s="147">
        <f t="shared" si="7"/>
        <v>0</v>
      </c>
      <c r="F18" s="147"/>
      <c r="G18" s="147"/>
      <c r="H18" s="147"/>
      <c r="I18" s="147"/>
      <c r="J18" s="147"/>
      <c r="K18" s="147"/>
      <c r="L18" s="147"/>
      <c r="M18" s="147"/>
      <c r="N18" s="147"/>
      <c r="O18" s="147"/>
      <c r="P18" s="147"/>
      <c r="Q18" s="147"/>
      <c r="R18" s="515">
        <f>SUM(E18:Q18)</f>
        <v>0</v>
      </c>
      <c r="S18" s="147"/>
      <c r="T18" s="147"/>
      <c r="U18" s="143"/>
    </row>
    <row r="19" spans="1:21" s="144" customFormat="1">
      <c r="A19" s="145" t="s">
        <v>598</v>
      </c>
      <c r="B19" s="146">
        <f t="shared" si="6"/>
        <v>0</v>
      </c>
      <c r="C19" s="147"/>
      <c r="D19" s="147"/>
      <c r="E19" s="147">
        <f t="shared" si="7"/>
        <v>0</v>
      </c>
      <c r="F19" s="147"/>
      <c r="G19" s="147"/>
      <c r="H19" s="147"/>
      <c r="I19" s="147"/>
      <c r="J19" s="147"/>
      <c r="K19" s="147"/>
      <c r="L19" s="147"/>
      <c r="M19" s="147"/>
      <c r="N19" s="147"/>
      <c r="O19" s="147"/>
      <c r="P19" s="147"/>
      <c r="Q19" s="147"/>
      <c r="R19" s="515">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5">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5">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5">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5">
        <f t="shared" si="8"/>
        <v>0</v>
      </c>
      <c r="S23" s="147"/>
      <c r="T23" s="147"/>
      <c r="U23" s="143"/>
    </row>
    <row r="24" spans="1:21" s="144" customFormat="1">
      <c r="A24" s="507" t="s">
        <v>1627</v>
      </c>
      <c r="B24" s="146">
        <f t="shared" si="6"/>
        <v>0</v>
      </c>
      <c r="C24" s="147"/>
      <c r="D24" s="147"/>
      <c r="E24" s="147">
        <f t="shared" si="7"/>
        <v>0</v>
      </c>
      <c r="F24" s="147"/>
      <c r="G24" s="147"/>
      <c r="H24" s="147"/>
      <c r="I24" s="147"/>
      <c r="J24" s="147"/>
      <c r="K24" s="147"/>
      <c r="L24" s="147"/>
      <c r="M24" s="147"/>
      <c r="N24" s="147"/>
      <c r="O24" s="147"/>
      <c r="P24" s="147"/>
      <c r="Q24" s="147"/>
      <c r="R24" s="515">
        <f t="shared" si="8"/>
        <v>0</v>
      </c>
      <c r="S24" s="147"/>
      <c r="T24" s="147"/>
      <c r="U24" s="143"/>
    </row>
    <row r="25" spans="1:21" s="144" customFormat="1">
      <c r="A25" s="1142" t="s">
        <v>34</v>
      </c>
      <c r="B25" s="146">
        <f t="shared" si="6"/>
        <v>0</v>
      </c>
      <c r="C25" s="147"/>
      <c r="D25" s="147"/>
      <c r="E25" s="147">
        <f t="shared" si="7"/>
        <v>0</v>
      </c>
      <c r="F25" s="147"/>
      <c r="G25" s="147"/>
      <c r="H25" s="147"/>
      <c r="I25" s="147"/>
      <c r="J25" s="147"/>
      <c r="K25" s="147"/>
      <c r="L25" s="147"/>
      <c r="M25" s="147"/>
      <c r="N25" s="147"/>
      <c r="O25" s="147"/>
      <c r="P25" s="147"/>
      <c r="Q25" s="147"/>
      <c r="R25" s="515">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1">
        <f>SUM(R17:R25)</f>
        <v>0</v>
      </c>
      <c r="S26" s="150">
        <f>SUM(S17:S25)</f>
        <v>0</v>
      </c>
      <c r="T26" s="150">
        <f>SUM(T17:T25)</f>
        <v>0</v>
      </c>
      <c r="U26" s="143"/>
    </row>
    <row r="27" spans="1:21" s="144" customFormat="1">
      <c r="A27" s="149" t="s">
        <v>141</v>
      </c>
      <c r="B27" s="146">
        <f>SUM(C27:D27)</f>
        <v>0</v>
      </c>
      <c r="C27" s="147"/>
      <c r="D27" s="147"/>
      <c r="E27" s="147">
        <f>B27-SUM(F27:Q27)</f>
        <v>0</v>
      </c>
      <c r="F27" s="147"/>
      <c r="G27" s="147"/>
      <c r="H27" s="147"/>
      <c r="I27" s="147"/>
      <c r="J27" s="147"/>
      <c r="K27" s="147"/>
      <c r="L27" s="147"/>
      <c r="M27" s="147"/>
      <c r="N27" s="147"/>
      <c r="O27" s="147"/>
      <c r="P27" s="147"/>
      <c r="Q27" s="147"/>
      <c r="R27" s="515">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10">SUM(C29+D29)</f>
        <v>5205819</v>
      </c>
      <c r="C29" s="147">
        <v>5038342</v>
      </c>
      <c r="D29" s="147">
        <v>167477</v>
      </c>
      <c r="E29" s="147">
        <f t="shared" ref="E29:E37" si="11">B29-SUM(F29:Q29)</f>
        <v>0</v>
      </c>
      <c r="F29" s="147">
        <v>3007518</v>
      </c>
      <c r="G29" s="147"/>
      <c r="H29" s="147"/>
      <c r="I29" s="147">
        <f>2198301</f>
        <v>2198301</v>
      </c>
      <c r="J29" s="147"/>
      <c r="K29" s="147"/>
      <c r="L29" s="147"/>
      <c r="M29" s="147"/>
      <c r="N29" s="147"/>
      <c r="O29" s="147"/>
      <c r="P29" s="147"/>
      <c r="Q29" s="147"/>
      <c r="R29" s="515">
        <f t="shared" ref="R29:R37" si="12">SUM(E29:Q29)</f>
        <v>5205819</v>
      </c>
      <c r="S29" s="147">
        <f>C29</f>
        <v>5038342</v>
      </c>
      <c r="T29" s="147"/>
      <c r="U29" s="143"/>
    </row>
    <row r="30" spans="1:21" s="144" customFormat="1">
      <c r="A30" s="145" t="s">
        <v>597</v>
      </c>
      <c r="B30" s="146">
        <f t="shared" si="10"/>
        <v>53285299</v>
      </c>
      <c r="C30" s="147">
        <v>51571056</v>
      </c>
      <c r="D30" s="147">
        <v>1714243</v>
      </c>
      <c r="E30" s="147">
        <f t="shared" si="11"/>
        <v>150000</v>
      </c>
      <c r="F30" s="147">
        <v>7211319</v>
      </c>
      <c r="G30" s="147">
        <v>21786974</v>
      </c>
      <c r="H30" s="147">
        <f>24137006</f>
        <v>24137006</v>
      </c>
      <c r="I30" s="147"/>
      <c r="J30" s="147"/>
      <c r="K30" s="147"/>
      <c r="L30" s="147"/>
      <c r="M30" s="147"/>
      <c r="N30" s="147"/>
      <c r="O30" s="147"/>
      <c r="P30" s="147"/>
      <c r="Q30" s="147"/>
      <c r="R30" s="515">
        <f t="shared" si="12"/>
        <v>53285299</v>
      </c>
      <c r="S30" s="147">
        <f t="shared" ref="S30:S37" si="13">C30</f>
        <v>51571056</v>
      </c>
      <c r="T30" s="147"/>
      <c r="U30" s="143"/>
    </row>
    <row r="31" spans="1:21" s="144" customFormat="1">
      <c r="A31" s="145" t="s">
        <v>598</v>
      </c>
      <c r="B31" s="146">
        <f t="shared" si="10"/>
        <v>3807607</v>
      </c>
      <c r="C31" s="147">
        <v>3685112</v>
      </c>
      <c r="D31" s="147">
        <v>122495</v>
      </c>
      <c r="E31" s="147">
        <f t="shared" si="11"/>
        <v>3053444</v>
      </c>
      <c r="F31" s="147">
        <v>754163</v>
      </c>
      <c r="G31" s="147"/>
      <c r="H31" s="147"/>
      <c r="I31" s="147"/>
      <c r="J31" s="147"/>
      <c r="K31" s="147"/>
      <c r="L31" s="147"/>
      <c r="M31" s="147"/>
      <c r="N31" s="147"/>
      <c r="O31" s="147"/>
      <c r="P31" s="147"/>
      <c r="Q31" s="147"/>
      <c r="R31" s="515">
        <f t="shared" si="12"/>
        <v>3807607</v>
      </c>
      <c r="S31" s="147">
        <f t="shared" si="13"/>
        <v>3685112</v>
      </c>
      <c r="T31" s="147"/>
      <c r="U31" s="143"/>
    </row>
    <row r="32" spans="1:21" s="144" customFormat="1">
      <c r="A32" s="145" t="s">
        <v>137</v>
      </c>
      <c r="B32" s="146">
        <f t="shared" si="10"/>
        <v>2122241</v>
      </c>
      <c r="C32" s="147">
        <v>2053966</v>
      </c>
      <c r="D32" s="147">
        <v>68275</v>
      </c>
      <c r="E32" s="147">
        <f t="shared" si="11"/>
        <v>2122241</v>
      </c>
      <c r="F32" s="147"/>
      <c r="G32" s="147"/>
      <c r="H32" s="147"/>
      <c r="I32" s="147"/>
      <c r="J32" s="147"/>
      <c r="K32" s="147"/>
      <c r="L32" s="147"/>
      <c r="M32" s="147"/>
      <c r="N32" s="147"/>
      <c r="O32" s="147"/>
      <c r="P32" s="147"/>
      <c r="Q32" s="147"/>
      <c r="R32" s="515">
        <f t="shared" si="12"/>
        <v>2122241</v>
      </c>
      <c r="S32" s="147">
        <f t="shared" si="13"/>
        <v>2053966</v>
      </c>
      <c r="T32" s="147"/>
      <c r="U32" s="143"/>
    </row>
    <row r="33" spans="1:21" s="144" customFormat="1">
      <c r="A33" s="145" t="s">
        <v>138</v>
      </c>
      <c r="B33" s="146">
        <f t="shared" si="10"/>
        <v>2122241</v>
      </c>
      <c r="C33" s="147">
        <v>2053966</v>
      </c>
      <c r="D33" s="147">
        <v>68275</v>
      </c>
      <c r="E33" s="147">
        <f t="shared" si="11"/>
        <v>2122241</v>
      </c>
      <c r="F33" s="147"/>
      <c r="G33" s="147"/>
      <c r="H33" s="147"/>
      <c r="I33" s="147"/>
      <c r="J33" s="147"/>
      <c r="K33" s="147"/>
      <c r="L33" s="147"/>
      <c r="M33" s="147"/>
      <c r="N33" s="147"/>
      <c r="O33" s="147"/>
      <c r="P33" s="147"/>
      <c r="Q33" s="147"/>
      <c r="R33" s="515">
        <f t="shared" si="12"/>
        <v>2122241</v>
      </c>
      <c r="S33" s="147">
        <f t="shared" si="13"/>
        <v>2053966</v>
      </c>
      <c r="T33" s="147"/>
      <c r="U33" s="143"/>
    </row>
    <row r="34" spans="1:21" s="144" customFormat="1">
      <c r="A34" s="145" t="s">
        <v>139</v>
      </c>
      <c r="B34" s="146">
        <f t="shared" si="10"/>
        <v>0</v>
      </c>
      <c r="C34" s="147">
        <v>0</v>
      </c>
      <c r="D34" s="147">
        <v>0</v>
      </c>
      <c r="E34" s="147">
        <f t="shared" si="11"/>
        <v>0</v>
      </c>
      <c r="F34" s="147"/>
      <c r="G34" s="147"/>
      <c r="H34" s="147"/>
      <c r="I34" s="147"/>
      <c r="J34" s="147"/>
      <c r="K34" s="147"/>
      <c r="L34" s="147"/>
      <c r="M34" s="147"/>
      <c r="N34" s="147"/>
      <c r="O34" s="147"/>
      <c r="P34" s="147"/>
      <c r="Q34" s="147"/>
      <c r="R34" s="515">
        <f t="shared" si="12"/>
        <v>0</v>
      </c>
      <c r="S34" s="147">
        <f t="shared" si="13"/>
        <v>0</v>
      </c>
      <c r="T34" s="147"/>
      <c r="U34" s="143"/>
    </row>
    <row r="35" spans="1:21" s="144" customFormat="1">
      <c r="A35" s="145" t="s">
        <v>140</v>
      </c>
      <c r="B35" s="146">
        <f t="shared" si="10"/>
        <v>929553</v>
      </c>
      <c r="C35" s="147">
        <v>899648</v>
      </c>
      <c r="D35" s="147">
        <v>29905</v>
      </c>
      <c r="E35" s="147">
        <f t="shared" si="11"/>
        <v>929553</v>
      </c>
      <c r="F35" s="147"/>
      <c r="G35" s="147"/>
      <c r="H35" s="147"/>
      <c r="I35" s="147"/>
      <c r="J35" s="147"/>
      <c r="K35" s="147"/>
      <c r="L35" s="147"/>
      <c r="M35" s="147"/>
      <c r="N35" s="147"/>
      <c r="O35" s="147"/>
      <c r="P35" s="147"/>
      <c r="Q35" s="147"/>
      <c r="R35" s="515">
        <f t="shared" si="12"/>
        <v>929553</v>
      </c>
      <c r="S35" s="147">
        <f t="shared" si="13"/>
        <v>899648</v>
      </c>
      <c r="T35" s="147"/>
      <c r="U35" s="143"/>
    </row>
    <row r="36" spans="1:21" s="144" customFormat="1">
      <c r="A36" s="282" t="s">
        <v>1627</v>
      </c>
      <c r="B36" s="146">
        <f t="shared" si="10"/>
        <v>0</v>
      </c>
      <c r="C36" s="147">
        <v>0</v>
      </c>
      <c r="D36" s="147">
        <v>0</v>
      </c>
      <c r="E36" s="147">
        <f t="shared" si="11"/>
        <v>0</v>
      </c>
      <c r="F36" s="147"/>
      <c r="G36" s="147"/>
      <c r="H36" s="147"/>
      <c r="I36" s="147"/>
      <c r="J36" s="147"/>
      <c r="K36" s="147"/>
      <c r="L36" s="147"/>
      <c r="M36" s="147"/>
      <c r="N36" s="147"/>
      <c r="O36" s="147"/>
      <c r="P36" s="147"/>
      <c r="Q36" s="147"/>
      <c r="R36" s="515">
        <f t="shared" si="12"/>
        <v>0</v>
      </c>
      <c r="S36" s="147">
        <f t="shared" si="13"/>
        <v>0</v>
      </c>
      <c r="T36" s="147"/>
      <c r="U36" s="143"/>
    </row>
    <row r="37" spans="1:21" s="144" customFormat="1" ht="24">
      <c r="A37" s="1142" t="s">
        <v>2771</v>
      </c>
      <c r="B37" s="146">
        <f t="shared" si="10"/>
        <v>6547339</v>
      </c>
      <c r="C37" s="147">
        <v>6336705</v>
      </c>
      <c r="D37" s="147">
        <v>210634</v>
      </c>
      <c r="E37" s="147">
        <f t="shared" si="11"/>
        <v>6547339</v>
      </c>
      <c r="F37" s="147"/>
      <c r="G37" s="147"/>
      <c r="H37" s="147"/>
      <c r="I37" s="147"/>
      <c r="J37" s="147"/>
      <c r="K37" s="147"/>
      <c r="L37" s="147"/>
      <c r="M37" s="147"/>
      <c r="N37" s="147"/>
      <c r="O37" s="147"/>
      <c r="P37" s="147"/>
      <c r="Q37" s="147"/>
      <c r="R37" s="515">
        <f t="shared" si="12"/>
        <v>6547339</v>
      </c>
      <c r="S37" s="147">
        <f t="shared" si="13"/>
        <v>6336705</v>
      </c>
      <c r="T37" s="147"/>
      <c r="U37" s="143"/>
    </row>
    <row r="38" spans="1:21" s="144" customFormat="1">
      <c r="A38" s="149" t="s">
        <v>143</v>
      </c>
      <c r="B38" s="146">
        <f t="shared" si="10"/>
        <v>74020099</v>
      </c>
      <c r="C38" s="146">
        <f>SUM(C29:C37)</f>
        <v>71638795</v>
      </c>
      <c r="D38" s="146">
        <f t="shared" ref="D38:Q38" si="14">SUM(D29:D37)</f>
        <v>2381304</v>
      </c>
      <c r="E38" s="146">
        <f t="shared" si="14"/>
        <v>14924818</v>
      </c>
      <c r="F38" s="146">
        <f t="shared" si="14"/>
        <v>10973000</v>
      </c>
      <c r="G38" s="146">
        <f t="shared" si="14"/>
        <v>21786974</v>
      </c>
      <c r="H38" s="146">
        <f t="shared" si="14"/>
        <v>24137006</v>
      </c>
      <c r="I38" s="146">
        <f t="shared" si="14"/>
        <v>2198301</v>
      </c>
      <c r="J38" s="146">
        <f t="shared" si="14"/>
        <v>0</v>
      </c>
      <c r="K38" s="146">
        <f t="shared" si="14"/>
        <v>0</v>
      </c>
      <c r="L38" s="146">
        <f t="shared" si="14"/>
        <v>0</v>
      </c>
      <c r="M38" s="146">
        <f t="shared" si="14"/>
        <v>0</v>
      </c>
      <c r="N38" s="146">
        <f t="shared" si="14"/>
        <v>0</v>
      </c>
      <c r="O38" s="146">
        <f t="shared" si="14"/>
        <v>0</v>
      </c>
      <c r="P38" s="146">
        <f t="shared" si="14"/>
        <v>0</v>
      </c>
      <c r="Q38" s="146">
        <f t="shared" si="14"/>
        <v>0</v>
      </c>
      <c r="R38" s="341">
        <f>SUM(R29:R37)</f>
        <v>74020099</v>
      </c>
      <c r="S38" s="150">
        <f>SUM(S29:S37)</f>
        <v>71638795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2020000</v>
      </c>
      <c r="C40" s="147">
        <v>1980423</v>
      </c>
      <c r="D40" s="147">
        <v>39577</v>
      </c>
      <c r="E40" s="147">
        <f t="shared" ref="E40:E41" si="15">B40-SUM(F40:Q40)</f>
        <v>2020000</v>
      </c>
      <c r="F40" s="147"/>
      <c r="G40" s="147"/>
      <c r="H40" s="147"/>
      <c r="I40" s="147"/>
      <c r="J40" s="147"/>
      <c r="K40" s="147"/>
      <c r="L40" s="147"/>
      <c r="M40" s="147"/>
      <c r="N40" s="147"/>
      <c r="O40" s="147"/>
      <c r="P40" s="147"/>
      <c r="Q40" s="147"/>
      <c r="R40" s="515">
        <f>SUM(E40:Q40)</f>
        <v>2020000</v>
      </c>
      <c r="S40" s="147">
        <f>C40</f>
        <v>1980423</v>
      </c>
      <c r="T40" s="147"/>
      <c r="U40" s="143"/>
    </row>
    <row r="41" spans="1:21" s="144" customFormat="1">
      <c r="A41" s="145" t="s">
        <v>146</v>
      </c>
      <c r="B41" s="146">
        <f>SUM(C41+D41)</f>
        <v>310000</v>
      </c>
      <c r="C41" s="147">
        <v>300875</v>
      </c>
      <c r="D41" s="147">
        <v>9125</v>
      </c>
      <c r="E41" s="147">
        <f t="shared" si="15"/>
        <v>310000</v>
      </c>
      <c r="F41" s="147"/>
      <c r="G41" s="147"/>
      <c r="H41" s="147"/>
      <c r="I41" s="147"/>
      <c r="J41" s="147"/>
      <c r="K41" s="147"/>
      <c r="L41" s="147"/>
      <c r="M41" s="147"/>
      <c r="N41" s="147"/>
      <c r="O41" s="147"/>
      <c r="P41" s="147"/>
      <c r="Q41" s="147"/>
      <c r="R41" s="515">
        <f>SUM(E41:Q41)</f>
        <v>310000</v>
      </c>
      <c r="S41" s="147">
        <f>C41</f>
        <v>300875</v>
      </c>
      <c r="T41" s="147"/>
      <c r="U41" s="143"/>
    </row>
    <row r="42" spans="1:21" s="144" customFormat="1">
      <c r="A42" s="149" t="s">
        <v>147</v>
      </c>
      <c r="B42" s="146">
        <f>SUM(C42:D42)</f>
        <v>2330000</v>
      </c>
      <c r="C42" s="146">
        <f>SUM(C39:C41)</f>
        <v>2281298</v>
      </c>
      <c r="D42" s="146">
        <f>SUM(D39:D41)</f>
        <v>48702</v>
      </c>
      <c r="E42" s="146">
        <f t="shared" ref="E42:T42" si="16">SUM(E40:E41)</f>
        <v>2330000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1">
        <f>SUM(R40:R41)</f>
        <v>2330000</v>
      </c>
      <c r="S42" s="150">
        <f t="shared" si="16"/>
        <v>2281298</v>
      </c>
      <c r="T42" s="150">
        <f t="shared" si="16"/>
        <v>0</v>
      </c>
      <c r="U42" s="143"/>
    </row>
    <row r="43" spans="1:21" s="144" customFormat="1">
      <c r="A43" s="149" t="s">
        <v>148</v>
      </c>
      <c r="B43" s="146">
        <f>SUM(C43:D43)</f>
        <v>430000</v>
      </c>
      <c r="C43" s="147">
        <v>421645</v>
      </c>
      <c r="D43" s="147">
        <v>8355</v>
      </c>
      <c r="E43" s="147">
        <f>B43-SUM(F43:Q43)</f>
        <v>430000</v>
      </c>
      <c r="F43" s="147"/>
      <c r="G43" s="147"/>
      <c r="H43" s="147"/>
      <c r="I43" s="147"/>
      <c r="J43" s="147"/>
      <c r="K43" s="147"/>
      <c r="L43" s="147"/>
      <c r="M43" s="147"/>
      <c r="N43" s="147"/>
      <c r="O43" s="147"/>
      <c r="P43" s="147"/>
      <c r="Q43" s="147"/>
      <c r="R43" s="515">
        <f>SUM(E43:Q43)</f>
        <v>430000</v>
      </c>
      <c r="S43" s="147">
        <f>C43</f>
        <v>421645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6396925</v>
      </c>
      <c r="C45" s="147">
        <v>6232445</v>
      </c>
      <c r="D45" s="147">
        <v>164480</v>
      </c>
      <c r="E45" s="147">
        <f t="shared" ref="E45:E53" si="18">B45-SUM(F45:Q45)</f>
        <v>6396925</v>
      </c>
      <c r="F45" s="147"/>
      <c r="G45" s="147"/>
      <c r="H45" s="147"/>
      <c r="I45" s="147"/>
      <c r="J45" s="147"/>
      <c r="K45" s="147"/>
      <c r="L45" s="147"/>
      <c r="M45" s="147"/>
      <c r="N45" s="147"/>
      <c r="O45" s="147"/>
      <c r="P45" s="147"/>
      <c r="Q45" s="147"/>
      <c r="R45" s="515">
        <f t="shared" ref="R45:R53" si="19">SUM(E45:Q45)</f>
        <v>6396925</v>
      </c>
      <c r="S45" s="147">
        <v>3183930</v>
      </c>
      <c r="T45" s="147"/>
      <c r="U45" s="143"/>
    </row>
    <row r="46" spans="1:21" s="144" customFormat="1">
      <c r="A46" s="145" t="s">
        <v>151</v>
      </c>
      <c r="B46" s="146">
        <f t="shared" si="17"/>
        <v>231785</v>
      </c>
      <c r="C46" s="147">
        <v>215655</v>
      </c>
      <c r="D46" s="147">
        <v>16130</v>
      </c>
      <c r="E46" s="147">
        <f t="shared" si="18"/>
        <v>231785</v>
      </c>
      <c r="F46" s="147"/>
      <c r="G46" s="147"/>
      <c r="H46" s="147"/>
      <c r="I46" s="147"/>
      <c r="J46" s="147"/>
      <c r="K46" s="147"/>
      <c r="L46" s="147"/>
      <c r="M46" s="147"/>
      <c r="N46" s="147"/>
      <c r="O46" s="147"/>
      <c r="P46" s="147"/>
      <c r="Q46" s="147"/>
      <c r="R46" s="515">
        <f t="shared" si="19"/>
        <v>231785</v>
      </c>
      <c r="S46" s="147">
        <v>113212</v>
      </c>
      <c r="T46" s="147"/>
      <c r="U46" s="143"/>
    </row>
    <row r="47" spans="1:21" s="144" customFormat="1">
      <c r="A47" s="186" t="s">
        <v>152</v>
      </c>
      <c r="B47" s="146">
        <f t="shared" si="17"/>
        <v>50000</v>
      </c>
      <c r="C47" s="147">
        <v>49292</v>
      </c>
      <c r="D47" s="147">
        <v>708</v>
      </c>
      <c r="E47" s="147">
        <f t="shared" si="18"/>
        <v>50000</v>
      </c>
      <c r="F47" s="147"/>
      <c r="G47" s="147"/>
      <c r="H47" s="147"/>
      <c r="I47" s="147"/>
      <c r="J47" s="147"/>
      <c r="K47" s="147"/>
      <c r="L47" s="147"/>
      <c r="M47" s="147"/>
      <c r="N47" s="147"/>
      <c r="O47" s="147"/>
      <c r="P47" s="147"/>
      <c r="Q47" s="147"/>
      <c r="R47" s="515">
        <f t="shared" si="19"/>
        <v>50000</v>
      </c>
      <c r="S47" s="147">
        <v>25877</v>
      </c>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15">
        <f t="shared" si="19"/>
        <v>0</v>
      </c>
      <c r="S48" s="147">
        <v>0</v>
      </c>
      <c r="T48" s="147"/>
      <c r="U48" s="143"/>
    </row>
    <row r="49" spans="1:21" s="144" customFormat="1">
      <c r="A49" s="145" t="s">
        <v>57</v>
      </c>
      <c r="B49" s="146">
        <f t="shared" si="17"/>
        <v>417905</v>
      </c>
      <c r="C49" s="147">
        <v>417834</v>
      </c>
      <c r="D49" s="147">
        <v>71</v>
      </c>
      <c r="E49" s="147">
        <f t="shared" si="18"/>
        <v>417905</v>
      </c>
      <c r="F49" s="147"/>
      <c r="G49" s="147"/>
      <c r="H49" s="147"/>
      <c r="I49" s="147"/>
      <c r="J49" s="147"/>
      <c r="K49" s="147"/>
      <c r="L49" s="147"/>
      <c r="M49" s="147"/>
      <c r="N49" s="147"/>
      <c r="O49" s="147"/>
      <c r="P49" s="147"/>
      <c r="Q49" s="147"/>
      <c r="R49" s="515">
        <f t="shared" si="19"/>
        <v>417905</v>
      </c>
      <c r="S49" s="147">
        <v>50780</v>
      </c>
      <c r="T49" s="147"/>
      <c r="U49" s="143"/>
    </row>
    <row r="50" spans="1:21" s="144" customFormat="1">
      <c r="A50" s="145" t="s">
        <v>156</v>
      </c>
      <c r="B50" s="146">
        <f t="shared" si="17"/>
        <v>80000</v>
      </c>
      <c r="C50" s="147">
        <v>78241</v>
      </c>
      <c r="D50" s="147">
        <v>1759</v>
      </c>
      <c r="E50" s="147">
        <f t="shared" si="18"/>
        <v>80000</v>
      </c>
      <c r="F50" s="147"/>
      <c r="G50" s="147"/>
      <c r="H50" s="147"/>
      <c r="I50" s="147"/>
      <c r="J50" s="147"/>
      <c r="K50" s="147"/>
      <c r="L50" s="147"/>
      <c r="M50" s="147"/>
      <c r="N50" s="147"/>
      <c r="O50" s="147"/>
      <c r="P50" s="147"/>
      <c r="Q50" s="147"/>
      <c r="R50" s="515">
        <f t="shared" si="19"/>
        <v>80000</v>
      </c>
      <c r="S50" s="147">
        <f>C50</f>
        <v>78241</v>
      </c>
      <c r="T50" s="147"/>
      <c r="U50" s="143"/>
    </row>
    <row r="51" spans="1:21" s="144" customFormat="1">
      <c r="A51" s="282" t="s">
        <v>154</v>
      </c>
      <c r="B51" s="146">
        <f t="shared" si="17"/>
        <v>141875</v>
      </c>
      <c r="C51" s="147">
        <v>138756</v>
      </c>
      <c r="D51" s="147">
        <v>3119</v>
      </c>
      <c r="E51" s="147">
        <f t="shared" si="18"/>
        <v>141875</v>
      </c>
      <c r="F51" s="147"/>
      <c r="G51" s="147"/>
      <c r="H51" s="147"/>
      <c r="I51" s="147"/>
      <c r="J51" s="147"/>
      <c r="K51" s="147"/>
      <c r="L51" s="147"/>
      <c r="M51" s="147"/>
      <c r="N51" s="147"/>
      <c r="O51" s="147"/>
      <c r="P51" s="147"/>
      <c r="Q51" s="147"/>
      <c r="R51" s="515">
        <f t="shared" si="19"/>
        <v>141875</v>
      </c>
      <c r="S51" s="147">
        <f>C51</f>
        <v>138756</v>
      </c>
      <c r="T51" s="147"/>
      <c r="U51" s="143"/>
    </row>
    <row r="52" spans="1:21" s="144" customFormat="1">
      <c r="A52" s="145" t="s">
        <v>155</v>
      </c>
      <c r="B52" s="146">
        <f t="shared" si="17"/>
        <v>558000</v>
      </c>
      <c r="C52" s="147">
        <v>530736</v>
      </c>
      <c r="D52" s="147">
        <v>27264</v>
      </c>
      <c r="E52" s="147">
        <f t="shared" si="18"/>
        <v>558000</v>
      </c>
      <c r="F52" s="147"/>
      <c r="G52" s="147"/>
      <c r="H52" s="147"/>
      <c r="I52" s="147"/>
      <c r="J52" s="147"/>
      <c r="K52" s="147"/>
      <c r="L52" s="147"/>
      <c r="M52" s="147"/>
      <c r="N52" s="147"/>
      <c r="O52" s="147"/>
      <c r="P52" s="147"/>
      <c r="Q52" s="147"/>
      <c r="R52" s="515">
        <f t="shared" si="19"/>
        <v>558000</v>
      </c>
      <c r="S52" s="147">
        <f>C52</f>
        <v>530736</v>
      </c>
      <c r="T52" s="147"/>
      <c r="U52" s="143"/>
    </row>
    <row r="53" spans="1:21" s="144" customFormat="1" ht="24">
      <c r="A53" s="1142" t="s">
        <v>2772</v>
      </c>
      <c r="B53" s="146">
        <f t="shared" si="17"/>
        <v>1176900</v>
      </c>
      <c r="C53" s="147">
        <v>1171456</v>
      </c>
      <c r="D53" s="147">
        <v>5444</v>
      </c>
      <c r="E53" s="147">
        <f t="shared" si="18"/>
        <v>1176900</v>
      </c>
      <c r="F53" s="147"/>
      <c r="G53" s="147"/>
      <c r="H53" s="147"/>
      <c r="I53" s="147"/>
      <c r="J53" s="147"/>
      <c r="K53" s="147"/>
      <c r="L53" s="147"/>
      <c r="M53" s="147"/>
      <c r="N53" s="147"/>
      <c r="O53" s="147"/>
      <c r="P53" s="147"/>
      <c r="Q53" s="147"/>
      <c r="R53" s="515">
        <f t="shared" si="19"/>
        <v>1176900</v>
      </c>
      <c r="S53" s="147">
        <v>1072384</v>
      </c>
      <c r="T53" s="147"/>
      <c r="U53" s="143"/>
    </row>
    <row r="54" spans="1:21" s="153" customFormat="1">
      <c r="A54" s="149" t="s">
        <v>157</v>
      </c>
      <c r="B54" s="150">
        <f>SUM(C54:D54)</f>
        <v>9053390</v>
      </c>
      <c r="C54" s="150">
        <f t="shared" ref="C54:T54" si="20">SUM(C45:C53)</f>
        <v>8834415</v>
      </c>
      <c r="D54" s="150">
        <f t="shared" si="20"/>
        <v>218975</v>
      </c>
      <c r="E54" s="150">
        <f t="shared" si="20"/>
        <v>9053390</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1">
        <f t="shared" si="20"/>
        <v>9053390</v>
      </c>
      <c r="S54" s="150">
        <f t="shared" si="20"/>
        <v>5193916</v>
      </c>
      <c r="T54" s="150">
        <f t="shared" si="20"/>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0</v>
      </c>
      <c r="C56" s="147"/>
      <c r="D56" s="147"/>
      <c r="E56" s="147">
        <f t="shared" ref="E56:E61" si="22">B56-SUM(F56:Q56)</f>
        <v>0</v>
      </c>
      <c r="F56" s="147"/>
      <c r="G56" s="147"/>
      <c r="H56" s="147"/>
      <c r="I56" s="147"/>
      <c r="J56" s="147"/>
      <c r="K56" s="147"/>
      <c r="L56" s="147"/>
      <c r="M56" s="147"/>
      <c r="N56" s="147"/>
      <c r="O56" s="147"/>
      <c r="P56" s="147"/>
      <c r="Q56" s="147"/>
      <c r="R56" s="515">
        <f t="shared" ref="R56:R61" si="23">SUM(E56:Q56)</f>
        <v>0</v>
      </c>
      <c r="S56" s="148"/>
      <c r="T56" s="148"/>
      <c r="U56" s="143"/>
    </row>
    <row r="57" spans="1:21" s="192" customFormat="1">
      <c r="A57" s="186" t="s">
        <v>152</v>
      </c>
      <c r="B57" s="193">
        <f t="shared" si="21"/>
        <v>15000</v>
      </c>
      <c r="C57" s="190">
        <v>14788</v>
      </c>
      <c r="D57" s="190">
        <v>212</v>
      </c>
      <c r="E57" s="190">
        <f t="shared" si="22"/>
        <v>15000</v>
      </c>
      <c r="F57" s="190"/>
      <c r="G57" s="190"/>
      <c r="H57" s="190"/>
      <c r="I57" s="190"/>
      <c r="J57" s="190"/>
      <c r="K57" s="190"/>
      <c r="L57" s="190"/>
      <c r="M57" s="190"/>
      <c r="N57" s="190"/>
      <c r="O57" s="190"/>
      <c r="P57" s="190"/>
      <c r="Q57" s="190"/>
      <c r="R57" s="515">
        <f t="shared" si="23"/>
        <v>15000</v>
      </c>
      <c r="S57" s="194"/>
      <c r="T57" s="194"/>
      <c r="U57" s="191"/>
    </row>
    <row r="58" spans="1:21" s="144" customFormat="1">
      <c r="A58" s="145" t="s">
        <v>156</v>
      </c>
      <c r="B58" s="146">
        <f t="shared" si="21"/>
        <v>5000</v>
      </c>
      <c r="C58" s="147">
        <v>4890</v>
      </c>
      <c r="D58" s="147">
        <v>110</v>
      </c>
      <c r="E58" s="147">
        <f t="shared" si="22"/>
        <v>5000</v>
      </c>
      <c r="F58" s="147"/>
      <c r="G58" s="147"/>
      <c r="H58" s="147"/>
      <c r="I58" s="147"/>
      <c r="J58" s="147"/>
      <c r="K58" s="147"/>
      <c r="L58" s="147"/>
      <c r="M58" s="147"/>
      <c r="N58" s="147"/>
      <c r="O58" s="147"/>
      <c r="P58" s="147"/>
      <c r="Q58" s="147"/>
      <c r="R58" s="515">
        <f t="shared" si="23"/>
        <v>5000</v>
      </c>
      <c r="S58" s="148"/>
      <c r="T58" s="148"/>
      <c r="U58" s="143"/>
    </row>
    <row r="59" spans="1:21" s="144" customFormat="1">
      <c r="A59" s="282" t="s">
        <v>154</v>
      </c>
      <c r="B59" s="146">
        <f t="shared" si="21"/>
        <v>0</v>
      </c>
      <c r="C59" s="147"/>
      <c r="D59" s="147"/>
      <c r="E59" s="147">
        <f t="shared" si="22"/>
        <v>0</v>
      </c>
      <c r="F59" s="147"/>
      <c r="G59" s="147"/>
      <c r="H59" s="147"/>
      <c r="I59" s="147"/>
      <c r="J59" s="147"/>
      <c r="K59" s="147"/>
      <c r="L59" s="147"/>
      <c r="M59" s="147"/>
      <c r="N59" s="147"/>
      <c r="O59" s="147"/>
      <c r="P59" s="147"/>
      <c r="Q59" s="147"/>
      <c r="R59" s="515">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5">
        <f t="shared" si="23"/>
        <v>0</v>
      </c>
      <c r="S60" s="148"/>
      <c r="T60" s="148"/>
      <c r="U60" s="143"/>
    </row>
    <row r="61" spans="1:21" s="144" customFormat="1">
      <c r="A61" s="1142" t="s">
        <v>34</v>
      </c>
      <c r="B61" s="146">
        <f t="shared" si="21"/>
        <v>0</v>
      </c>
      <c r="C61" s="147"/>
      <c r="D61" s="147"/>
      <c r="E61" s="147">
        <f t="shared" si="22"/>
        <v>0</v>
      </c>
      <c r="F61" s="147"/>
      <c r="G61" s="147"/>
      <c r="H61" s="147"/>
      <c r="I61" s="147"/>
      <c r="J61" s="147"/>
      <c r="K61" s="147"/>
      <c r="L61" s="147"/>
      <c r="M61" s="147"/>
      <c r="N61" s="147"/>
      <c r="O61" s="147"/>
      <c r="P61" s="147"/>
      <c r="Q61" s="147"/>
      <c r="R61" s="515">
        <f t="shared" si="23"/>
        <v>0</v>
      </c>
      <c r="S61" s="148"/>
      <c r="T61" s="148"/>
      <c r="U61" s="143"/>
    </row>
    <row r="62" spans="1:21" s="144" customFormat="1" ht="13.7" customHeight="1">
      <c r="A62" s="149" t="s">
        <v>300</v>
      </c>
      <c r="B62" s="146">
        <f>SUM(C62:D62)</f>
        <v>20000</v>
      </c>
      <c r="C62" s="146">
        <f t="shared" ref="C62:R62" si="24">SUM(C56:C61)</f>
        <v>19678</v>
      </c>
      <c r="D62" s="146">
        <f t="shared" si="24"/>
        <v>322</v>
      </c>
      <c r="E62" s="146">
        <f t="shared" si="24"/>
        <v>20000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1">
        <f t="shared" si="24"/>
        <v>20000</v>
      </c>
      <c r="S62" s="148"/>
      <c r="T62" s="148"/>
      <c r="U62" s="143"/>
    </row>
    <row r="63" spans="1:21" s="144" customFormat="1">
      <c r="A63" s="154" t="s">
        <v>301</v>
      </c>
      <c r="B63" s="146">
        <f t="shared" ref="B63:R63" si="25">SUM(B8+B11+B13+B14+B15+B26+B27+B38+B42+B43+B54+B62)</f>
        <v>86125950</v>
      </c>
      <c r="C63" s="146">
        <f t="shared" si="25"/>
        <v>83467757</v>
      </c>
      <c r="D63" s="146">
        <f t="shared" si="25"/>
        <v>2658193</v>
      </c>
      <c r="E63" s="146">
        <f t="shared" si="25"/>
        <v>27030669</v>
      </c>
      <c r="F63" s="146">
        <f t="shared" si="25"/>
        <v>10973000</v>
      </c>
      <c r="G63" s="146">
        <f t="shared" si="25"/>
        <v>21786974</v>
      </c>
      <c r="H63" s="146">
        <f t="shared" si="25"/>
        <v>24137006</v>
      </c>
      <c r="I63" s="146">
        <f t="shared" si="25"/>
        <v>2198301</v>
      </c>
      <c r="J63" s="146">
        <f t="shared" si="25"/>
        <v>0</v>
      </c>
      <c r="K63" s="146">
        <f t="shared" si="25"/>
        <v>0</v>
      </c>
      <c r="L63" s="146">
        <f t="shared" si="25"/>
        <v>0</v>
      </c>
      <c r="M63" s="146">
        <f t="shared" si="25"/>
        <v>0</v>
      </c>
      <c r="N63" s="146">
        <f t="shared" si="25"/>
        <v>0</v>
      </c>
      <c r="O63" s="146">
        <f t="shared" si="25"/>
        <v>0</v>
      </c>
      <c r="P63" s="146">
        <f t="shared" si="25"/>
        <v>0</v>
      </c>
      <c r="Q63" s="146">
        <f t="shared" si="25"/>
        <v>0</v>
      </c>
      <c r="R63" s="341">
        <f t="shared" si="25"/>
        <v>86125950</v>
      </c>
      <c r="S63" s="146">
        <f>SUM(S10+S13+S14+S15+S26+S27+S38+S42+S43+S54)</f>
        <v>79773115</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v>73938</v>
      </c>
      <c r="D65" s="147">
        <v>1062</v>
      </c>
      <c r="E65" s="147">
        <f t="shared" ref="E65:E69" si="26">B65-SUM(F65:Q65)</f>
        <v>75000</v>
      </c>
      <c r="F65" s="147"/>
      <c r="G65" s="147"/>
      <c r="H65" s="147"/>
      <c r="I65" s="147"/>
      <c r="J65" s="147"/>
      <c r="K65" s="147"/>
      <c r="L65" s="147"/>
      <c r="M65" s="147"/>
      <c r="N65" s="147"/>
      <c r="O65" s="147"/>
      <c r="P65" s="147"/>
      <c r="Q65" s="147"/>
      <c r="R65" s="515">
        <f>SUM(E65:Q65)</f>
        <v>75000</v>
      </c>
      <c r="S65" s="147">
        <f>31052</f>
        <v>31052</v>
      </c>
      <c r="T65" s="147"/>
      <c r="U65" s="143"/>
    </row>
    <row r="66" spans="1:21" s="144" customFormat="1" ht="24" customHeight="1">
      <c r="A66" s="282" t="s">
        <v>1628</v>
      </c>
      <c r="B66" s="146">
        <f>SUM(C66+D66)</f>
        <v>0</v>
      </c>
      <c r="C66" s="147"/>
      <c r="D66" s="147"/>
      <c r="E66" s="147">
        <f t="shared" si="26"/>
        <v>0</v>
      </c>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2" t="s">
        <v>1629</v>
      </c>
      <c r="B67" s="146">
        <f>SUM(C67+D67)</f>
        <v>0</v>
      </c>
      <c r="C67" s="147"/>
      <c r="D67" s="147"/>
      <c r="E67" s="147">
        <f t="shared" si="26"/>
        <v>0</v>
      </c>
      <c r="F67" s="147"/>
      <c r="G67" s="147"/>
      <c r="H67" s="147"/>
      <c r="I67" s="147"/>
      <c r="J67" s="147"/>
      <c r="K67" s="147"/>
      <c r="L67" s="147"/>
      <c r="M67" s="147"/>
      <c r="N67" s="147"/>
      <c r="O67" s="147"/>
      <c r="P67" s="147"/>
      <c r="Q67" s="147"/>
      <c r="R67" s="515">
        <f>SUM(E67:Q67)</f>
        <v>0</v>
      </c>
      <c r="S67" s="147"/>
      <c r="T67" s="147"/>
      <c r="U67" s="143"/>
    </row>
    <row r="68" spans="1:21" s="144" customFormat="1" ht="12" customHeight="1">
      <c r="A68" s="282" t="s">
        <v>1635</v>
      </c>
      <c r="B68" s="146">
        <f>SUM(C68+D68)</f>
        <v>0</v>
      </c>
      <c r="C68" s="147"/>
      <c r="D68" s="147"/>
      <c r="E68" s="147">
        <f t="shared" si="26"/>
        <v>0</v>
      </c>
      <c r="F68" s="147"/>
      <c r="G68" s="147"/>
      <c r="H68" s="147"/>
      <c r="I68" s="147"/>
      <c r="J68" s="147"/>
      <c r="K68" s="147"/>
      <c r="L68" s="147"/>
      <c r="M68" s="147"/>
      <c r="N68" s="147"/>
      <c r="O68" s="147"/>
      <c r="P68" s="147"/>
      <c r="Q68" s="147"/>
      <c r="R68" s="515">
        <f>SUM(E68:Q68)</f>
        <v>0</v>
      </c>
      <c r="S68" s="147"/>
      <c r="T68" s="147"/>
      <c r="U68" s="143"/>
    </row>
    <row r="69" spans="1:21" s="144" customFormat="1">
      <c r="A69" s="1142" t="s">
        <v>2815</v>
      </c>
      <c r="B69" s="146">
        <f>SUM(C69+D69)</f>
        <v>45000</v>
      </c>
      <c r="C69" s="147">
        <v>45000</v>
      </c>
      <c r="D69" s="147">
        <v>0</v>
      </c>
      <c r="E69" s="147">
        <f t="shared" si="26"/>
        <v>45000</v>
      </c>
      <c r="F69" s="147"/>
      <c r="G69" s="147"/>
      <c r="H69" s="147"/>
      <c r="I69" s="147"/>
      <c r="J69" s="147"/>
      <c r="K69" s="147"/>
      <c r="L69" s="147"/>
      <c r="M69" s="147"/>
      <c r="N69" s="147"/>
      <c r="O69" s="147"/>
      <c r="P69" s="147"/>
      <c r="Q69" s="147"/>
      <c r="R69" s="515">
        <f>SUM(E69:Q69)</f>
        <v>45000</v>
      </c>
      <c r="S69" s="147">
        <v>35000</v>
      </c>
      <c r="T69" s="147"/>
      <c r="U69" s="143"/>
    </row>
    <row r="70" spans="1:21" s="144" customFormat="1">
      <c r="A70" s="149" t="s">
        <v>1632</v>
      </c>
      <c r="B70" s="146">
        <f>SUM(C70:D70)</f>
        <v>120000</v>
      </c>
      <c r="C70" s="146">
        <f>SUM(C65:C69)</f>
        <v>118938</v>
      </c>
      <c r="D70" s="146">
        <f>SUM(D65:D69)</f>
        <v>1062</v>
      </c>
      <c r="E70" s="146">
        <f t="shared" ref="E70:T70" si="27">SUM(E65:E69)</f>
        <v>120000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1">
        <f t="shared" si="27"/>
        <v>120000</v>
      </c>
      <c r="S70" s="150">
        <f t="shared" si="27"/>
        <v>66052</v>
      </c>
      <c r="T70" s="150">
        <f t="shared" si="27"/>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f t="shared" ref="E72:E76" si="28">B72-SUM(F72:Q72)</f>
        <v>0</v>
      </c>
      <c r="F72" s="147"/>
      <c r="G72" s="147"/>
      <c r="H72" s="147"/>
      <c r="I72" s="147"/>
      <c r="J72" s="147"/>
      <c r="K72" s="147"/>
      <c r="L72" s="147"/>
      <c r="M72" s="147"/>
      <c r="N72" s="147"/>
      <c r="O72" s="147"/>
      <c r="P72" s="147"/>
      <c r="Q72" s="147"/>
      <c r="R72" s="515">
        <f>SUM(E72:Q72)</f>
        <v>0</v>
      </c>
      <c r="S72" s="148"/>
      <c r="T72" s="148"/>
      <c r="U72" s="143"/>
    </row>
    <row r="73" spans="1:21" s="144" customFormat="1">
      <c r="A73" s="145" t="s">
        <v>602</v>
      </c>
      <c r="B73" s="146">
        <f>SUM(C73+D73)</f>
        <v>0</v>
      </c>
      <c r="C73" s="147"/>
      <c r="D73" s="147"/>
      <c r="E73" s="147">
        <f t="shared" si="28"/>
        <v>0</v>
      </c>
      <c r="F73" s="147"/>
      <c r="G73" s="147"/>
      <c r="H73" s="147"/>
      <c r="I73" s="147"/>
      <c r="J73" s="147"/>
      <c r="K73" s="147"/>
      <c r="L73" s="147"/>
      <c r="M73" s="147"/>
      <c r="N73" s="147"/>
      <c r="O73" s="147"/>
      <c r="P73" s="147"/>
      <c r="Q73" s="147"/>
      <c r="R73" s="515">
        <f>SUM(E73:Q73)</f>
        <v>0</v>
      </c>
      <c r="S73" s="148"/>
      <c r="T73" s="148"/>
      <c r="U73" s="143"/>
    </row>
    <row r="74" spans="1:21" s="144" customFormat="1">
      <c r="A74" s="449" t="s">
        <v>984</v>
      </c>
      <c r="B74" s="146">
        <f>SUM(C74+D74)</f>
        <v>0</v>
      </c>
      <c r="C74" s="147"/>
      <c r="D74" s="147"/>
      <c r="E74" s="147">
        <f t="shared" si="28"/>
        <v>0</v>
      </c>
      <c r="F74" s="147"/>
      <c r="G74" s="147"/>
      <c r="H74" s="147"/>
      <c r="I74" s="147"/>
      <c r="J74" s="147"/>
      <c r="K74" s="147"/>
      <c r="L74" s="147"/>
      <c r="M74" s="147"/>
      <c r="N74" s="147"/>
      <c r="O74" s="147"/>
      <c r="P74" s="147"/>
      <c r="Q74" s="147"/>
      <c r="R74" s="515">
        <f>SUM(E74:Q74)</f>
        <v>0</v>
      </c>
      <c r="S74" s="148"/>
      <c r="T74" s="148"/>
      <c r="U74" s="143"/>
    </row>
    <row r="75" spans="1:21" s="144" customFormat="1">
      <c r="A75" s="145" t="s">
        <v>603</v>
      </c>
      <c r="B75" s="146">
        <f>SUM(C75+D75)</f>
        <v>553000</v>
      </c>
      <c r="C75" s="147">
        <v>553000</v>
      </c>
      <c r="D75" s="147">
        <v>0</v>
      </c>
      <c r="E75" s="147">
        <f t="shared" si="28"/>
        <v>553000</v>
      </c>
      <c r="F75" s="147"/>
      <c r="G75" s="147"/>
      <c r="H75" s="147"/>
      <c r="I75" s="147"/>
      <c r="J75" s="147"/>
      <c r="K75" s="147"/>
      <c r="L75" s="147"/>
      <c r="M75" s="147"/>
      <c r="N75" s="147"/>
      <c r="O75" s="147"/>
      <c r="P75" s="147"/>
      <c r="Q75" s="147"/>
      <c r="R75" s="515">
        <f>SUM(E75:Q75)</f>
        <v>553000</v>
      </c>
      <c r="S75" s="148"/>
      <c r="T75" s="148"/>
      <c r="U75" s="143"/>
    </row>
    <row r="76" spans="1:21" s="144" customFormat="1">
      <c r="A76" s="1142" t="s">
        <v>2748</v>
      </c>
      <c r="B76" s="146">
        <f>SUM(C76+D76)</f>
        <v>37800</v>
      </c>
      <c r="C76" s="147">
        <v>37800</v>
      </c>
      <c r="D76" s="147">
        <v>0</v>
      </c>
      <c r="E76" s="147">
        <f t="shared" si="28"/>
        <v>37800</v>
      </c>
      <c r="F76" s="147"/>
      <c r="G76" s="147"/>
      <c r="H76" s="147"/>
      <c r="I76" s="147"/>
      <c r="J76" s="147"/>
      <c r="K76" s="147"/>
      <c r="L76" s="147"/>
      <c r="M76" s="147"/>
      <c r="N76" s="147"/>
      <c r="O76" s="147"/>
      <c r="P76" s="147"/>
      <c r="Q76" s="147"/>
      <c r="R76" s="515">
        <f>SUM(E76:Q76)</f>
        <v>37800</v>
      </c>
      <c r="S76" s="148"/>
      <c r="T76" s="148"/>
      <c r="U76" s="143"/>
    </row>
    <row r="77" spans="1:21" s="144" customFormat="1">
      <c r="A77" s="149" t="s">
        <v>604</v>
      </c>
      <c r="B77" s="146">
        <f>SUM(C77:D77)</f>
        <v>590800</v>
      </c>
      <c r="C77" s="146">
        <f>SUM(C72:C76)</f>
        <v>590800</v>
      </c>
      <c r="D77" s="146">
        <f>SUM(D72:D76)</f>
        <v>0</v>
      </c>
      <c r="E77" s="146">
        <f t="shared" ref="E77:Q77" si="29">SUM(E72:E76)</f>
        <v>590800</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1">
        <f>SUM(R72:R76)</f>
        <v>590800</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2" t="s">
        <v>1210</v>
      </c>
      <c r="B79" s="146">
        <f>SUM(C79:D79)</f>
        <v>7425756</v>
      </c>
      <c r="C79" s="147">
        <v>7335145</v>
      </c>
      <c r="D79" s="147">
        <v>90611</v>
      </c>
      <c r="E79" s="147">
        <f t="shared" ref="E79:E80" si="30">B79-SUM(F79:Q79)</f>
        <v>7425756</v>
      </c>
      <c r="F79" s="147"/>
      <c r="G79" s="147"/>
      <c r="H79" s="147"/>
      <c r="I79" s="147"/>
      <c r="J79" s="147"/>
      <c r="K79" s="147"/>
      <c r="L79" s="147"/>
      <c r="M79" s="147"/>
      <c r="N79" s="147"/>
      <c r="O79" s="147"/>
      <c r="P79" s="147"/>
      <c r="Q79" s="147"/>
      <c r="R79" s="515">
        <f>SUM(E79:Q79)</f>
        <v>7425756</v>
      </c>
      <c r="S79" s="147">
        <f>C79</f>
        <v>7335145</v>
      </c>
      <c r="T79" s="147"/>
      <c r="U79" s="143"/>
    </row>
    <row r="80" spans="1:21" s="144" customFormat="1">
      <c r="A80" s="282" t="s">
        <v>58</v>
      </c>
      <c r="B80" s="146">
        <f>SUM(C80:D80)</f>
        <v>329000</v>
      </c>
      <c r="C80" s="147">
        <v>316149</v>
      </c>
      <c r="D80" s="147">
        <v>12851</v>
      </c>
      <c r="E80" s="147">
        <f t="shared" si="30"/>
        <v>329000</v>
      </c>
      <c r="F80" s="147"/>
      <c r="G80" s="147"/>
      <c r="H80" s="147"/>
      <c r="I80" s="147"/>
      <c r="J80" s="147"/>
      <c r="K80" s="147"/>
      <c r="L80" s="147"/>
      <c r="M80" s="147"/>
      <c r="N80" s="147"/>
      <c r="O80" s="147"/>
      <c r="P80" s="147"/>
      <c r="Q80" s="147"/>
      <c r="R80" s="515">
        <f>SUM(E80:Q80)</f>
        <v>329000</v>
      </c>
      <c r="S80" s="147">
        <f>C80</f>
        <v>316149</v>
      </c>
      <c r="T80" s="147"/>
      <c r="U80" s="143"/>
    </row>
    <row r="81" spans="1:21" s="144" customFormat="1">
      <c r="A81" s="149" t="s">
        <v>1207</v>
      </c>
      <c r="B81" s="146">
        <f>SUM(C81:D81)</f>
        <v>7754756</v>
      </c>
      <c r="C81" s="508">
        <f>SUM(C79:C80)</f>
        <v>7651294</v>
      </c>
      <c r="D81" s="508">
        <f t="shared" ref="D81:T81" si="31">SUM(D79:D80)</f>
        <v>103462</v>
      </c>
      <c r="E81" s="508">
        <f t="shared" si="31"/>
        <v>7754756</v>
      </c>
      <c r="F81" s="508">
        <f t="shared" si="31"/>
        <v>0</v>
      </c>
      <c r="G81" s="508">
        <f t="shared" si="31"/>
        <v>0</v>
      </c>
      <c r="H81" s="508">
        <f t="shared" si="31"/>
        <v>0</v>
      </c>
      <c r="I81" s="508">
        <f t="shared" si="31"/>
        <v>0</v>
      </c>
      <c r="J81" s="508">
        <f t="shared" si="31"/>
        <v>0</v>
      </c>
      <c r="K81" s="508">
        <f t="shared" si="31"/>
        <v>0</v>
      </c>
      <c r="L81" s="508">
        <f t="shared" si="31"/>
        <v>0</v>
      </c>
      <c r="M81" s="508">
        <f t="shared" si="31"/>
        <v>0</v>
      </c>
      <c r="N81" s="508">
        <f t="shared" si="31"/>
        <v>0</v>
      </c>
      <c r="O81" s="508">
        <f t="shared" si="31"/>
        <v>0</v>
      </c>
      <c r="P81" s="508">
        <f t="shared" si="31"/>
        <v>0</v>
      </c>
      <c r="Q81" s="508">
        <f t="shared" si="31"/>
        <v>0</v>
      </c>
      <c r="R81" s="508">
        <f t="shared" si="31"/>
        <v>7754756</v>
      </c>
      <c r="S81" s="508">
        <f t="shared" si="31"/>
        <v>7651294</v>
      </c>
      <c r="T81" s="508">
        <f t="shared" si="31"/>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 customHeight="1">
      <c r="A83" s="145" t="s">
        <v>2048</v>
      </c>
      <c r="B83" s="146">
        <f t="shared" ref="B83:B95" si="32">SUM(C83+D83)</f>
        <v>140221</v>
      </c>
      <c r="C83" s="147">
        <v>140221</v>
      </c>
      <c r="D83" s="147"/>
      <c r="E83" s="147">
        <f t="shared" ref="E83:E95" si="33">B83-SUM(F83:Q83)</f>
        <v>140221</v>
      </c>
      <c r="F83" s="147"/>
      <c r="G83" s="147"/>
      <c r="H83" s="147"/>
      <c r="I83" s="147"/>
      <c r="J83" s="147"/>
      <c r="K83" s="147"/>
      <c r="L83" s="147"/>
      <c r="M83" s="147"/>
      <c r="N83" s="147"/>
      <c r="O83" s="147"/>
      <c r="P83" s="147"/>
      <c r="Q83" s="147"/>
      <c r="R83" s="515">
        <f t="shared" ref="R83:R95" si="34">SUM(E83:Q83)</f>
        <v>140221</v>
      </c>
      <c r="S83" s="148"/>
      <c r="T83" s="148"/>
      <c r="U83" s="143"/>
    </row>
    <row r="84" spans="1:21" s="144" customFormat="1">
      <c r="A84" s="145" t="s">
        <v>765</v>
      </c>
      <c r="B84" s="146">
        <f t="shared" si="32"/>
        <v>85000</v>
      </c>
      <c r="C84" s="147">
        <v>83131</v>
      </c>
      <c r="D84" s="147">
        <v>1869</v>
      </c>
      <c r="E84" s="147">
        <f t="shared" si="33"/>
        <v>85000</v>
      </c>
      <c r="F84" s="147"/>
      <c r="G84" s="147"/>
      <c r="H84" s="147"/>
      <c r="I84" s="147"/>
      <c r="J84" s="147"/>
      <c r="K84" s="147"/>
      <c r="L84" s="147"/>
      <c r="M84" s="147"/>
      <c r="N84" s="147"/>
      <c r="O84" s="147"/>
      <c r="P84" s="147"/>
      <c r="Q84" s="147"/>
      <c r="R84" s="515">
        <f t="shared" si="34"/>
        <v>85000</v>
      </c>
      <c r="S84" s="147">
        <f>C84</f>
        <v>83131</v>
      </c>
      <c r="T84" s="147"/>
      <c r="U84" s="143"/>
    </row>
    <row r="85" spans="1:21" s="144" customFormat="1">
      <c r="A85" s="145" t="s">
        <v>766</v>
      </c>
      <c r="B85" s="146">
        <f t="shared" si="32"/>
        <v>574216</v>
      </c>
      <c r="C85" s="147">
        <v>561591</v>
      </c>
      <c r="D85" s="147">
        <v>12625</v>
      </c>
      <c r="E85" s="147">
        <f t="shared" si="33"/>
        <v>574216</v>
      </c>
      <c r="F85" s="147"/>
      <c r="G85" s="147"/>
      <c r="H85" s="147"/>
      <c r="I85" s="147"/>
      <c r="J85" s="147"/>
      <c r="K85" s="147"/>
      <c r="L85" s="147"/>
      <c r="M85" s="147"/>
      <c r="N85" s="147"/>
      <c r="O85" s="147"/>
      <c r="P85" s="147"/>
      <c r="Q85" s="147"/>
      <c r="R85" s="515">
        <f t="shared" si="34"/>
        <v>574216</v>
      </c>
      <c r="S85" s="147">
        <f t="shared" ref="S85:S95" si="35">C85</f>
        <v>561591</v>
      </c>
      <c r="T85" s="147"/>
      <c r="U85" s="143"/>
    </row>
    <row r="86" spans="1:21" s="144" customFormat="1">
      <c r="A86" s="145" t="s">
        <v>767</v>
      </c>
      <c r="B86" s="146">
        <f t="shared" si="32"/>
        <v>831324</v>
      </c>
      <c r="C86" s="147">
        <v>813146</v>
      </c>
      <c r="D86" s="147">
        <v>18178</v>
      </c>
      <c r="E86" s="147">
        <f t="shared" si="33"/>
        <v>831324</v>
      </c>
      <c r="F86" s="147"/>
      <c r="G86" s="147"/>
      <c r="H86" s="147"/>
      <c r="I86" s="147"/>
      <c r="J86" s="147"/>
      <c r="K86" s="147"/>
      <c r="L86" s="147"/>
      <c r="M86" s="147"/>
      <c r="N86" s="147"/>
      <c r="O86" s="147"/>
      <c r="P86" s="147"/>
      <c r="Q86" s="147"/>
      <c r="R86" s="515">
        <f t="shared" si="34"/>
        <v>831324</v>
      </c>
      <c r="S86" s="147">
        <f t="shared" si="35"/>
        <v>813146</v>
      </c>
      <c r="T86" s="147"/>
      <c r="U86" s="143"/>
    </row>
    <row r="87" spans="1:21" s="144" customFormat="1">
      <c r="A87" s="145" t="s">
        <v>768</v>
      </c>
      <c r="B87" s="146">
        <f t="shared" si="32"/>
        <v>0</v>
      </c>
      <c r="C87" s="147"/>
      <c r="D87" s="147"/>
      <c r="E87" s="147">
        <f t="shared" si="33"/>
        <v>0</v>
      </c>
      <c r="F87" s="147"/>
      <c r="G87" s="147"/>
      <c r="H87" s="147"/>
      <c r="I87" s="147"/>
      <c r="J87" s="147"/>
      <c r="K87" s="147"/>
      <c r="L87" s="147"/>
      <c r="M87" s="147"/>
      <c r="N87" s="147"/>
      <c r="O87" s="147"/>
      <c r="P87" s="147"/>
      <c r="Q87" s="147"/>
      <c r="R87" s="515">
        <f t="shared" si="34"/>
        <v>0</v>
      </c>
      <c r="S87" s="147">
        <f t="shared" si="35"/>
        <v>0</v>
      </c>
      <c r="T87" s="147"/>
      <c r="U87" s="143"/>
    </row>
    <row r="88" spans="1:21" s="144" customFormat="1">
      <c r="A88" s="145" t="s">
        <v>769</v>
      </c>
      <c r="B88" s="146">
        <f t="shared" si="32"/>
        <v>58389</v>
      </c>
      <c r="C88" s="147">
        <v>58389</v>
      </c>
      <c r="D88" s="147"/>
      <c r="E88" s="147">
        <f t="shared" si="33"/>
        <v>58389</v>
      </c>
      <c r="F88" s="147"/>
      <c r="G88" s="147"/>
      <c r="H88" s="147"/>
      <c r="I88" s="147"/>
      <c r="J88" s="147"/>
      <c r="K88" s="147"/>
      <c r="L88" s="147"/>
      <c r="M88" s="147"/>
      <c r="N88" s="147"/>
      <c r="O88" s="147"/>
      <c r="P88" s="147"/>
      <c r="Q88" s="147"/>
      <c r="R88" s="515">
        <f t="shared" si="34"/>
        <v>58389</v>
      </c>
      <c r="S88" s="148"/>
      <c r="T88" s="148"/>
      <c r="U88" s="143"/>
    </row>
    <row r="89" spans="1:21" s="144" customFormat="1">
      <c r="A89" s="145" t="s">
        <v>770</v>
      </c>
      <c r="B89" s="146">
        <f t="shared" si="32"/>
        <v>267780</v>
      </c>
      <c r="C89" s="147">
        <v>267780</v>
      </c>
      <c r="D89" s="147"/>
      <c r="E89" s="147">
        <f t="shared" si="33"/>
        <v>267780</v>
      </c>
      <c r="F89" s="147"/>
      <c r="G89" s="147"/>
      <c r="H89" s="147"/>
      <c r="I89" s="147"/>
      <c r="J89" s="147"/>
      <c r="K89" s="147"/>
      <c r="L89" s="147"/>
      <c r="M89" s="147"/>
      <c r="N89" s="147"/>
      <c r="O89" s="147"/>
      <c r="P89" s="147"/>
      <c r="Q89" s="147"/>
      <c r="R89" s="515">
        <f t="shared" si="34"/>
        <v>267780</v>
      </c>
      <c r="S89" s="147">
        <f t="shared" si="35"/>
        <v>267780</v>
      </c>
      <c r="T89" s="147"/>
      <c r="U89" s="143"/>
    </row>
    <row r="90" spans="1:21" s="144" customFormat="1">
      <c r="A90" s="145" t="s">
        <v>771</v>
      </c>
      <c r="B90" s="146">
        <f t="shared" si="32"/>
        <v>15000</v>
      </c>
      <c r="C90" s="147">
        <v>15000</v>
      </c>
      <c r="D90" s="147"/>
      <c r="E90" s="147">
        <f t="shared" si="33"/>
        <v>15000</v>
      </c>
      <c r="F90" s="147"/>
      <c r="G90" s="147"/>
      <c r="H90" s="147"/>
      <c r="I90" s="147"/>
      <c r="J90" s="147"/>
      <c r="K90" s="147"/>
      <c r="L90" s="147"/>
      <c r="M90" s="147"/>
      <c r="N90" s="147"/>
      <c r="O90" s="147"/>
      <c r="P90" s="147"/>
      <c r="Q90" s="147"/>
      <c r="R90" s="515">
        <f t="shared" si="34"/>
        <v>15000</v>
      </c>
      <c r="S90" s="147">
        <v>0</v>
      </c>
      <c r="T90" s="147"/>
      <c r="U90" s="143"/>
    </row>
    <row r="91" spans="1:21" s="144" customFormat="1">
      <c r="A91" s="145" t="s">
        <v>371</v>
      </c>
      <c r="B91" s="146">
        <f t="shared" si="32"/>
        <v>0</v>
      </c>
      <c r="C91" s="147"/>
      <c r="D91" s="147"/>
      <c r="E91" s="147">
        <f t="shared" si="33"/>
        <v>0</v>
      </c>
      <c r="F91" s="147"/>
      <c r="G91" s="147"/>
      <c r="H91" s="147"/>
      <c r="I91" s="147"/>
      <c r="J91" s="147"/>
      <c r="K91" s="147"/>
      <c r="L91" s="147"/>
      <c r="M91" s="147"/>
      <c r="N91" s="147"/>
      <c r="O91" s="147"/>
      <c r="P91" s="147"/>
      <c r="Q91" s="147"/>
      <c r="R91" s="515">
        <f t="shared" si="34"/>
        <v>0</v>
      </c>
      <c r="S91" s="147">
        <f t="shared" si="35"/>
        <v>0</v>
      </c>
      <c r="T91" s="147"/>
      <c r="U91" s="143"/>
    </row>
    <row r="92" spans="1:21" s="144" customFormat="1">
      <c r="A92" s="282" t="s">
        <v>1209</v>
      </c>
      <c r="B92" s="146">
        <f t="shared" si="32"/>
        <v>10000</v>
      </c>
      <c r="C92" s="147">
        <v>10000</v>
      </c>
      <c r="D92" s="147"/>
      <c r="E92" s="147">
        <f t="shared" si="33"/>
        <v>10000</v>
      </c>
      <c r="F92" s="147"/>
      <c r="G92" s="147"/>
      <c r="H92" s="147"/>
      <c r="I92" s="147"/>
      <c r="J92" s="147"/>
      <c r="K92" s="147"/>
      <c r="L92" s="147"/>
      <c r="M92" s="147"/>
      <c r="N92" s="147"/>
      <c r="O92" s="147"/>
      <c r="P92" s="147"/>
      <c r="Q92" s="147"/>
      <c r="R92" s="515">
        <f t="shared" si="34"/>
        <v>10000</v>
      </c>
      <c r="S92" s="147">
        <f t="shared" si="35"/>
        <v>10000</v>
      </c>
      <c r="T92" s="147"/>
      <c r="U92" s="143"/>
    </row>
    <row r="93" spans="1:21" s="144" customFormat="1" ht="36">
      <c r="A93" s="1142" t="s">
        <v>2816</v>
      </c>
      <c r="B93" s="146">
        <f t="shared" si="32"/>
        <v>508500</v>
      </c>
      <c r="C93" s="147">
        <v>500424</v>
      </c>
      <c r="D93" s="147">
        <v>8076</v>
      </c>
      <c r="E93" s="147">
        <f t="shared" si="33"/>
        <v>508500</v>
      </c>
      <c r="F93" s="147"/>
      <c r="G93" s="147"/>
      <c r="H93" s="147"/>
      <c r="I93" s="147"/>
      <c r="J93" s="147"/>
      <c r="K93" s="147"/>
      <c r="L93" s="147"/>
      <c r="M93" s="147"/>
      <c r="N93" s="147"/>
      <c r="O93" s="147"/>
      <c r="P93" s="147"/>
      <c r="Q93" s="147"/>
      <c r="R93" s="515">
        <f t="shared" si="34"/>
        <v>508500</v>
      </c>
      <c r="S93" s="147">
        <f t="shared" si="35"/>
        <v>500424</v>
      </c>
      <c r="T93" s="147"/>
      <c r="U93" s="143"/>
    </row>
    <row r="94" spans="1:21" s="144" customFormat="1">
      <c r="A94" s="1142" t="s">
        <v>2773</v>
      </c>
      <c r="B94" s="146">
        <f t="shared" si="32"/>
        <v>178218</v>
      </c>
      <c r="C94" s="147">
        <v>175694</v>
      </c>
      <c r="D94" s="147">
        <v>2524</v>
      </c>
      <c r="E94" s="147">
        <f t="shared" si="33"/>
        <v>178218</v>
      </c>
      <c r="F94" s="147"/>
      <c r="G94" s="147"/>
      <c r="H94" s="147"/>
      <c r="I94" s="147"/>
      <c r="J94" s="147"/>
      <c r="K94" s="147"/>
      <c r="L94" s="147"/>
      <c r="M94" s="147"/>
      <c r="N94" s="147"/>
      <c r="O94" s="147"/>
      <c r="P94" s="147"/>
      <c r="Q94" s="147"/>
      <c r="R94" s="515">
        <f t="shared" si="34"/>
        <v>178218</v>
      </c>
      <c r="S94" s="147">
        <f t="shared" si="35"/>
        <v>175694</v>
      </c>
      <c r="T94" s="147"/>
      <c r="U94" s="143"/>
    </row>
    <row r="95" spans="1:21" s="144" customFormat="1">
      <c r="A95" s="1142" t="s">
        <v>2774</v>
      </c>
      <c r="B95" s="146">
        <f t="shared" si="32"/>
        <v>287500</v>
      </c>
      <c r="C95" s="147">
        <v>286950</v>
      </c>
      <c r="D95" s="147">
        <v>550</v>
      </c>
      <c r="E95" s="147">
        <f t="shared" si="33"/>
        <v>287500</v>
      </c>
      <c r="F95" s="147"/>
      <c r="G95" s="147"/>
      <c r="H95" s="147"/>
      <c r="I95" s="147"/>
      <c r="J95" s="147"/>
      <c r="K95" s="147"/>
      <c r="L95" s="147"/>
      <c r="M95" s="147"/>
      <c r="N95" s="147"/>
      <c r="O95" s="147"/>
      <c r="P95" s="147"/>
      <c r="Q95" s="147"/>
      <c r="R95" s="515">
        <f t="shared" si="34"/>
        <v>287500</v>
      </c>
      <c r="S95" s="147">
        <f t="shared" si="35"/>
        <v>286950</v>
      </c>
      <c r="T95" s="147"/>
      <c r="U95" s="143"/>
    </row>
    <row r="96" spans="1:21" s="144" customFormat="1">
      <c r="A96" s="149" t="s">
        <v>772</v>
      </c>
      <c r="B96" s="146">
        <f>SUM(C96:D96)</f>
        <v>2956148</v>
      </c>
      <c r="C96" s="146">
        <f t="shared" ref="C96:R96" si="36">SUM(C83:C95)</f>
        <v>2912326</v>
      </c>
      <c r="D96" s="146">
        <f t="shared" si="36"/>
        <v>43822</v>
      </c>
      <c r="E96" s="146">
        <f t="shared" si="36"/>
        <v>2956148</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41">
        <f t="shared" si="36"/>
        <v>2956148</v>
      </c>
      <c r="S96" s="150">
        <f>SUM(S84:S87,S89:S95)</f>
        <v>2698716</v>
      </c>
      <c r="T96" s="146">
        <f>SUM(T84:T87,T89:T95)</f>
        <v>0</v>
      </c>
      <c r="U96" s="143"/>
    </row>
    <row r="97" spans="1:21" s="144" customFormat="1">
      <c r="A97" s="149" t="s">
        <v>773</v>
      </c>
      <c r="B97" s="146">
        <f>SUM(C97:D97)</f>
        <v>97547654</v>
      </c>
      <c r="C97" s="146">
        <f t="shared" ref="C97:R97" si="37">SUM(C63+C70+C77+C81+C96)</f>
        <v>94741115</v>
      </c>
      <c r="D97" s="146">
        <f t="shared" si="37"/>
        <v>2806539</v>
      </c>
      <c r="E97" s="146">
        <f t="shared" si="37"/>
        <v>38452373</v>
      </c>
      <c r="F97" s="146">
        <f t="shared" si="37"/>
        <v>10973000</v>
      </c>
      <c r="G97" s="146">
        <f t="shared" si="37"/>
        <v>21786974</v>
      </c>
      <c r="H97" s="146">
        <f t="shared" si="37"/>
        <v>24137006</v>
      </c>
      <c r="I97" s="146">
        <f t="shared" si="37"/>
        <v>2198301</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97547654</v>
      </c>
      <c r="S97" s="146">
        <f>SUM(S63+S70+S81+S96)</f>
        <v>90189177</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10000000</v>
      </c>
      <c r="C99" s="973">
        <v>9658175</v>
      </c>
      <c r="D99" s="973">
        <v>341825</v>
      </c>
      <c r="E99" s="973">
        <f>B99-SUM(F99:Q99)</f>
        <v>5315605</v>
      </c>
      <c r="F99" s="147"/>
      <c r="G99" s="147"/>
      <c r="H99" s="147"/>
      <c r="I99" s="147"/>
      <c r="J99" s="147">
        <v>4684295</v>
      </c>
      <c r="K99" s="147">
        <v>100</v>
      </c>
      <c r="L99" s="147"/>
      <c r="M99" s="147"/>
      <c r="N99" s="147"/>
      <c r="O99" s="147"/>
      <c r="P99" s="147"/>
      <c r="Q99" s="147"/>
      <c r="R99" s="515">
        <f>SUM(E99:Q99)</f>
        <v>10000000</v>
      </c>
      <c r="S99" s="147">
        <f>C99</f>
        <v>9658175</v>
      </c>
      <c r="T99" s="147"/>
      <c r="U99" s="143"/>
    </row>
    <row r="100" spans="1:21" s="144" customFormat="1">
      <c r="A100" s="282" t="s">
        <v>1633</v>
      </c>
      <c r="B100" s="146">
        <f>SUM(C100+D100)</f>
        <v>0</v>
      </c>
      <c r="C100" s="147"/>
      <c r="D100" s="147"/>
      <c r="E100" s="147">
        <f t="shared" ref="E100:E103" si="38">B100-SUM(F100:Q100)</f>
        <v>0</v>
      </c>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776</v>
      </c>
      <c r="B101" s="146">
        <f>SUM(C101+D101)</f>
        <v>0</v>
      </c>
      <c r="C101" s="147"/>
      <c r="D101" s="147"/>
      <c r="E101" s="147">
        <f t="shared" si="38"/>
        <v>0</v>
      </c>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2" t="s">
        <v>1634</v>
      </c>
      <c r="B102" s="146">
        <f>SUM(C102+D102)</f>
        <v>0</v>
      </c>
      <c r="C102" s="147"/>
      <c r="D102" s="147"/>
      <c r="E102" s="147">
        <f t="shared" si="38"/>
        <v>0</v>
      </c>
      <c r="F102" s="147"/>
      <c r="G102" s="147"/>
      <c r="H102" s="147"/>
      <c r="I102" s="147"/>
      <c r="J102" s="147"/>
      <c r="K102" s="147"/>
      <c r="L102" s="147"/>
      <c r="M102" s="147"/>
      <c r="N102" s="147"/>
      <c r="O102" s="147"/>
      <c r="P102" s="147"/>
      <c r="Q102" s="147"/>
      <c r="R102" s="515">
        <f>SUM(E102:Q102)</f>
        <v>0</v>
      </c>
      <c r="S102" s="147"/>
      <c r="T102" s="147"/>
      <c r="U102" s="143"/>
    </row>
    <row r="103" spans="1:21" s="144" customFormat="1">
      <c r="A103" s="1142"/>
      <c r="B103" s="146">
        <f>SUM(C103+D103)</f>
        <v>0</v>
      </c>
      <c r="C103" s="147"/>
      <c r="D103" s="147"/>
      <c r="E103" s="147">
        <f t="shared" si="38"/>
        <v>0</v>
      </c>
      <c r="F103" s="147"/>
      <c r="G103" s="147"/>
      <c r="H103" s="147"/>
      <c r="I103" s="147"/>
      <c r="J103" s="147"/>
      <c r="K103" s="147"/>
      <c r="L103" s="147"/>
      <c r="M103" s="147"/>
      <c r="N103" s="147"/>
      <c r="O103" s="147"/>
      <c r="P103" s="147"/>
      <c r="Q103" s="147"/>
      <c r="R103" s="515">
        <f>SUM(E103:Q103)</f>
        <v>0</v>
      </c>
      <c r="S103" s="147"/>
      <c r="T103" s="147"/>
      <c r="U103" s="143"/>
    </row>
    <row r="104" spans="1:21" s="144" customFormat="1">
      <c r="A104" s="149" t="s">
        <v>777</v>
      </c>
      <c r="B104" s="146">
        <f>SUM(C104:D104)</f>
        <v>10000000</v>
      </c>
      <c r="C104" s="146">
        <f>SUM(C99:C103)</f>
        <v>9658175</v>
      </c>
      <c r="D104" s="146">
        <f t="shared" ref="D104:T104" si="39">SUM(D99:D103)</f>
        <v>341825</v>
      </c>
      <c r="E104" s="146">
        <f t="shared" si="39"/>
        <v>5315605</v>
      </c>
      <c r="F104" s="146">
        <f t="shared" si="39"/>
        <v>0</v>
      </c>
      <c r="G104" s="146">
        <f t="shared" si="39"/>
        <v>0</v>
      </c>
      <c r="H104" s="146">
        <f t="shared" si="39"/>
        <v>0</v>
      </c>
      <c r="I104" s="146">
        <f t="shared" si="39"/>
        <v>0</v>
      </c>
      <c r="J104" s="146">
        <f t="shared" si="39"/>
        <v>4684295</v>
      </c>
      <c r="K104" s="146">
        <f t="shared" si="39"/>
        <v>100</v>
      </c>
      <c r="L104" s="146">
        <f t="shared" si="39"/>
        <v>0</v>
      </c>
      <c r="M104" s="146">
        <f t="shared" si="39"/>
        <v>0</v>
      </c>
      <c r="N104" s="146">
        <f t="shared" si="39"/>
        <v>0</v>
      </c>
      <c r="O104" s="146">
        <f t="shared" si="39"/>
        <v>0</v>
      </c>
      <c r="P104" s="146">
        <f t="shared" si="39"/>
        <v>0</v>
      </c>
      <c r="Q104" s="146">
        <f t="shared" si="39"/>
        <v>0</v>
      </c>
      <c r="R104" s="341">
        <f t="shared" si="39"/>
        <v>10000000</v>
      </c>
      <c r="S104" s="150">
        <f t="shared" si="39"/>
        <v>9658175</v>
      </c>
      <c r="T104" s="150">
        <f t="shared" si="39"/>
        <v>0</v>
      </c>
      <c r="U104" s="143"/>
    </row>
    <row r="105" spans="1:21" s="144" customFormat="1">
      <c r="A105" s="149" t="s">
        <v>778</v>
      </c>
      <c r="B105" s="150">
        <f>SUM(C105:D105)</f>
        <v>107547654</v>
      </c>
      <c r="C105" s="150">
        <f t="shared" ref="C105:R105" si="40">SUM(C97+C104)</f>
        <v>104399290</v>
      </c>
      <c r="D105" s="150">
        <f t="shared" si="40"/>
        <v>3148364</v>
      </c>
      <c r="E105" s="150">
        <f t="shared" si="40"/>
        <v>43767978</v>
      </c>
      <c r="F105" s="150">
        <f t="shared" si="40"/>
        <v>10973000</v>
      </c>
      <c r="G105" s="150">
        <f t="shared" si="40"/>
        <v>21786974</v>
      </c>
      <c r="H105" s="150">
        <f t="shared" si="40"/>
        <v>24137006</v>
      </c>
      <c r="I105" s="150">
        <f t="shared" si="40"/>
        <v>2198301</v>
      </c>
      <c r="J105" s="150">
        <f t="shared" si="40"/>
        <v>4684295</v>
      </c>
      <c r="K105" s="150">
        <f t="shared" si="40"/>
        <v>100</v>
      </c>
      <c r="L105" s="150">
        <f t="shared" si="40"/>
        <v>0</v>
      </c>
      <c r="M105" s="150">
        <f t="shared" si="40"/>
        <v>0</v>
      </c>
      <c r="N105" s="150">
        <f t="shared" si="40"/>
        <v>0</v>
      </c>
      <c r="O105" s="150">
        <f t="shared" si="40"/>
        <v>0</v>
      </c>
      <c r="P105" s="150">
        <f t="shared" si="40"/>
        <v>0</v>
      </c>
      <c r="Q105" s="150">
        <f t="shared" si="40"/>
        <v>0</v>
      </c>
      <c r="R105" s="341">
        <f t="shared" si="40"/>
        <v>107547654</v>
      </c>
      <c r="S105" s="150">
        <f>S97+S104</f>
        <v>99847352</v>
      </c>
      <c r="T105" s="150">
        <f>T97+T104</f>
        <v>0</v>
      </c>
      <c r="U105" s="143"/>
    </row>
    <row r="106" spans="1:21">
      <c r="A106" s="513"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99847352</v>
      </c>
      <c r="T107" s="150">
        <f>T105+T106</f>
        <v>0</v>
      </c>
    </row>
    <row r="108" spans="1:21" s="189" customFormat="1">
      <c r="A108" s="162" t="s">
        <v>877</v>
      </c>
      <c r="B108" s="157"/>
      <c r="C108" s="157"/>
      <c r="D108" s="157"/>
      <c r="E108" s="300">
        <f>Application!AO648</f>
        <v>43767977</v>
      </c>
      <c r="F108" s="300">
        <f>Application!AO635</f>
        <v>10973000</v>
      </c>
      <c r="G108" s="300">
        <f>Application!AO636</f>
        <v>21786974</v>
      </c>
      <c r="H108" s="300">
        <f>Application!AO637</f>
        <v>24137006</v>
      </c>
      <c r="I108" s="300">
        <f>Application!AO638</f>
        <v>2198301</v>
      </c>
      <c r="J108" s="300">
        <f>Application!AO639</f>
        <v>4684295</v>
      </c>
      <c r="K108" s="300">
        <f>Application!AO640</f>
        <v>100</v>
      </c>
      <c r="L108" s="300">
        <f>Application!AO641</f>
        <v>0</v>
      </c>
      <c r="M108" s="300">
        <f>Application!AO642</f>
        <v>0</v>
      </c>
      <c r="N108" s="300">
        <f>Application!AO643</f>
        <v>0</v>
      </c>
      <c r="O108" s="300">
        <f>Application!AO644</f>
        <v>0</v>
      </c>
      <c r="P108" s="300">
        <f>Application!AO645</f>
        <v>0</v>
      </c>
      <c r="Q108" s="300">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1"/>
      <c r="B112" s="157"/>
      <c r="C112" s="157"/>
      <c r="D112" s="157"/>
    </row>
    <row r="113" spans="1:21">
      <c r="A113" s="156" t="s">
        <v>1017</v>
      </c>
      <c r="B113" s="157"/>
      <c r="C113" s="157"/>
      <c r="D113" s="157"/>
    </row>
    <row r="114" spans="1:21">
      <c r="A114" s="156" t="s">
        <v>2049</v>
      </c>
      <c r="B114" s="157"/>
      <c r="C114" s="157"/>
      <c r="D114" s="157"/>
    </row>
    <row r="115" spans="1:21" ht="12" customHeight="1">
      <c r="A115" s="311"/>
      <c r="B115" s="157"/>
      <c r="C115" s="157"/>
      <c r="D115" s="157"/>
    </row>
    <row r="116" spans="1:21">
      <c r="A116" s="344" t="s">
        <v>1020</v>
      </c>
      <c r="B116" s="157"/>
      <c r="C116" s="157"/>
      <c r="D116" s="157"/>
    </row>
    <row r="117" spans="1:21">
      <c r="A117" s="344" t="s">
        <v>1221</v>
      </c>
      <c r="B117" s="157"/>
      <c r="C117" s="157"/>
      <c r="D117" s="157"/>
    </row>
    <row r="118" spans="1:21">
      <c r="A118" s="344" t="s">
        <v>1019</v>
      </c>
      <c r="B118" s="157"/>
      <c r="C118" s="157"/>
      <c r="D118" s="157"/>
    </row>
    <row r="119" spans="1:21">
      <c r="A119" s="344" t="s">
        <v>1021</v>
      </c>
      <c r="B119" s="157"/>
      <c r="C119" s="157"/>
      <c r="D119" s="157"/>
    </row>
    <row r="120" spans="1:21" ht="12" customHeight="1">
      <c r="A120" s="343"/>
      <c r="B120" s="157"/>
      <c r="C120" s="157"/>
      <c r="D120" s="157"/>
    </row>
    <row r="121" spans="1:21" ht="15.75">
      <c r="A121" s="337" t="s">
        <v>1003</v>
      </c>
      <c r="B121" s="157"/>
      <c r="C121" s="157"/>
      <c r="D121" s="157"/>
    </row>
    <row r="122" spans="1:21">
      <c r="A122" s="324" t="s">
        <v>987</v>
      </c>
      <c r="B122" s="323"/>
      <c r="C122" s="323"/>
      <c r="D122" s="1273" t="s">
        <v>988</v>
      </c>
      <c r="E122" s="1273"/>
      <c r="F122" s="1273"/>
      <c r="G122" s="323"/>
      <c r="H122" s="323"/>
      <c r="I122" s="323"/>
      <c r="J122" s="323"/>
      <c r="K122" s="323"/>
      <c r="L122" s="323"/>
      <c r="M122" s="323"/>
      <c r="N122" s="323"/>
      <c r="O122" s="323"/>
      <c r="P122" s="323"/>
      <c r="Q122" s="323"/>
      <c r="R122" s="323"/>
      <c r="S122" s="323"/>
      <c r="T122" s="323"/>
      <c r="U122" s="325"/>
    </row>
    <row r="123" spans="1:21">
      <c r="A123" s="323" t="s">
        <v>989</v>
      </c>
      <c r="B123" s="332"/>
      <c r="C123" s="323"/>
      <c r="D123" s="1275" t="s">
        <v>1222</v>
      </c>
      <c r="E123" s="1276"/>
      <c r="F123" s="1276"/>
      <c r="G123" s="1276"/>
      <c r="H123" s="1276"/>
      <c r="I123" s="1276"/>
      <c r="J123" s="1276"/>
      <c r="K123" s="1276"/>
      <c r="L123" s="1276"/>
      <c r="M123" s="1276"/>
      <c r="N123" s="1276"/>
      <c r="O123" s="1276"/>
      <c r="P123" s="1276"/>
      <c r="Q123" s="1276"/>
      <c r="R123" s="1276"/>
      <c r="S123" s="1276"/>
      <c r="T123" s="323"/>
      <c r="U123" s="325"/>
    </row>
    <row r="124" spans="1:21" ht="12.75">
      <c r="A124" s="117" t="s">
        <v>990</v>
      </c>
      <c r="B124" s="332"/>
      <c r="C124" s="117"/>
      <c r="D124" s="1276"/>
      <c r="E124" s="1276"/>
      <c r="F124" s="1276"/>
      <c r="G124" s="1276"/>
      <c r="H124" s="1276"/>
      <c r="I124" s="1276"/>
      <c r="J124" s="1276"/>
      <c r="K124" s="1276"/>
      <c r="L124" s="1276"/>
      <c r="M124" s="1276"/>
      <c r="N124" s="1276"/>
      <c r="O124" s="1276"/>
      <c r="P124" s="1276"/>
      <c r="Q124" s="1276"/>
      <c r="R124" s="1276"/>
      <c r="S124" s="1276"/>
      <c r="T124" s="323"/>
      <c r="U124" s="325"/>
    </row>
    <row r="125" spans="1:21" ht="12.75">
      <c r="A125" s="117" t="s">
        <v>991</v>
      </c>
      <c r="B125" s="332"/>
      <c r="C125" s="117"/>
      <c r="D125" s="1276"/>
      <c r="E125" s="1276"/>
      <c r="F125" s="1276"/>
      <c r="G125" s="1276"/>
      <c r="H125" s="1276"/>
      <c r="I125" s="1276"/>
      <c r="J125" s="1276"/>
      <c r="K125" s="1276"/>
      <c r="L125" s="1276"/>
      <c r="M125" s="1276"/>
      <c r="N125" s="1276"/>
      <c r="O125" s="1276"/>
      <c r="P125" s="1276"/>
      <c r="Q125" s="1276"/>
      <c r="R125" s="1276"/>
      <c r="S125" s="1276"/>
      <c r="T125" s="323"/>
      <c r="U125" s="325"/>
    </row>
    <row r="126" spans="1:21" ht="12.75">
      <c r="A126" s="117" t="s">
        <v>992</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2.75">
      <c r="A127" s="117" t="s">
        <v>993</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75">
      <c r="A128" s="117" t="s">
        <v>994</v>
      </c>
      <c r="B128" s="332"/>
      <c r="C128" s="117"/>
      <c r="D128" s="1269"/>
      <c r="E128" s="1269"/>
      <c r="F128" s="1269"/>
      <c r="G128" s="1269"/>
      <c r="H128" s="1269"/>
      <c r="I128" s="117"/>
      <c r="J128" s="1270"/>
      <c r="K128" s="1270"/>
      <c r="L128" s="117"/>
      <c r="M128" s="117"/>
      <c r="N128" s="117"/>
      <c r="O128" s="117"/>
      <c r="P128" s="117"/>
      <c r="Q128" s="117"/>
      <c r="R128" s="117"/>
      <c r="S128" s="117"/>
      <c r="T128" s="323"/>
      <c r="U128" s="325"/>
    </row>
    <row r="129" spans="1:21" ht="12.75">
      <c r="A129" s="117" t="s">
        <v>299</v>
      </c>
      <c r="B129" s="332"/>
      <c r="C129" s="117"/>
      <c r="D129" s="1271" t="s">
        <v>995</v>
      </c>
      <c r="E129" s="1271"/>
      <c r="F129" s="1271"/>
      <c r="G129" s="1271"/>
      <c r="H129" s="1271"/>
      <c r="I129" s="117"/>
      <c r="J129" s="117" t="s">
        <v>996</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2.75">
      <c r="A131" s="334" t="s">
        <v>997</v>
      </c>
      <c r="B131" s="333">
        <f>SUM(B123:B129)</f>
        <v>0</v>
      </c>
      <c r="C131" s="117"/>
      <c r="D131" s="1272"/>
      <c r="E131" s="1272"/>
      <c r="F131" s="1272"/>
      <c r="G131" s="1272"/>
      <c r="H131" s="1272"/>
      <c r="I131" s="117"/>
      <c r="J131" s="1272"/>
      <c r="K131" s="1272"/>
      <c r="L131" s="1272"/>
      <c r="M131" s="1272"/>
      <c r="N131" s="117"/>
      <c r="O131" s="117"/>
      <c r="P131" s="117"/>
      <c r="Q131" s="117"/>
      <c r="R131" s="117"/>
      <c r="S131" s="117"/>
      <c r="T131" s="323"/>
      <c r="U131" s="325"/>
    </row>
    <row r="132" spans="1:21" ht="12" customHeight="1">
      <c r="A132" s="335"/>
      <c r="B132" s="117"/>
      <c r="C132" s="117"/>
      <c r="D132" s="1277" t="s">
        <v>998</v>
      </c>
      <c r="E132" s="1277"/>
      <c r="F132" s="1277"/>
      <c r="G132" s="1277"/>
      <c r="H132" s="1277"/>
      <c r="I132" s="117"/>
      <c r="J132" s="1277" t="s">
        <v>999</v>
      </c>
      <c r="K132" s="1277"/>
      <c r="L132" s="1277"/>
      <c r="M132" s="1277"/>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2.75">
      <c r="A135" s="311" t="s">
        <v>1001</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7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278"/>
      <c r="B138" s="1269"/>
      <c r="C138" s="1269"/>
      <c r="D138" s="327"/>
      <c r="E138" s="1270"/>
      <c r="F138" s="1270"/>
      <c r="G138" s="117"/>
      <c r="H138" s="117"/>
      <c r="I138" s="117"/>
      <c r="J138" s="117"/>
      <c r="K138" s="117"/>
      <c r="L138" s="117"/>
      <c r="M138" s="117"/>
      <c r="N138" s="117"/>
      <c r="O138" s="117"/>
      <c r="P138" s="117"/>
      <c r="Q138" s="117"/>
      <c r="R138" s="117"/>
      <c r="S138" s="117"/>
      <c r="T138" s="329"/>
      <c r="U138" s="330"/>
    </row>
    <row r="139" spans="1:21" ht="12.75">
      <c r="A139" s="1274" t="s">
        <v>1002</v>
      </c>
      <c r="B139" s="1274"/>
      <c r="C139" s="1274"/>
      <c r="D139" s="327"/>
      <c r="E139" s="117" t="s">
        <v>996</v>
      </c>
      <c r="F139" s="117"/>
      <c r="G139" s="117"/>
      <c r="H139" s="117"/>
      <c r="I139" s="117"/>
      <c r="J139" s="117"/>
      <c r="K139" s="117"/>
      <c r="L139" s="117"/>
      <c r="M139" s="117"/>
      <c r="N139" s="117"/>
      <c r="O139" s="117"/>
      <c r="P139" s="117"/>
      <c r="Q139" s="117"/>
      <c r="R139" s="117"/>
      <c r="S139" s="117"/>
      <c r="T139" s="329"/>
      <c r="U139" s="330"/>
    </row>
    <row r="140" spans="1:21" ht="12.75">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03" workbookViewId="0">
      <selection activeCell="D171" sqref="D171:F175"/>
    </sheetView>
  </sheetViews>
  <sheetFormatPr defaultColWidth="0" defaultRowHeight="12" zeroHeight="1"/>
  <cols>
    <col min="1" max="1" width="32.7109375" style="396" customWidth="1"/>
    <col min="2" max="3" width="12.140625" style="392" customWidth="1"/>
    <col min="4" max="6" width="12.85546875" style="392" customWidth="1"/>
    <col min="7" max="9" width="12.140625" style="392" customWidth="1"/>
    <col min="10" max="10" width="12.140625" style="393" customWidth="1"/>
    <col min="11" max="11" width="8.85546875" style="394" hidden="1" customWidth="1"/>
    <col min="12" max="21" width="8.85546875" style="392" hidden="1" customWidth="1"/>
    <col min="22" max="23" width="0" style="392" hidden="1"/>
    <col min="24" max="256" width="8.85546875" style="392" hidden="1"/>
    <col min="257" max="257" width="32.7109375" style="392" hidden="1" customWidth="1"/>
    <col min="258" max="259" width="12.140625" style="392" hidden="1" customWidth="1"/>
    <col min="260" max="260" width="12.85546875" style="392" hidden="1" customWidth="1"/>
    <col min="261" max="266" width="12.140625" style="392" hidden="1" customWidth="1"/>
    <col min="267" max="277" width="8.85546875" style="392" hidden="1" customWidth="1"/>
    <col min="278" max="512" width="8.85546875" style="392" hidden="1"/>
    <col min="513" max="513" width="32.7109375" style="392" hidden="1" customWidth="1"/>
    <col min="514" max="515" width="12.140625" style="392" hidden="1" customWidth="1"/>
    <col min="516" max="516" width="12.85546875" style="392" hidden="1" customWidth="1"/>
    <col min="517" max="522" width="12.140625" style="392" hidden="1" customWidth="1"/>
    <col min="523" max="533" width="8.85546875" style="392" hidden="1" customWidth="1"/>
    <col min="534" max="768" width="8.85546875" style="392" hidden="1"/>
    <col min="769" max="769" width="32.7109375" style="392" hidden="1" customWidth="1"/>
    <col min="770" max="771" width="12.140625" style="392" hidden="1" customWidth="1"/>
    <col min="772" max="772" width="12.85546875" style="392" hidden="1" customWidth="1"/>
    <col min="773" max="778" width="12.140625" style="392" hidden="1" customWidth="1"/>
    <col min="779" max="789" width="8.85546875" style="392" hidden="1" customWidth="1"/>
    <col min="790" max="1024" width="8.85546875" style="392" hidden="1"/>
    <col min="1025" max="1025" width="32.7109375" style="392" hidden="1" customWidth="1"/>
    <col min="1026" max="1027" width="12.140625" style="392" hidden="1" customWidth="1"/>
    <col min="1028" max="1028" width="12.85546875" style="392" hidden="1" customWidth="1"/>
    <col min="1029" max="1034" width="12.140625" style="392" hidden="1" customWidth="1"/>
    <col min="1035" max="1045" width="8.85546875" style="392" hidden="1" customWidth="1"/>
    <col min="1046" max="1280" width="8.85546875" style="392" hidden="1"/>
    <col min="1281" max="1281" width="32.7109375" style="392" hidden="1" customWidth="1"/>
    <col min="1282" max="1283" width="12.140625" style="392" hidden="1" customWidth="1"/>
    <col min="1284" max="1284" width="12.85546875" style="392" hidden="1" customWidth="1"/>
    <col min="1285" max="1290" width="12.140625" style="392" hidden="1" customWidth="1"/>
    <col min="1291" max="1301" width="8.85546875" style="392" hidden="1" customWidth="1"/>
    <col min="1302" max="1536" width="8.85546875" style="392" hidden="1"/>
    <col min="1537" max="1537" width="32.7109375" style="392" hidden="1" customWidth="1"/>
    <col min="1538" max="1539" width="12.140625" style="392" hidden="1" customWidth="1"/>
    <col min="1540" max="1540" width="12.85546875" style="392" hidden="1" customWidth="1"/>
    <col min="1541" max="1546" width="12.140625" style="392" hidden="1" customWidth="1"/>
    <col min="1547" max="1557" width="8.85546875" style="392" hidden="1" customWidth="1"/>
    <col min="1558" max="1792" width="8.85546875" style="392" hidden="1"/>
    <col min="1793" max="1793" width="32.7109375" style="392" hidden="1" customWidth="1"/>
    <col min="1794" max="1795" width="12.140625" style="392" hidden="1" customWidth="1"/>
    <col min="1796" max="1796" width="12.85546875" style="392" hidden="1" customWidth="1"/>
    <col min="1797" max="1802" width="12.140625" style="392" hidden="1" customWidth="1"/>
    <col min="1803" max="1813" width="8.85546875" style="392" hidden="1" customWidth="1"/>
    <col min="1814" max="2048" width="8.85546875" style="392" hidden="1"/>
    <col min="2049" max="2049" width="32.7109375" style="392" hidden="1" customWidth="1"/>
    <col min="2050" max="2051" width="12.140625" style="392" hidden="1" customWidth="1"/>
    <col min="2052" max="2052" width="12.85546875" style="392" hidden="1" customWidth="1"/>
    <col min="2053" max="2058" width="12.140625" style="392" hidden="1" customWidth="1"/>
    <col min="2059" max="2069" width="8.85546875" style="392" hidden="1" customWidth="1"/>
    <col min="2070" max="2304" width="8.85546875" style="392" hidden="1"/>
    <col min="2305" max="2305" width="32.7109375" style="392" hidden="1" customWidth="1"/>
    <col min="2306" max="2307" width="12.140625" style="392" hidden="1" customWidth="1"/>
    <col min="2308" max="2308" width="12.85546875" style="392" hidden="1" customWidth="1"/>
    <col min="2309" max="2314" width="12.140625" style="392" hidden="1" customWidth="1"/>
    <col min="2315" max="2325" width="8.85546875" style="392" hidden="1" customWidth="1"/>
    <col min="2326" max="2560" width="8.85546875" style="392" hidden="1"/>
    <col min="2561" max="2561" width="32.7109375" style="392" hidden="1" customWidth="1"/>
    <col min="2562" max="2563" width="12.140625" style="392" hidden="1" customWidth="1"/>
    <col min="2564" max="2564" width="12.85546875" style="392" hidden="1" customWidth="1"/>
    <col min="2565" max="2570" width="12.140625" style="392" hidden="1" customWidth="1"/>
    <col min="2571" max="2581" width="8.85546875" style="392" hidden="1" customWidth="1"/>
    <col min="2582" max="2816" width="8.85546875" style="392" hidden="1"/>
    <col min="2817" max="2817" width="32.7109375" style="392" hidden="1" customWidth="1"/>
    <col min="2818" max="2819" width="12.140625" style="392" hidden="1" customWidth="1"/>
    <col min="2820" max="2820" width="12.85546875" style="392" hidden="1" customWidth="1"/>
    <col min="2821" max="2826" width="12.140625" style="392" hidden="1" customWidth="1"/>
    <col min="2827" max="2837" width="8.85546875" style="392" hidden="1" customWidth="1"/>
    <col min="2838" max="3072" width="8.85546875" style="392" hidden="1"/>
    <col min="3073" max="3073" width="32.7109375" style="392" hidden="1" customWidth="1"/>
    <col min="3074" max="3075" width="12.140625" style="392" hidden="1" customWidth="1"/>
    <col min="3076" max="3076" width="12.85546875" style="392" hidden="1" customWidth="1"/>
    <col min="3077" max="3082" width="12.140625" style="392" hidden="1" customWidth="1"/>
    <col min="3083" max="3093" width="8.85546875" style="392" hidden="1" customWidth="1"/>
    <col min="3094" max="3328" width="8.85546875" style="392" hidden="1"/>
    <col min="3329" max="3329" width="32.7109375" style="392" hidden="1" customWidth="1"/>
    <col min="3330" max="3331" width="12.140625" style="392" hidden="1" customWidth="1"/>
    <col min="3332" max="3332" width="12.85546875" style="392" hidden="1" customWidth="1"/>
    <col min="3333" max="3338" width="12.140625" style="392" hidden="1" customWidth="1"/>
    <col min="3339" max="3349" width="8.85546875" style="392" hidden="1" customWidth="1"/>
    <col min="3350" max="3584" width="8.85546875" style="392" hidden="1"/>
    <col min="3585" max="3585" width="32.7109375" style="392" hidden="1" customWidth="1"/>
    <col min="3586" max="3587" width="12.140625" style="392" hidden="1" customWidth="1"/>
    <col min="3588" max="3588" width="12.85546875" style="392" hidden="1" customWidth="1"/>
    <col min="3589" max="3594" width="12.140625" style="392" hidden="1" customWidth="1"/>
    <col min="3595" max="3605" width="8.85546875" style="392" hidden="1" customWidth="1"/>
    <col min="3606" max="3840" width="8.85546875" style="392" hidden="1"/>
    <col min="3841" max="3841" width="32.7109375" style="392" hidden="1" customWidth="1"/>
    <col min="3842" max="3843" width="12.140625" style="392" hidden="1" customWidth="1"/>
    <col min="3844" max="3844" width="12.85546875" style="392" hidden="1" customWidth="1"/>
    <col min="3845" max="3850" width="12.140625" style="392" hidden="1" customWidth="1"/>
    <col min="3851" max="3861" width="8.85546875" style="392" hidden="1" customWidth="1"/>
    <col min="3862" max="4096" width="8.85546875" style="392" hidden="1"/>
    <col min="4097" max="4097" width="32.7109375" style="392" hidden="1" customWidth="1"/>
    <col min="4098" max="4099" width="12.140625" style="392" hidden="1" customWidth="1"/>
    <col min="4100" max="4100" width="12.85546875" style="392" hidden="1" customWidth="1"/>
    <col min="4101" max="4106" width="12.140625" style="392" hidden="1" customWidth="1"/>
    <col min="4107" max="4117" width="8.85546875" style="392" hidden="1" customWidth="1"/>
    <col min="4118" max="4352" width="8.85546875" style="392" hidden="1"/>
    <col min="4353" max="4353" width="32.7109375" style="392" hidden="1" customWidth="1"/>
    <col min="4354" max="4355" width="12.140625" style="392" hidden="1" customWidth="1"/>
    <col min="4356" max="4356" width="12.85546875" style="392" hidden="1" customWidth="1"/>
    <col min="4357" max="4362" width="12.140625" style="392" hidden="1" customWidth="1"/>
    <col min="4363" max="4373" width="8.85546875" style="392" hidden="1" customWidth="1"/>
    <col min="4374" max="4608" width="8.85546875" style="392" hidden="1"/>
    <col min="4609" max="4609" width="32.7109375" style="392" hidden="1" customWidth="1"/>
    <col min="4610" max="4611" width="12.140625" style="392" hidden="1" customWidth="1"/>
    <col min="4612" max="4612" width="12.85546875" style="392" hidden="1" customWidth="1"/>
    <col min="4613" max="4618" width="12.140625" style="392" hidden="1" customWidth="1"/>
    <col min="4619" max="4629" width="8.85546875" style="392" hidden="1" customWidth="1"/>
    <col min="4630" max="4864" width="8.85546875" style="392" hidden="1"/>
    <col min="4865" max="4865" width="32.7109375" style="392" hidden="1" customWidth="1"/>
    <col min="4866" max="4867" width="12.140625" style="392" hidden="1" customWidth="1"/>
    <col min="4868" max="4868" width="12.85546875" style="392" hidden="1" customWidth="1"/>
    <col min="4869" max="4874" width="12.140625" style="392" hidden="1" customWidth="1"/>
    <col min="4875" max="4885" width="8.85546875" style="392" hidden="1" customWidth="1"/>
    <col min="4886" max="5120" width="8.85546875" style="392" hidden="1"/>
    <col min="5121" max="5121" width="32.7109375" style="392" hidden="1" customWidth="1"/>
    <col min="5122" max="5123" width="12.140625" style="392" hidden="1" customWidth="1"/>
    <col min="5124" max="5124" width="12.85546875" style="392" hidden="1" customWidth="1"/>
    <col min="5125" max="5130" width="12.140625" style="392" hidden="1" customWidth="1"/>
    <col min="5131" max="5141" width="8.85546875" style="392" hidden="1" customWidth="1"/>
    <col min="5142" max="5376" width="8.85546875" style="392" hidden="1"/>
    <col min="5377" max="5377" width="32.7109375" style="392" hidden="1" customWidth="1"/>
    <col min="5378" max="5379" width="12.140625" style="392" hidden="1" customWidth="1"/>
    <col min="5380" max="5380" width="12.85546875" style="392" hidden="1" customWidth="1"/>
    <col min="5381" max="5386" width="12.140625" style="392" hidden="1" customWidth="1"/>
    <col min="5387" max="5397" width="8.85546875" style="392" hidden="1" customWidth="1"/>
    <col min="5398" max="5632" width="8.85546875" style="392" hidden="1"/>
    <col min="5633" max="5633" width="32.7109375" style="392" hidden="1" customWidth="1"/>
    <col min="5634" max="5635" width="12.140625" style="392" hidden="1" customWidth="1"/>
    <col min="5636" max="5636" width="12.85546875" style="392" hidden="1" customWidth="1"/>
    <col min="5637" max="5642" width="12.140625" style="392" hidden="1" customWidth="1"/>
    <col min="5643" max="5653" width="8.85546875" style="392" hidden="1" customWidth="1"/>
    <col min="5654" max="5888" width="8.85546875" style="392" hidden="1"/>
    <col min="5889" max="5889" width="32.7109375" style="392" hidden="1" customWidth="1"/>
    <col min="5890" max="5891" width="12.140625" style="392" hidden="1" customWidth="1"/>
    <col min="5892" max="5892" width="12.85546875" style="392" hidden="1" customWidth="1"/>
    <col min="5893" max="5898" width="12.140625" style="392" hidden="1" customWidth="1"/>
    <col min="5899" max="5909" width="8.85546875" style="392" hidden="1" customWidth="1"/>
    <col min="5910" max="6144" width="8.85546875" style="392" hidden="1"/>
    <col min="6145" max="6145" width="32.7109375" style="392" hidden="1" customWidth="1"/>
    <col min="6146" max="6147" width="12.140625" style="392" hidden="1" customWidth="1"/>
    <col min="6148" max="6148" width="12.85546875" style="392" hidden="1" customWidth="1"/>
    <col min="6149" max="6154" width="12.140625" style="392" hidden="1" customWidth="1"/>
    <col min="6155" max="6165" width="8.85546875" style="392" hidden="1" customWidth="1"/>
    <col min="6166" max="6400" width="8.85546875" style="392" hidden="1"/>
    <col min="6401" max="6401" width="32.7109375" style="392" hidden="1" customWidth="1"/>
    <col min="6402" max="6403" width="12.140625" style="392" hidden="1" customWidth="1"/>
    <col min="6404" max="6404" width="12.85546875" style="392" hidden="1" customWidth="1"/>
    <col min="6405" max="6410" width="12.140625" style="392" hidden="1" customWidth="1"/>
    <col min="6411" max="6421" width="8.85546875" style="392" hidden="1" customWidth="1"/>
    <col min="6422" max="6656" width="8.85546875" style="392" hidden="1"/>
    <col min="6657" max="6657" width="32.7109375" style="392" hidden="1" customWidth="1"/>
    <col min="6658" max="6659" width="12.140625" style="392" hidden="1" customWidth="1"/>
    <col min="6660" max="6660" width="12.85546875" style="392" hidden="1" customWidth="1"/>
    <col min="6661" max="6666" width="12.140625" style="392" hidden="1" customWidth="1"/>
    <col min="6667" max="6677" width="8.85546875" style="392" hidden="1" customWidth="1"/>
    <col min="6678" max="6912" width="8.85546875" style="392" hidden="1"/>
    <col min="6913" max="6913" width="32.7109375" style="392" hidden="1" customWidth="1"/>
    <col min="6914" max="6915" width="12.140625" style="392" hidden="1" customWidth="1"/>
    <col min="6916" max="6916" width="12.85546875" style="392" hidden="1" customWidth="1"/>
    <col min="6917" max="6922" width="12.140625" style="392" hidden="1" customWidth="1"/>
    <col min="6923" max="6933" width="8.85546875" style="392" hidden="1" customWidth="1"/>
    <col min="6934" max="7168" width="8.85546875" style="392" hidden="1"/>
    <col min="7169" max="7169" width="32.7109375" style="392" hidden="1" customWidth="1"/>
    <col min="7170" max="7171" width="12.140625" style="392" hidden="1" customWidth="1"/>
    <col min="7172" max="7172" width="12.85546875" style="392" hidden="1" customWidth="1"/>
    <col min="7173" max="7178" width="12.140625" style="392" hidden="1" customWidth="1"/>
    <col min="7179" max="7189" width="8.85546875" style="392" hidden="1" customWidth="1"/>
    <col min="7190" max="7424" width="8.85546875" style="392" hidden="1"/>
    <col min="7425" max="7425" width="32.7109375" style="392" hidden="1" customWidth="1"/>
    <col min="7426" max="7427" width="12.140625" style="392" hidden="1" customWidth="1"/>
    <col min="7428" max="7428" width="12.85546875" style="392" hidden="1" customWidth="1"/>
    <col min="7429" max="7434" width="12.140625" style="392" hidden="1" customWidth="1"/>
    <col min="7435" max="7445" width="8.85546875" style="392" hidden="1" customWidth="1"/>
    <col min="7446" max="7680" width="8.85546875" style="392" hidden="1"/>
    <col min="7681" max="7681" width="32.7109375" style="392" hidden="1" customWidth="1"/>
    <col min="7682" max="7683" width="12.140625" style="392" hidden="1" customWidth="1"/>
    <col min="7684" max="7684" width="12.85546875" style="392" hidden="1" customWidth="1"/>
    <col min="7685" max="7690" width="12.140625" style="392" hidden="1" customWidth="1"/>
    <col min="7691" max="7701" width="8.85546875" style="392" hidden="1" customWidth="1"/>
    <col min="7702" max="7936" width="8.85546875" style="392" hidden="1"/>
    <col min="7937" max="7937" width="32.7109375" style="392" hidden="1" customWidth="1"/>
    <col min="7938" max="7939" width="12.140625" style="392" hidden="1" customWidth="1"/>
    <col min="7940" max="7940" width="12.85546875" style="392" hidden="1" customWidth="1"/>
    <col min="7941" max="7946" width="12.140625" style="392" hidden="1" customWidth="1"/>
    <col min="7947" max="7957" width="8.85546875" style="392" hidden="1" customWidth="1"/>
    <col min="7958" max="8192" width="8.85546875" style="392" hidden="1"/>
    <col min="8193" max="8193" width="32.7109375" style="392" hidden="1" customWidth="1"/>
    <col min="8194" max="8195" width="12.140625" style="392" hidden="1" customWidth="1"/>
    <col min="8196" max="8196" width="12.85546875" style="392" hidden="1" customWidth="1"/>
    <col min="8197" max="8202" width="12.140625" style="392" hidden="1" customWidth="1"/>
    <col min="8203" max="8213" width="8.85546875" style="392" hidden="1" customWidth="1"/>
    <col min="8214" max="8448" width="8.85546875" style="392" hidden="1"/>
    <col min="8449" max="8449" width="32.7109375" style="392" hidden="1" customWidth="1"/>
    <col min="8450" max="8451" width="12.140625" style="392" hidden="1" customWidth="1"/>
    <col min="8452" max="8452" width="12.85546875" style="392" hidden="1" customWidth="1"/>
    <col min="8453" max="8458" width="12.140625" style="392" hidden="1" customWidth="1"/>
    <col min="8459" max="8469" width="8.85546875" style="392" hidden="1" customWidth="1"/>
    <col min="8470" max="8704" width="8.85546875" style="392" hidden="1"/>
    <col min="8705" max="8705" width="32.7109375" style="392" hidden="1" customWidth="1"/>
    <col min="8706" max="8707" width="12.140625" style="392" hidden="1" customWidth="1"/>
    <col min="8708" max="8708" width="12.85546875" style="392" hidden="1" customWidth="1"/>
    <col min="8709" max="8714" width="12.140625" style="392" hidden="1" customWidth="1"/>
    <col min="8715" max="8725" width="8.85546875" style="392" hidden="1" customWidth="1"/>
    <col min="8726" max="8960" width="8.85546875" style="392" hidden="1"/>
    <col min="8961" max="8961" width="32.7109375" style="392" hidden="1" customWidth="1"/>
    <col min="8962" max="8963" width="12.140625" style="392" hidden="1" customWidth="1"/>
    <col min="8964" max="8964" width="12.85546875" style="392" hidden="1" customWidth="1"/>
    <col min="8965" max="8970" width="12.140625" style="392" hidden="1" customWidth="1"/>
    <col min="8971" max="8981" width="8.85546875" style="392" hidden="1" customWidth="1"/>
    <col min="8982" max="9216" width="8.85546875" style="392" hidden="1"/>
    <col min="9217" max="9217" width="32.7109375" style="392" hidden="1" customWidth="1"/>
    <col min="9218" max="9219" width="12.140625" style="392" hidden="1" customWidth="1"/>
    <col min="9220" max="9220" width="12.85546875" style="392" hidden="1" customWidth="1"/>
    <col min="9221" max="9226" width="12.140625" style="392" hidden="1" customWidth="1"/>
    <col min="9227" max="9237" width="8.85546875" style="392" hidden="1" customWidth="1"/>
    <col min="9238" max="9472" width="8.85546875" style="392" hidden="1"/>
    <col min="9473" max="9473" width="32.7109375" style="392" hidden="1" customWidth="1"/>
    <col min="9474" max="9475" width="12.140625" style="392" hidden="1" customWidth="1"/>
    <col min="9476" max="9476" width="12.85546875" style="392" hidden="1" customWidth="1"/>
    <col min="9477" max="9482" width="12.140625" style="392" hidden="1" customWidth="1"/>
    <col min="9483" max="9493" width="8.85546875" style="392" hidden="1" customWidth="1"/>
    <col min="9494" max="9728" width="8.85546875" style="392" hidden="1"/>
    <col min="9729" max="9729" width="32.7109375" style="392" hidden="1" customWidth="1"/>
    <col min="9730" max="9731" width="12.140625" style="392" hidden="1" customWidth="1"/>
    <col min="9732" max="9732" width="12.85546875" style="392" hidden="1" customWidth="1"/>
    <col min="9733" max="9738" width="12.140625" style="392" hidden="1" customWidth="1"/>
    <col min="9739" max="9749" width="8.85546875" style="392" hidden="1" customWidth="1"/>
    <col min="9750" max="9984" width="8.85546875" style="392" hidden="1"/>
    <col min="9985" max="9985" width="32.7109375" style="392" hidden="1" customWidth="1"/>
    <col min="9986" max="9987" width="12.140625" style="392" hidden="1" customWidth="1"/>
    <col min="9988" max="9988" width="12.85546875" style="392" hidden="1" customWidth="1"/>
    <col min="9989" max="9994" width="12.140625" style="392" hidden="1" customWidth="1"/>
    <col min="9995" max="10005" width="8.85546875" style="392" hidden="1" customWidth="1"/>
    <col min="10006" max="10240" width="8.85546875" style="392" hidden="1"/>
    <col min="10241" max="10241" width="32.7109375" style="392" hidden="1" customWidth="1"/>
    <col min="10242" max="10243" width="12.140625" style="392" hidden="1" customWidth="1"/>
    <col min="10244" max="10244" width="12.85546875" style="392" hidden="1" customWidth="1"/>
    <col min="10245" max="10250" width="12.140625" style="392" hidden="1" customWidth="1"/>
    <col min="10251" max="10261" width="8.85546875" style="392" hidden="1" customWidth="1"/>
    <col min="10262" max="10496" width="8.85546875" style="392" hidden="1"/>
    <col min="10497" max="10497" width="32.7109375" style="392" hidden="1" customWidth="1"/>
    <col min="10498" max="10499" width="12.140625" style="392" hidden="1" customWidth="1"/>
    <col min="10500" max="10500" width="12.85546875" style="392" hidden="1" customWidth="1"/>
    <col min="10501" max="10506" width="12.140625" style="392" hidden="1" customWidth="1"/>
    <col min="10507" max="10517" width="8.85546875" style="392" hidden="1" customWidth="1"/>
    <col min="10518" max="10752" width="8.85546875" style="392" hidden="1"/>
    <col min="10753" max="10753" width="32.7109375" style="392" hidden="1" customWidth="1"/>
    <col min="10754" max="10755" width="12.140625" style="392" hidden="1" customWidth="1"/>
    <col min="10756" max="10756" width="12.85546875" style="392" hidden="1" customWidth="1"/>
    <col min="10757" max="10762" width="12.140625" style="392" hidden="1" customWidth="1"/>
    <col min="10763" max="10773" width="8.85546875" style="392" hidden="1" customWidth="1"/>
    <col min="10774" max="11008" width="8.85546875" style="392" hidden="1"/>
    <col min="11009" max="11009" width="32.7109375" style="392" hidden="1" customWidth="1"/>
    <col min="11010" max="11011" width="12.140625" style="392" hidden="1" customWidth="1"/>
    <col min="11012" max="11012" width="12.85546875" style="392" hidden="1" customWidth="1"/>
    <col min="11013" max="11018" width="12.140625" style="392" hidden="1" customWidth="1"/>
    <col min="11019" max="11029" width="8.85546875" style="392" hidden="1" customWidth="1"/>
    <col min="11030" max="11264" width="8.85546875" style="392" hidden="1"/>
    <col min="11265" max="11265" width="32.7109375" style="392" hidden="1" customWidth="1"/>
    <col min="11266" max="11267" width="12.140625" style="392" hidden="1" customWidth="1"/>
    <col min="11268" max="11268" width="12.85546875" style="392" hidden="1" customWidth="1"/>
    <col min="11269" max="11274" width="12.140625" style="392" hidden="1" customWidth="1"/>
    <col min="11275" max="11285" width="8.85546875" style="392" hidden="1" customWidth="1"/>
    <col min="11286" max="11520" width="8.85546875" style="392" hidden="1"/>
    <col min="11521" max="11521" width="32.7109375" style="392" hidden="1" customWidth="1"/>
    <col min="11522" max="11523" width="12.140625" style="392" hidden="1" customWidth="1"/>
    <col min="11524" max="11524" width="12.85546875" style="392" hidden="1" customWidth="1"/>
    <col min="11525" max="11530" width="12.140625" style="392" hidden="1" customWidth="1"/>
    <col min="11531" max="11541" width="8.85546875" style="392" hidden="1" customWidth="1"/>
    <col min="11542" max="11776" width="8.85546875" style="392" hidden="1"/>
    <col min="11777" max="11777" width="32.7109375" style="392" hidden="1" customWidth="1"/>
    <col min="11778" max="11779" width="12.140625" style="392" hidden="1" customWidth="1"/>
    <col min="11780" max="11780" width="12.85546875" style="392" hidden="1" customWidth="1"/>
    <col min="11781" max="11786" width="12.140625" style="392" hidden="1" customWidth="1"/>
    <col min="11787" max="11797" width="8.85546875" style="392" hidden="1" customWidth="1"/>
    <col min="11798" max="12032" width="8.85546875" style="392" hidden="1"/>
    <col min="12033" max="12033" width="32.7109375" style="392" hidden="1" customWidth="1"/>
    <col min="12034" max="12035" width="12.140625" style="392" hidden="1" customWidth="1"/>
    <col min="12036" max="12036" width="12.85546875" style="392" hidden="1" customWidth="1"/>
    <col min="12037" max="12042" width="12.140625" style="392" hidden="1" customWidth="1"/>
    <col min="12043" max="12053" width="8.85546875" style="392" hidden="1" customWidth="1"/>
    <col min="12054" max="12288" width="8.85546875" style="392" hidden="1"/>
    <col min="12289" max="12289" width="32.7109375" style="392" hidden="1" customWidth="1"/>
    <col min="12290" max="12291" width="12.140625" style="392" hidden="1" customWidth="1"/>
    <col min="12292" max="12292" width="12.85546875" style="392" hidden="1" customWidth="1"/>
    <col min="12293" max="12298" width="12.140625" style="392" hidden="1" customWidth="1"/>
    <col min="12299" max="12309" width="8.85546875" style="392" hidden="1" customWidth="1"/>
    <col min="12310" max="12544" width="8.85546875" style="392" hidden="1"/>
    <col min="12545" max="12545" width="32.7109375" style="392" hidden="1" customWidth="1"/>
    <col min="12546" max="12547" width="12.140625" style="392" hidden="1" customWidth="1"/>
    <col min="12548" max="12548" width="12.85546875" style="392" hidden="1" customWidth="1"/>
    <col min="12549" max="12554" width="12.140625" style="392" hidden="1" customWidth="1"/>
    <col min="12555" max="12565" width="8.85546875" style="392" hidden="1" customWidth="1"/>
    <col min="12566" max="12800" width="8.85546875" style="392" hidden="1"/>
    <col min="12801" max="12801" width="32.7109375" style="392" hidden="1" customWidth="1"/>
    <col min="12802" max="12803" width="12.140625" style="392" hidden="1" customWidth="1"/>
    <col min="12804" max="12804" width="12.85546875" style="392" hidden="1" customWidth="1"/>
    <col min="12805" max="12810" width="12.140625" style="392" hidden="1" customWidth="1"/>
    <col min="12811" max="12821" width="8.85546875" style="392" hidden="1" customWidth="1"/>
    <col min="12822" max="13056" width="8.85546875" style="392" hidden="1"/>
    <col min="13057" max="13057" width="32.7109375" style="392" hidden="1" customWidth="1"/>
    <col min="13058" max="13059" width="12.140625" style="392" hidden="1" customWidth="1"/>
    <col min="13060" max="13060" width="12.85546875" style="392" hidden="1" customWidth="1"/>
    <col min="13061" max="13066" width="12.140625" style="392" hidden="1" customWidth="1"/>
    <col min="13067" max="13077" width="8.85546875" style="392" hidden="1" customWidth="1"/>
    <col min="13078" max="13312" width="8.85546875" style="392" hidden="1"/>
    <col min="13313" max="13313" width="32.7109375" style="392" hidden="1" customWidth="1"/>
    <col min="13314" max="13315" width="12.140625" style="392" hidden="1" customWidth="1"/>
    <col min="13316" max="13316" width="12.85546875" style="392" hidden="1" customWidth="1"/>
    <col min="13317" max="13322" width="12.140625" style="392" hidden="1" customWidth="1"/>
    <col min="13323" max="13333" width="8.85546875" style="392" hidden="1" customWidth="1"/>
    <col min="13334" max="13568" width="8.85546875" style="392" hidden="1"/>
    <col min="13569" max="13569" width="32.7109375" style="392" hidden="1" customWidth="1"/>
    <col min="13570" max="13571" width="12.140625" style="392" hidden="1" customWidth="1"/>
    <col min="13572" max="13572" width="12.85546875" style="392" hidden="1" customWidth="1"/>
    <col min="13573" max="13578" width="12.140625" style="392" hidden="1" customWidth="1"/>
    <col min="13579" max="13589" width="8.85546875" style="392" hidden="1" customWidth="1"/>
    <col min="13590" max="13824" width="8.85546875" style="392" hidden="1"/>
    <col min="13825" max="13825" width="32.7109375" style="392" hidden="1" customWidth="1"/>
    <col min="13826" max="13827" width="12.140625" style="392" hidden="1" customWidth="1"/>
    <col min="13828" max="13828" width="12.85546875" style="392" hidden="1" customWidth="1"/>
    <col min="13829" max="13834" width="12.140625" style="392" hidden="1" customWidth="1"/>
    <col min="13835" max="13845" width="8.85546875" style="392" hidden="1" customWidth="1"/>
    <col min="13846" max="14080" width="8.85546875" style="392" hidden="1"/>
    <col min="14081" max="14081" width="32.7109375" style="392" hidden="1" customWidth="1"/>
    <col min="14082" max="14083" width="12.140625" style="392" hidden="1" customWidth="1"/>
    <col min="14084" max="14084" width="12.85546875" style="392" hidden="1" customWidth="1"/>
    <col min="14085" max="14090" width="12.140625" style="392" hidden="1" customWidth="1"/>
    <col min="14091" max="14101" width="8.85546875" style="392" hidden="1" customWidth="1"/>
    <col min="14102" max="14336" width="8.85546875" style="392" hidden="1"/>
    <col min="14337" max="14337" width="32.7109375" style="392" hidden="1" customWidth="1"/>
    <col min="14338" max="14339" width="12.140625" style="392" hidden="1" customWidth="1"/>
    <col min="14340" max="14340" width="12.85546875" style="392" hidden="1" customWidth="1"/>
    <col min="14341" max="14346" width="12.140625" style="392" hidden="1" customWidth="1"/>
    <col min="14347" max="14357" width="8.85546875" style="392" hidden="1" customWidth="1"/>
    <col min="14358" max="14592" width="8.85546875" style="392" hidden="1"/>
    <col min="14593" max="14593" width="32.7109375" style="392" hidden="1" customWidth="1"/>
    <col min="14594" max="14595" width="12.140625" style="392" hidden="1" customWidth="1"/>
    <col min="14596" max="14596" width="12.85546875" style="392" hidden="1" customWidth="1"/>
    <col min="14597" max="14602" width="12.140625" style="392" hidden="1" customWidth="1"/>
    <col min="14603" max="14613" width="8.85546875" style="392" hidden="1" customWidth="1"/>
    <col min="14614" max="14848" width="8.85546875" style="392" hidden="1"/>
    <col min="14849" max="14849" width="32.7109375" style="392" hidden="1" customWidth="1"/>
    <col min="14850" max="14851" width="12.140625" style="392" hidden="1" customWidth="1"/>
    <col min="14852" max="14852" width="12.85546875" style="392" hidden="1" customWidth="1"/>
    <col min="14853" max="14858" width="12.140625" style="392" hidden="1" customWidth="1"/>
    <col min="14859" max="14869" width="8.85546875" style="392" hidden="1" customWidth="1"/>
    <col min="14870" max="15104" width="8.85546875" style="392" hidden="1"/>
    <col min="15105" max="15105" width="32.7109375" style="392" hidden="1" customWidth="1"/>
    <col min="15106" max="15107" width="12.140625" style="392" hidden="1" customWidth="1"/>
    <col min="15108" max="15108" width="12.85546875" style="392" hidden="1" customWidth="1"/>
    <col min="15109" max="15114" width="12.140625" style="392" hidden="1" customWidth="1"/>
    <col min="15115" max="15125" width="8.85546875" style="392" hidden="1" customWidth="1"/>
    <col min="15126" max="15360" width="8.85546875" style="392" hidden="1"/>
    <col min="15361" max="15361" width="32.7109375" style="392" hidden="1" customWidth="1"/>
    <col min="15362" max="15363" width="12.140625" style="392" hidden="1" customWidth="1"/>
    <col min="15364" max="15364" width="12.85546875" style="392" hidden="1" customWidth="1"/>
    <col min="15365" max="15370" width="12.140625" style="392" hidden="1" customWidth="1"/>
    <col min="15371" max="15381" width="8.85546875" style="392" hidden="1" customWidth="1"/>
    <col min="15382" max="15616" width="8.85546875" style="392" hidden="1"/>
    <col min="15617" max="15617" width="32.7109375" style="392" hidden="1" customWidth="1"/>
    <col min="15618" max="15619" width="12.140625" style="392" hidden="1" customWidth="1"/>
    <col min="15620" max="15620" width="12.85546875" style="392" hidden="1" customWidth="1"/>
    <col min="15621" max="15626" width="12.140625" style="392" hidden="1" customWidth="1"/>
    <col min="15627" max="15637" width="8.85546875" style="392" hidden="1" customWidth="1"/>
    <col min="15638" max="15872" width="8.85546875" style="392" hidden="1"/>
    <col min="15873" max="15873" width="32.7109375" style="392" hidden="1" customWidth="1"/>
    <col min="15874" max="15875" width="12.140625" style="392" hidden="1" customWidth="1"/>
    <col min="15876" max="15876" width="12.85546875" style="392" hidden="1" customWidth="1"/>
    <col min="15877" max="15882" width="12.140625" style="392" hidden="1" customWidth="1"/>
    <col min="15883" max="15893" width="8.85546875" style="392" hidden="1" customWidth="1"/>
    <col min="15894" max="16128" width="8.85546875" style="392" hidden="1"/>
    <col min="16129" max="16129" width="32.7109375" style="392" hidden="1" customWidth="1"/>
    <col min="16130" max="16131" width="12.140625" style="392" hidden="1" customWidth="1"/>
    <col min="16132" max="16132" width="12.85546875" style="392" hidden="1" customWidth="1"/>
    <col min="16133" max="16138" width="12.140625" style="392" hidden="1" customWidth="1"/>
    <col min="16139" max="16149" width="8.85546875" style="392" hidden="1" customWidth="1"/>
    <col min="16150" max="16384" width="8.85546875" style="392" hidden="1"/>
  </cols>
  <sheetData>
    <row r="1" spans="1:11" s="355" customFormat="1" ht="12.75">
      <c r="A1" s="1895" t="s">
        <v>1225</v>
      </c>
      <c r="B1" s="1896"/>
      <c r="C1" s="1896"/>
      <c r="D1" s="1896"/>
      <c r="E1" s="1896"/>
      <c r="F1" s="1896"/>
      <c r="G1" s="1896"/>
      <c r="H1" s="1896"/>
      <c r="I1" s="1896"/>
      <c r="J1" s="1897"/>
      <c r="K1" s="354"/>
    </row>
    <row r="2" spans="1:11" s="400" customFormat="1" ht="72">
      <c r="A2" s="397"/>
      <c r="B2" s="398" t="s">
        <v>1025</v>
      </c>
      <c r="C2" s="398" t="s">
        <v>1227</v>
      </c>
      <c r="D2" s="398" t="s">
        <v>1228</v>
      </c>
      <c r="E2" s="398" t="s">
        <v>1156</v>
      </c>
      <c r="F2" s="398" t="s">
        <v>1229</v>
      </c>
      <c r="G2" s="398" t="s">
        <v>1230</v>
      </c>
      <c r="H2" s="398" t="s">
        <v>1026</v>
      </c>
      <c r="I2" s="398" t="s">
        <v>1231</v>
      </c>
      <c r="J2" s="398" t="s">
        <v>1232</v>
      </c>
      <c r="K2" s="399"/>
    </row>
    <row r="3" spans="1:11" s="359" customFormat="1">
      <c r="A3" s="356" t="s">
        <v>26</v>
      </c>
      <c r="B3" s="357"/>
      <c r="C3" s="357"/>
      <c r="D3" s="357"/>
      <c r="E3" s="357"/>
      <c r="F3" s="357"/>
      <c r="G3" s="357"/>
      <c r="H3" s="357"/>
      <c r="I3" s="357"/>
      <c r="J3" s="357"/>
      <c r="K3" s="358"/>
    </row>
    <row r="4" spans="1:11" s="359" customFormat="1">
      <c r="A4" s="363" t="s">
        <v>27</v>
      </c>
      <c r="B4" s="360">
        <f>'Sources and Uses Budget'!C4</f>
        <v>0</v>
      </c>
      <c r="C4" s="361"/>
      <c r="D4" s="361"/>
      <c r="E4" s="362"/>
      <c r="F4" s="362"/>
      <c r="G4" s="362"/>
      <c r="H4" s="362"/>
      <c r="I4" s="362"/>
      <c r="J4" s="362"/>
      <c r="K4" s="358"/>
    </row>
    <row r="5" spans="1:11" s="359" customFormat="1">
      <c r="A5" s="363" t="s">
        <v>28</v>
      </c>
      <c r="B5" s="360">
        <f>'Sources and Uses Budget'!C5</f>
        <v>0</v>
      </c>
      <c r="C5" s="361"/>
      <c r="D5" s="361"/>
      <c r="E5" s="362"/>
      <c r="F5" s="362"/>
      <c r="G5" s="362"/>
      <c r="H5" s="362"/>
      <c r="I5" s="362"/>
      <c r="J5" s="362"/>
      <c r="K5" s="358"/>
    </row>
    <row r="6" spans="1:11" s="359" customFormat="1">
      <c r="A6" s="363" t="s">
        <v>29</v>
      </c>
      <c r="B6" s="360">
        <f>'Sources and Uses Budget'!C6</f>
        <v>34465</v>
      </c>
      <c r="C6" s="361"/>
      <c r="D6" s="361"/>
      <c r="E6" s="362"/>
      <c r="F6" s="362"/>
      <c r="G6" s="362"/>
      <c r="H6" s="362"/>
      <c r="I6" s="362"/>
      <c r="J6" s="362"/>
      <c r="K6" s="358"/>
    </row>
    <row r="7" spans="1:11" s="359" customFormat="1">
      <c r="A7" s="363" t="s">
        <v>97</v>
      </c>
      <c r="B7" s="360">
        <f>'Sources and Uses Budget'!C7</f>
        <v>0</v>
      </c>
      <c r="C7" s="361"/>
      <c r="D7" s="361"/>
      <c r="E7" s="362"/>
      <c r="F7" s="362"/>
      <c r="G7" s="362"/>
      <c r="H7" s="362"/>
      <c r="I7" s="362"/>
      <c r="J7" s="362"/>
      <c r="K7" s="358"/>
    </row>
    <row r="8" spans="1:11" s="359" customFormat="1">
      <c r="A8" s="364" t="s">
        <v>591</v>
      </c>
      <c r="B8" s="360">
        <f>'Sources and Uses Budget'!C8</f>
        <v>34465</v>
      </c>
      <c r="C8" s="360">
        <f>SUM(C4:C7)</f>
        <v>0</v>
      </c>
      <c r="D8" s="360">
        <f>SUM(D4:D7)</f>
        <v>0</v>
      </c>
      <c r="E8" s="362"/>
      <c r="F8" s="362"/>
      <c r="G8" s="362"/>
      <c r="H8" s="362"/>
      <c r="I8" s="362"/>
      <c r="J8" s="362"/>
      <c r="K8" s="358"/>
    </row>
    <row r="9" spans="1:11" s="359" customFormat="1">
      <c r="A9" s="363" t="s">
        <v>592</v>
      </c>
      <c r="B9" s="360">
        <f>'Sources and Uses Budget'!C9</f>
        <v>0</v>
      </c>
      <c r="C9" s="361"/>
      <c r="D9" s="361"/>
      <c r="E9" s="362"/>
      <c r="F9" s="362"/>
      <c r="G9" s="362"/>
      <c r="H9" s="360">
        <f>'Sources and Uses Budget'!T9</f>
        <v>0</v>
      </c>
      <c r="I9" s="361"/>
      <c r="J9" s="361"/>
      <c r="K9" s="358"/>
    </row>
    <row r="10" spans="1:11" s="359" customFormat="1">
      <c r="A10" s="363" t="s">
        <v>593</v>
      </c>
      <c r="B10" s="360">
        <f>'Sources and Uses Budget'!C10</f>
        <v>237461</v>
      </c>
      <c r="C10" s="361"/>
      <c r="D10" s="361"/>
      <c r="E10" s="360">
        <f>'Sources and Uses Budget'!S10</f>
        <v>237461</v>
      </c>
      <c r="F10" s="361"/>
      <c r="G10" s="361"/>
      <c r="H10" s="360">
        <f>'Sources and Uses Budget'!T10</f>
        <v>0</v>
      </c>
      <c r="I10" s="361"/>
      <c r="J10" s="361"/>
      <c r="K10" s="358"/>
    </row>
    <row r="11" spans="1:11" s="359" customFormat="1">
      <c r="A11" s="364" t="s">
        <v>594</v>
      </c>
      <c r="B11" s="360">
        <f>'Sources and Uses Budget'!C11</f>
        <v>237461</v>
      </c>
      <c r="C11" s="360">
        <f>SUM(C9:C10)</f>
        <v>0</v>
      </c>
      <c r="D11" s="360">
        <f>SUM(D9:D10)</f>
        <v>0</v>
      </c>
      <c r="E11" s="362"/>
      <c r="F11" s="362"/>
      <c r="G11" s="362"/>
      <c r="H11" s="360">
        <f>'Sources and Uses Budget'!T11</f>
        <v>0</v>
      </c>
      <c r="I11" s="360">
        <f>SUM(I9:I10)</f>
        <v>0</v>
      </c>
      <c r="J11" s="360">
        <f>SUM(J9:J10)</f>
        <v>0</v>
      </c>
      <c r="K11" s="358"/>
    </row>
    <row r="12" spans="1:11" s="359" customFormat="1">
      <c r="A12" s="364" t="s">
        <v>84</v>
      </c>
      <c r="B12" s="360">
        <f>'Sources and Uses Budget'!C12</f>
        <v>271926</v>
      </c>
      <c r="C12" s="360">
        <f>SUM(C8+C11)</f>
        <v>0</v>
      </c>
      <c r="D12" s="360">
        <f>SUM(D8+D11)</f>
        <v>0</v>
      </c>
      <c r="E12" s="362"/>
      <c r="F12" s="362"/>
      <c r="G12" s="362"/>
      <c r="H12" s="362"/>
      <c r="I12" s="362"/>
      <c r="J12" s="362"/>
      <c r="K12" s="358"/>
    </row>
    <row r="13" spans="1:11" s="359" customFormat="1">
      <c r="A13" s="365" t="s">
        <v>900</v>
      </c>
      <c r="B13" s="360">
        <f>'Sources and Uses Budget'!C13</f>
        <v>0</v>
      </c>
      <c r="C13" s="361"/>
      <c r="D13" s="361"/>
      <c r="E13" s="360">
        <f>'Sources and Uses Budget'!S13</f>
        <v>0</v>
      </c>
      <c r="F13" s="361"/>
      <c r="G13" s="361"/>
      <c r="H13" s="360">
        <f>'Sources and Uses Budget'!T13</f>
        <v>0</v>
      </c>
      <c r="I13" s="361"/>
      <c r="J13" s="361"/>
      <c r="K13" s="358"/>
    </row>
    <row r="14" spans="1:11" s="359" customFormat="1" ht="24">
      <c r="A14" s="363" t="s">
        <v>901</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1159</v>
      </c>
      <c r="B15" s="360">
        <f>'Sources and Uses Budget'!C15</f>
        <v>0</v>
      </c>
      <c r="C15" s="361"/>
      <c r="D15" s="361"/>
      <c r="E15" s="362">
        <f>'Sources and Uses Budget'!S15</f>
        <v>0</v>
      </c>
      <c r="F15" s="362"/>
      <c r="G15" s="362"/>
      <c r="H15" s="362">
        <f>'Sources and Uses Budget'!T15</f>
        <v>0</v>
      </c>
      <c r="I15" s="362"/>
      <c r="J15" s="362"/>
      <c r="K15" s="358"/>
    </row>
    <row r="16" spans="1:11" s="359" customFormat="1">
      <c r="A16" s="356" t="s">
        <v>595</v>
      </c>
      <c r="B16" s="357"/>
      <c r="C16" s="357"/>
      <c r="D16" s="357"/>
      <c r="E16" s="357"/>
      <c r="F16" s="357"/>
      <c r="G16" s="357"/>
      <c r="H16" s="357"/>
      <c r="I16" s="357"/>
      <c r="J16" s="357"/>
      <c r="K16" s="358"/>
    </row>
    <row r="17" spans="1:11" s="359" customFormat="1">
      <c r="A17" s="363" t="s">
        <v>596</v>
      </c>
      <c r="B17" s="360">
        <f>'Sources and Uses Budget'!C17</f>
        <v>0</v>
      </c>
      <c r="C17" s="361"/>
      <c r="D17" s="361"/>
      <c r="E17" s="360">
        <f>'Sources and Uses Budget'!S17</f>
        <v>0</v>
      </c>
      <c r="F17" s="361"/>
      <c r="G17" s="361"/>
      <c r="H17" s="360">
        <f>'Sources and Uses Budget'!T17</f>
        <v>0</v>
      </c>
      <c r="I17" s="361"/>
      <c r="J17" s="361"/>
      <c r="K17" s="358"/>
    </row>
    <row r="18" spans="1:11" s="359" customFormat="1">
      <c r="A18" s="363" t="s">
        <v>597</v>
      </c>
      <c r="B18" s="360">
        <f>'Sources and Uses Budget'!C18</f>
        <v>0</v>
      </c>
      <c r="C18" s="361"/>
      <c r="D18" s="361"/>
      <c r="E18" s="360">
        <f>'Sources and Uses Budget'!S18</f>
        <v>0</v>
      </c>
      <c r="F18" s="361"/>
      <c r="G18" s="361"/>
      <c r="H18" s="360">
        <f>'Sources and Uses Budget'!T18</f>
        <v>0</v>
      </c>
      <c r="I18" s="361"/>
      <c r="J18" s="361"/>
      <c r="K18" s="358"/>
    </row>
    <row r="19" spans="1:11" s="359" customFormat="1">
      <c r="A19" s="363" t="s">
        <v>598</v>
      </c>
      <c r="B19" s="360">
        <f>'Sources and Uses Budget'!C19</f>
        <v>0</v>
      </c>
      <c r="C19" s="361"/>
      <c r="D19" s="361"/>
      <c r="E19" s="360">
        <f>'Sources and Uses Budget'!S19</f>
        <v>0</v>
      </c>
      <c r="F19" s="361"/>
      <c r="G19" s="361"/>
      <c r="H19" s="360">
        <f>'Sources and Uses Budget'!T19</f>
        <v>0</v>
      </c>
      <c r="I19" s="361"/>
      <c r="J19" s="361"/>
      <c r="K19" s="358"/>
    </row>
    <row r="20" spans="1:11" s="359" customFormat="1">
      <c r="A20" s="363" t="s">
        <v>137</v>
      </c>
      <c r="B20" s="360">
        <f>'Sources and Uses Budget'!C20</f>
        <v>0</v>
      </c>
      <c r="C20" s="361"/>
      <c r="D20" s="361"/>
      <c r="E20" s="360">
        <f>'Sources and Uses Budget'!S20</f>
        <v>0</v>
      </c>
      <c r="F20" s="361"/>
      <c r="G20" s="361"/>
      <c r="H20" s="360">
        <f>'Sources and Uses Budget'!T20</f>
        <v>0</v>
      </c>
      <c r="I20" s="361"/>
      <c r="J20" s="361"/>
      <c r="K20" s="358"/>
    </row>
    <row r="21" spans="1:11" s="359" customFormat="1">
      <c r="A21" s="363" t="s">
        <v>138</v>
      </c>
      <c r="B21" s="360">
        <f>'Sources and Uses Budget'!C21</f>
        <v>0</v>
      </c>
      <c r="C21" s="361"/>
      <c r="D21" s="361"/>
      <c r="E21" s="360">
        <f>'Sources and Uses Budget'!S21</f>
        <v>0</v>
      </c>
      <c r="F21" s="361"/>
      <c r="G21" s="361"/>
      <c r="H21" s="360">
        <f>'Sources and Uses Budget'!T21</f>
        <v>0</v>
      </c>
      <c r="I21" s="361"/>
      <c r="J21" s="361"/>
      <c r="K21" s="358"/>
    </row>
    <row r="22" spans="1:11" s="359" customFormat="1">
      <c r="A22" s="363" t="s">
        <v>139</v>
      </c>
      <c r="B22" s="360">
        <f>'Sources and Uses Budget'!C22</f>
        <v>0</v>
      </c>
      <c r="C22" s="361"/>
      <c r="D22" s="361"/>
      <c r="E22" s="360">
        <f>'Sources and Uses Budget'!S22</f>
        <v>0</v>
      </c>
      <c r="F22" s="361"/>
      <c r="G22" s="361"/>
      <c r="H22" s="360">
        <f>'Sources and Uses Budget'!T22</f>
        <v>0</v>
      </c>
      <c r="I22" s="361"/>
      <c r="J22" s="361"/>
      <c r="K22" s="358"/>
    </row>
    <row r="23" spans="1:11" s="359" customFormat="1">
      <c r="A23" s="363" t="s">
        <v>140</v>
      </c>
      <c r="B23" s="360">
        <f>'Sources and Uses Budget'!C23</f>
        <v>0</v>
      </c>
      <c r="C23" s="361"/>
      <c r="D23" s="361"/>
      <c r="E23" s="360">
        <f>'Sources and Uses Budget'!S23</f>
        <v>0</v>
      </c>
      <c r="F23" s="361"/>
      <c r="G23" s="361"/>
      <c r="H23" s="360">
        <f>'Sources and Uses Budget'!T23</f>
        <v>0</v>
      </c>
      <c r="I23" s="361"/>
      <c r="J23" s="361"/>
      <c r="K23" s="358"/>
    </row>
    <row r="24" spans="1:11" s="359" customFormat="1">
      <c r="A24" s="507" t="s">
        <v>1627</v>
      </c>
      <c r="B24" s="360">
        <f>'Sources and Uses Budget'!C24</f>
        <v>0</v>
      </c>
      <c r="C24" s="361"/>
      <c r="D24" s="361"/>
      <c r="E24" s="360">
        <f>'Sources and Uses Budget'!S24</f>
        <v>0</v>
      </c>
      <c r="F24" s="361"/>
      <c r="G24" s="361"/>
      <c r="H24" s="360">
        <f>'Sources and Uses Budget'!T24</f>
        <v>0</v>
      </c>
      <c r="I24" s="361"/>
      <c r="J24" s="361"/>
      <c r="K24" s="358"/>
    </row>
    <row r="25" spans="1:11" s="359" customFormat="1">
      <c r="A25" s="363" t="str">
        <f>'Sources and Uses Budget'!$A25</f>
        <v>Other: (Specify)</v>
      </c>
      <c r="B25" s="360">
        <f>'Sources and Uses Budget'!C25</f>
        <v>0</v>
      </c>
      <c r="C25" s="361"/>
      <c r="D25" s="361"/>
      <c r="E25" s="360">
        <f>'Sources and Uses Budget'!S25</f>
        <v>0</v>
      </c>
      <c r="F25" s="361"/>
      <c r="G25" s="361"/>
      <c r="H25" s="360">
        <f>'Sources and Uses Budget'!T25</f>
        <v>0</v>
      </c>
      <c r="I25" s="361"/>
      <c r="J25" s="361"/>
      <c r="K25" s="358"/>
    </row>
    <row r="26" spans="1:11" s="359" customFormat="1">
      <c r="A26" s="364" t="s">
        <v>133</v>
      </c>
      <c r="B26" s="360">
        <f>'Sources and Uses Budget'!C26</f>
        <v>0</v>
      </c>
      <c r="C26" s="360">
        <f>SUM(C17:C25)</f>
        <v>0</v>
      </c>
      <c r="D26" s="360">
        <f>SUM(D17:D25)</f>
        <v>0</v>
      </c>
      <c r="E26" s="360">
        <f>'Sources and Uses Budget'!S26</f>
        <v>0</v>
      </c>
      <c r="F26" s="366">
        <f>SUM(F17:F25)</f>
        <v>0</v>
      </c>
      <c r="G26" s="366">
        <f>SUM(G17:G25)</f>
        <v>0</v>
      </c>
      <c r="H26" s="360">
        <f>'Sources and Uses Budget'!T26</f>
        <v>0</v>
      </c>
      <c r="I26" s="366">
        <f>SUM(I17:I25)</f>
        <v>0</v>
      </c>
      <c r="J26" s="366">
        <f>SUM(J17:J25)</f>
        <v>0</v>
      </c>
      <c r="K26" s="358"/>
    </row>
    <row r="27" spans="1:11" s="359" customFormat="1">
      <c r="A27" s="364" t="s">
        <v>141</v>
      </c>
      <c r="B27" s="360">
        <f>'Sources and Uses Budget'!C27</f>
        <v>0</v>
      </c>
      <c r="C27" s="361"/>
      <c r="D27" s="361"/>
      <c r="E27" s="360">
        <f>'Sources and Uses Budget'!S27</f>
        <v>0</v>
      </c>
      <c r="F27" s="361"/>
      <c r="G27" s="361"/>
      <c r="H27" s="360">
        <f>'Sources and Uses Budget'!T27</f>
        <v>0</v>
      </c>
      <c r="I27" s="361"/>
      <c r="J27" s="361"/>
      <c r="K27" s="358"/>
    </row>
    <row r="28" spans="1:11" s="359" customFormat="1">
      <c r="A28" s="356" t="s">
        <v>142</v>
      </c>
      <c r="B28" s="357"/>
      <c r="C28" s="357"/>
      <c r="D28" s="357"/>
      <c r="E28" s="357"/>
      <c r="F28" s="357"/>
      <c r="G28" s="357"/>
      <c r="H28" s="357"/>
      <c r="I28" s="357"/>
      <c r="J28" s="357"/>
      <c r="K28" s="358"/>
    </row>
    <row r="29" spans="1:11" s="359" customFormat="1">
      <c r="A29" s="145" t="s">
        <v>596</v>
      </c>
      <c r="B29" s="360">
        <f>'Sources and Uses Budget'!C29</f>
        <v>5038342</v>
      </c>
      <c r="C29" s="361"/>
      <c r="D29" s="361"/>
      <c r="E29" s="360">
        <f>'Sources and Uses Budget'!S29</f>
        <v>5038342</v>
      </c>
      <c r="F29" s="361"/>
      <c r="G29" s="361"/>
      <c r="H29" s="360">
        <f>'Sources and Uses Budget'!T29</f>
        <v>0</v>
      </c>
      <c r="I29" s="361"/>
      <c r="J29" s="361"/>
      <c r="K29" s="358"/>
    </row>
    <row r="30" spans="1:11" s="359" customFormat="1">
      <c r="A30" s="145" t="s">
        <v>597</v>
      </c>
      <c r="B30" s="360">
        <f>'Sources and Uses Budget'!C30</f>
        <v>51571056</v>
      </c>
      <c r="C30" s="361"/>
      <c r="D30" s="361"/>
      <c r="E30" s="360">
        <f>'Sources and Uses Budget'!S30</f>
        <v>51571056</v>
      </c>
      <c r="F30" s="361"/>
      <c r="G30" s="361"/>
      <c r="H30" s="360">
        <f>'Sources and Uses Budget'!T30</f>
        <v>0</v>
      </c>
      <c r="I30" s="361"/>
      <c r="J30" s="361"/>
      <c r="K30" s="358"/>
    </row>
    <row r="31" spans="1:11" s="359" customFormat="1">
      <c r="A31" s="145" t="s">
        <v>598</v>
      </c>
      <c r="B31" s="360">
        <f>'Sources and Uses Budget'!C31</f>
        <v>3685112</v>
      </c>
      <c r="C31" s="361"/>
      <c r="D31" s="361"/>
      <c r="E31" s="360">
        <f>'Sources and Uses Budget'!S31</f>
        <v>3685112</v>
      </c>
      <c r="F31" s="361"/>
      <c r="G31" s="361"/>
      <c r="H31" s="360">
        <f>'Sources and Uses Budget'!T31</f>
        <v>0</v>
      </c>
      <c r="I31" s="361"/>
      <c r="J31" s="361"/>
      <c r="K31" s="358"/>
    </row>
    <row r="32" spans="1:11" s="359" customFormat="1">
      <c r="A32" s="145" t="s">
        <v>137</v>
      </c>
      <c r="B32" s="360">
        <f>'Sources and Uses Budget'!C32</f>
        <v>2053966</v>
      </c>
      <c r="C32" s="361"/>
      <c r="D32" s="361"/>
      <c r="E32" s="360">
        <f>'Sources and Uses Budget'!S32</f>
        <v>2053966</v>
      </c>
      <c r="F32" s="361"/>
      <c r="G32" s="361"/>
      <c r="H32" s="360">
        <f>'Sources and Uses Budget'!T32</f>
        <v>0</v>
      </c>
      <c r="I32" s="361"/>
      <c r="J32" s="361"/>
      <c r="K32" s="358"/>
    </row>
    <row r="33" spans="1:11" s="359" customFormat="1">
      <c r="A33" s="145" t="s">
        <v>138</v>
      </c>
      <c r="B33" s="360">
        <f>'Sources and Uses Budget'!C33</f>
        <v>2053966</v>
      </c>
      <c r="C33" s="361"/>
      <c r="D33" s="361"/>
      <c r="E33" s="360">
        <f>'Sources and Uses Budget'!S33</f>
        <v>2053966</v>
      </c>
      <c r="F33" s="361"/>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899648</v>
      </c>
      <c r="C35" s="361"/>
      <c r="D35" s="361"/>
      <c r="E35" s="360">
        <f>'Sources and Uses Budget'!S35</f>
        <v>899648</v>
      </c>
      <c r="F35" s="361"/>
      <c r="G35" s="361"/>
      <c r="H35" s="360">
        <f>'Sources and Uses Budget'!T35</f>
        <v>0</v>
      </c>
      <c r="I35" s="361"/>
      <c r="J35" s="361"/>
      <c r="K35" s="358"/>
    </row>
    <row r="36" spans="1:11" s="359" customFormat="1">
      <c r="A36" s="507" t="s">
        <v>1627</v>
      </c>
      <c r="B36" s="360">
        <f>'Sources and Uses Budget'!C36</f>
        <v>0</v>
      </c>
      <c r="C36" s="361"/>
      <c r="D36" s="361"/>
      <c r="E36" s="360">
        <f>'Sources and Uses Budget'!S36</f>
        <v>0</v>
      </c>
      <c r="F36" s="361"/>
      <c r="G36" s="361"/>
      <c r="H36" s="360">
        <f>'Sources and Uses Budget'!T36</f>
        <v>0</v>
      </c>
      <c r="I36" s="361"/>
      <c r="J36" s="361"/>
      <c r="K36" s="358"/>
    </row>
    <row r="37" spans="1:11" s="359" customFormat="1" ht="24">
      <c r="A37" s="363" t="str">
        <f>'Sources and Uses Budget'!$A37</f>
        <v>Payment &amp; Performance Bond, Project Labor Agreement (PLA) Premium</v>
      </c>
      <c r="B37" s="360">
        <f>'Sources and Uses Budget'!C37</f>
        <v>6336705</v>
      </c>
      <c r="C37" s="361"/>
      <c r="D37" s="361"/>
      <c r="E37" s="360">
        <f>'Sources and Uses Budget'!S37</f>
        <v>6336705</v>
      </c>
      <c r="F37" s="361"/>
      <c r="G37" s="361"/>
      <c r="H37" s="360">
        <f>'Sources and Uses Budget'!T37</f>
        <v>0</v>
      </c>
      <c r="I37" s="361"/>
      <c r="J37" s="361"/>
      <c r="K37" s="358"/>
    </row>
    <row r="38" spans="1:11" s="359" customFormat="1">
      <c r="A38" s="364" t="s">
        <v>143</v>
      </c>
      <c r="B38" s="360">
        <f>'Sources and Uses Budget'!C38</f>
        <v>71638795</v>
      </c>
      <c r="C38" s="360">
        <f>SUM(C29:C37)</f>
        <v>0</v>
      </c>
      <c r="D38" s="360">
        <f>SUM(D29:D37)</f>
        <v>0</v>
      </c>
      <c r="E38" s="360">
        <f>'Sources and Uses Budget'!S38</f>
        <v>71638795</v>
      </c>
      <c r="F38" s="366">
        <f>SUM(F29:F37)</f>
        <v>0</v>
      </c>
      <c r="G38" s="366">
        <f>SUM(G29:G37)</f>
        <v>0</v>
      </c>
      <c r="H38" s="360">
        <f>'Sources and Uses Budget'!T38</f>
        <v>0</v>
      </c>
      <c r="I38" s="366">
        <f>SUM(I29:I37)</f>
        <v>0</v>
      </c>
      <c r="J38" s="366">
        <f>SUM(J29:J37)</f>
        <v>0</v>
      </c>
      <c r="K38" s="358"/>
    </row>
    <row r="39" spans="1:11" s="359" customFormat="1">
      <c r="A39" s="356" t="s">
        <v>144</v>
      </c>
      <c r="B39" s="357"/>
      <c r="C39" s="357"/>
      <c r="D39" s="357"/>
      <c r="E39" s="357"/>
      <c r="F39" s="357"/>
      <c r="G39" s="357"/>
      <c r="H39" s="357"/>
      <c r="I39" s="357"/>
      <c r="J39" s="357"/>
      <c r="K39" s="358"/>
    </row>
    <row r="40" spans="1:11" s="359" customFormat="1">
      <c r="A40" s="363" t="s">
        <v>145</v>
      </c>
      <c r="B40" s="360">
        <f>'Sources and Uses Budget'!C40</f>
        <v>1980423</v>
      </c>
      <c r="C40" s="361"/>
      <c r="D40" s="361"/>
      <c r="E40" s="360">
        <f>'Sources and Uses Budget'!S40</f>
        <v>1980423</v>
      </c>
      <c r="F40" s="361"/>
      <c r="G40" s="361"/>
      <c r="H40" s="360">
        <f>'Sources and Uses Budget'!T40</f>
        <v>0</v>
      </c>
      <c r="I40" s="361"/>
      <c r="J40" s="361"/>
      <c r="K40" s="358"/>
    </row>
    <row r="41" spans="1:11" s="359" customFormat="1">
      <c r="A41" s="363" t="s">
        <v>146</v>
      </c>
      <c r="B41" s="360">
        <f>'Sources and Uses Budget'!C41</f>
        <v>300875</v>
      </c>
      <c r="C41" s="361"/>
      <c r="D41" s="361"/>
      <c r="E41" s="360">
        <f>'Sources and Uses Budget'!S41</f>
        <v>300875</v>
      </c>
      <c r="F41" s="361"/>
      <c r="G41" s="361"/>
      <c r="H41" s="360">
        <f>'Sources and Uses Budget'!T41</f>
        <v>0</v>
      </c>
      <c r="I41" s="361"/>
      <c r="J41" s="361"/>
      <c r="K41" s="358"/>
    </row>
    <row r="42" spans="1:11" s="359" customFormat="1">
      <c r="A42" s="364" t="s">
        <v>147</v>
      </c>
      <c r="B42" s="360">
        <f>'Sources and Uses Budget'!C42</f>
        <v>2281298</v>
      </c>
      <c r="C42" s="360">
        <f>SUM(C39:C41)</f>
        <v>0</v>
      </c>
      <c r="D42" s="360">
        <f>SUM(D39:D41)</f>
        <v>0</v>
      </c>
      <c r="E42" s="360">
        <f>'Sources and Uses Budget'!S42</f>
        <v>2281298</v>
      </c>
      <c r="F42" s="366">
        <f>SUM(F40:F41)</f>
        <v>0</v>
      </c>
      <c r="G42" s="366">
        <f>SUM(G40:G41)</f>
        <v>0</v>
      </c>
      <c r="H42" s="360">
        <f>'Sources and Uses Budget'!T42</f>
        <v>0</v>
      </c>
      <c r="I42" s="366">
        <f>SUM(I40:I41)</f>
        <v>0</v>
      </c>
      <c r="J42" s="366">
        <f>SUM(J40:J41)</f>
        <v>0</v>
      </c>
      <c r="K42" s="358"/>
    </row>
    <row r="43" spans="1:11" s="359" customFormat="1">
      <c r="A43" s="364" t="s">
        <v>148</v>
      </c>
      <c r="B43" s="360">
        <f>'Sources and Uses Budget'!C43</f>
        <v>421645</v>
      </c>
      <c r="C43" s="361"/>
      <c r="D43" s="361"/>
      <c r="E43" s="360">
        <f>'Sources and Uses Budget'!S43</f>
        <v>421645</v>
      </c>
      <c r="F43" s="361"/>
      <c r="G43" s="361"/>
      <c r="H43" s="360">
        <f>'Sources and Uses Budget'!T43</f>
        <v>0</v>
      </c>
      <c r="I43" s="361"/>
      <c r="J43" s="361"/>
      <c r="K43" s="358"/>
    </row>
    <row r="44" spans="1:11" s="359" customFormat="1">
      <c r="A44" s="356" t="s">
        <v>149</v>
      </c>
      <c r="B44" s="357"/>
      <c r="C44" s="357"/>
      <c r="D44" s="357"/>
      <c r="E44" s="357"/>
      <c r="F44" s="357"/>
      <c r="G44" s="357"/>
      <c r="H44" s="357"/>
      <c r="I44" s="357"/>
      <c r="J44" s="357"/>
      <c r="K44" s="358"/>
    </row>
    <row r="45" spans="1:11" s="359" customFormat="1">
      <c r="A45" s="363" t="s">
        <v>150</v>
      </c>
      <c r="B45" s="360">
        <f>'Sources and Uses Budget'!C45</f>
        <v>6232445</v>
      </c>
      <c r="C45" s="361"/>
      <c r="D45" s="361"/>
      <c r="E45" s="360">
        <f>'Sources and Uses Budget'!S45</f>
        <v>3183930</v>
      </c>
      <c r="F45" s="361"/>
      <c r="G45" s="361"/>
      <c r="H45" s="360">
        <f>'Sources and Uses Budget'!T45</f>
        <v>0</v>
      </c>
      <c r="I45" s="361"/>
      <c r="J45" s="361"/>
      <c r="K45" s="358"/>
    </row>
    <row r="46" spans="1:11" s="359" customFormat="1">
      <c r="A46" s="363" t="s">
        <v>151</v>
      </c>
      <c r="B46" s="360">
        <f>'Sources and Uses Budget'!C46</f>
        <v>215655</v>
      </c>
      <c r="C46" s="361"/>
      <c r="D46" s="361"/>
      <c r="E46" s="360">
        <f>'Sources and Uses Budget'!S46</f>
        <v>113212</v>
      </c>
      <c r="F46" s="361"/>
      <c r="G46" s="361"/>
      <c r="H46" s="360">
        <f>'Sources and Uses Budget'!T46</f>
        <v>0</v>
      </c>
      <c r="I46" s="361"/>
      <c r="J46" s="361"/>
      <c r="K46" s="358"/>
    </row>
    <row r="47" spans="1:11" s="359" customFormat="1" ht="12" customHeight="1">
      <c r="A47" s="363" t="s">
        <v>152</v>
      </c>
      <c r="B47" s="360">
        <f>'Sources and Uses Budget'!C47</f>
        <v>49292</v>
      </c>
      <c r="C47" s="361"/>
      <c r="D47" s="361"/>
      <c r="E47" s="360">
        <f>'Sources and Uses Budget'!S47</f>
        <v>25877</v>
      </c>
      <c r="F47" s="361"/>
      <c r="G47" s="361"/>
      <c r="H47" s="360">
        <f>'Sources and Uses Budget'!T47</f>
        <v>0</v>
      </c>
      <c r="I47" s="361"/>
      <c r="J47" s="361"/>
      <c r="K47" s="358"/>
    </row>
    <row r="48" spans="1:11" s="359" customFormat="1">
      <c r="A48" s="363" t="s">
        <v>153</v>
      </c>
      <c r="B48" s="360">
        <f>'Sources and Uses Budget'!C48</f>
        <v>0</v>
      </c>
      <c r="C48" s="361"/>
      <c r="D48" s="361"/>
      <c r="E48" s="360">
        <f>'Sources and Uses Budget'!S48</f>
        <v>0</v>
      </c>
      <c r="F48" s="361"/>
      <c r="G48" s="361"/>
      <c r="H48" s="360">
        <f>'Sources and Uses Budget'!T48</f>
        <v>0</v>
      </c>
      <c r="I48" s="361"/>
      <c r="J48" s="361"/>
      <c r="K48" s="358"/>
    </row>
    <row r="49" spans="1:11" s="359" customFormat="1">
      <c r="A49" s="282" t="s">
        <v>57</v>
      </c>
      <c r="B49" s="360">
        <f>'Sources and Uses Budget'!C49</f>
        <v>417834</v>
      </c>
      <c r="C49" s="361"/>
      <c r="D49" s="361"/>
      <c r="E49" s="360">
        <f>'Sources and Uses Budget'!S49</f>
        <v>50780</v>
      </c>
      <c r="F49" s="361"/>
      <c r="G49" s="361"/>
      <c r="H49" s="360">
        <f>'Sources and Uses Budget'!T49</f>
        <v>0</v>
      </c>
      <c r="I49" s="361"/>
      <c r="J49" s="361"/>
      <c r="K49" s="358"/>
    </row>
    <row r="50" spans="1:11" s="359" customFormat="1">
      <c r="A50" s="363" t="s">
        <v>156</v>
      </c>
      <c r="B50" s="360">
        <f>'Sources and Uses Budget'!C50</f>
        <v>78241</v>
      </c>
      <c r="C50" s="361"/>
      <c r="D50" s="361"/>
      <c r="E50" s="360">
        <f>'Sources and Uses Budget'!S50</f>
        <v>78241</v>
      </c>
      <c r="F50" s="361"/>
      <c r="G50" s="361"/>
      <c r="H50" s="360">
        <f>'Sources and Uses Budget'!T50</f>
        <v>0</v>
      </c>
      <c r="I50" s="361"/>
      <c r="J50" s="361"/>
      <c r="K50" s="358"/>
    </row>
    <row r="51" spans="1:11" s="359" customFormat="1">
      <c r="A51" s="363" t="s">
        <v>154</v>
      </c>
      <c r="B51" s="360">
        <f>'Sources and Uses Budget'!C51</f>
        <v>138756</v>
      </c>
      <c r="C51" s="361"/>
      <c r="D51" s="361"/>
      <c r="E51" s="360">
        <f>'Sources and Uses Budget'!S51</f>
        <v>138756</v>
      </c>
      <c r="F51" s="361"/>
      <c r="G51" s="361"/>
      <c r="H51" s="360">
        <f>'Sources and Uses Budget'!T51</f>
        <v>0</v>
      </c>
      <c r="I51" s="361"/>
      <c r="J51" s="361"/>
      <c r="K51" s="358"/>
    </row>
    <row r="52" spans="1:11" s="359" customFormat="1">
      <c r="A52" s="363" t="s">
        <v>155</v>
      </c>
      <c r="B52" s="360">
        <f>'Sources and Uses Budget'!C52</f>
        <v>530736</v>
      </c>
      <c r="C52" s="361"/>
      <c r="D52" s="361"/>
      <c r="E52" s="360">
        <f>'Sources and Uses Budget'!S52</f>
        <v>530736</v>
      </c>
      <c r="F52" s="361"/>
      <c r="G52" s="361"/>
      <c r="H52" s="360">
        <f>'Sources and Uses Budget'!T52</f>
        <v>0</v>
      </c>
      <c r="I52" s="361"/>
      <c r="J52" s="361"/>
      <c r="K52" s="358"/>
    </row>
    <row r="53" spans="1:11" s="359" customFormat="1" ht="24">
      <c r="A53" s="363" t="str">
        <f>'Sources and Uses Budget'!$A53</f>
        <v>Accrued Interest - LAHD Homes for LA, Accrued Interest - MacArthur PRI Loan</v>
      </c>
      <c r="B53" s="360">
        <f>'Sources and Uses Budget'!C53</f>
        <v>1171456</v>
      </c>
      <c r="C53" s="361"/>
      <c r="D53" s="361"/>
      <c r="E53" s="360">
        <f>'Sources and Uses Budget'!S53</f>
        <v>1072384</v>
      </c>
      <c r="F53" s="361"/>
      <c r="G53" s="361"/>
      <c r="H53" s="360">
        <f>'Sources and Uses Budget'!T53</f>
        <v>0</v>
      </c>
      <c r="I53" s="361"/>
      <c r="J53" s="361"/>
      <c r="K53" s="358"/>
    </row>
    <row r="54" spans="1:11" s="368" customFormat="1">
      <c r="A54" s="364" t="s">
        <v>157</v>
      </c>
      <c r="B54" s="360">
        <f>'Sources and Uses Budget'!C54</f>
        <v>8834415</v>
      </c>
      <c r="C54" s="366">
        <f>SUM(C45:C53)</f>
        <v>0</v>
      </c>
      <c r="D54" s="366">
        <f>SUM(D45:D53)</f>
        <v>0</v>
      </c>
      <c r="E54" s="360">
        <f>'Sources and Uses Budget'!S54</f>
        <v>5193916</v>
      </c>
      <c r="F54" s="366">
        <f>SUM(F45:F53)</f>
        <v>0</v>
      </c>
      <c r="G54" s="366">
        <f>SUM(G45:G53)</f>
        <v>0</v>
      </c>
      <c r="H54" s="360">
        <f>'Sources and Uses Budget'!T54</f>
        <v>0</v>
      </c>
      <c r="I54" s="366">
        <f>SUM(I45:I53)</f>
        <v>0</v>
      </c>
      <c r="J54" s="366">
        <f>SUM(J45:J53)</f>
        <v>0</v>
      </c>
      <c r="K54" s="367"/>
    </row>
    <row r="55" spans="1:11" s="359" customFormat="1">
      <c r="A55" s="356" t="s">
        <v>417</v>
      </c>
      <c r="B55" s="357"/>
      <c r="C55" s="357"/>
      <c r="D55" s="357"/>
      <c r="E55" s="357"/>
      <c r="F55" s="357"/>
      <c r="G55" s="357"/>
      <c r="H55" s="357"/>
      <c r="I55" s="357"/>
      <c r="J55" s="357"/>
      <c r="K55" s="358"/>
    </row>
    <row r="56" spans="1:11" s="359" customFormat="1">
      <c r="A56" s="363" t="s">
        <v>158</v>
      </c>
      <c r="B56" s="360">
        <f>'Sources and Uses Budget'!C56</f>
        <v>0</v>
      </c>
      <c r="C56" s="361"/>
      <c r="D56" s="361"/>
      <c r="E56" s="362"/>
      <c r="F56" s="362"/>
      <c r="G56" s="362"/>
      <c r="H56" s="362"/>
      <c r="I56" s="362"/>
      <c r="J56" s="362"/>
      <c r="K56" s="358"/>
    </row>
    <row r="57" spans="1:11" s="359" customFormat="1" ht="12" customHeight="1">
      <c r="A57" s="363" t="s">
        <v>152</v>
      </c>
      <c r="B57" s="360">
        <f>'Sources and Uses Budget'!C57</f>
        <v>14788</v>
      </c>
      <c r="C57" s="361"/>
      <c r="D57" s="361"/>
      <c r="E57" s="362"/>
      <c r="F57" s="362"/>
      <c r="G57" s="362"/>
      <c r="H57" s="362"/>
      <c r="I57" s="362"/>
      <c r="J57" s="362"/>
      <c r="K57" s="358"/>
    </row>
    <row r="58" spans="1:11" s="359" customFormat="1">
      <c r="A58" s="363" t="s">
        <v>156</v>
      </c>
      <c r="B58" s="360">
        <f>'Sources and Uses Budget'!C58</f>
        <v>4890</v>
      </c>
      <c r="C58" s="361"/>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Other: (Specify)</v>
      </c>
      <c r="B61" s="360">
        <f>'Sources and Uses Budget'!C61</f>
        <v>0</v>
      </c>
      <c r="C61" s="361"/>
      <c r="D61" s="361"/>
      <c r="E61" s="362"/>
      <c r="F61" s="362"/>
      <c r="G61" s="362"/>
      <c r="H61" s="362"/>
      <c r="I61" s="362"/>
      <c r="J61" s="362"/>
      <c r="K61" s="358"/>
    </row>
    <row r="62" spans="1:11" s="359" customFormat="1" ht="13.7" customHeight="1">
      <c r="A62" s="364" t="s">
        <v>300</v>
      </c>
      <c r="B62" s="360">
        <f>'Sources and Uses Budget'!C62</f>
        <v>19678</v>
      </c>
      <c r="C62" s="360">
        <f>SUM(C56:C61)</f>
        <v>0</v>
      </c>
      <c r="D62" s="360">
        <f>SUM(D56:D61)</f>
        <v>0</v>
      </c>
      <c r="E62" s="362"/>
      <c r="F62" s="362"/>
      <c r="G62" s="362"/>
      <c r="H62" s="362"/>
      <c r="I62" s="362"/>
      <c r="J62" s="362"/>
      <c r="K62" s="358"/>
    </row>
    <row r="63" spans="1:11" s="359" customFormat="1">
      <c r="A63" s="369" t="s">
        <v>301</v>
      </c>
      <c r="B63" s="360">
        <f>'Sources and Uses Budget'!C63</f>
        <v>83467757</v>
      </c>
      <c r="C63" s="360">
        <f>SUM(C8+C11+C13+C14+C15+C26+C27+C38+C42+C43+C54+C62)</f>
        <v>0</v>
      </c>
      <c r="D63" s="360">
        <f>SUM(D8+D11+D13+D14+D15+D26+D27+D38+D42+D43+D54+D62)</f>
        <v>0</v>
      </c>
      <c r="E63" s="360">
        <f>'Sources and Uses Budget'!S63</f>
        <v>79773115</v>
      </c>
      <c r="F63" s="360">
        <f>SUM(F10+F13+F14+F15+F26+F27+F38+F42+F43+F54)</f>
        <v>0</v>
      </c>
      <c r="G63" s="360">
        <f>SUM(G10+G13+G14+G15+G26+G27+G38+G42+G43+G54)</f>
        <v>0</v>
      </c>
      <c r="H63" s="360">
        <f>'Sources and Uses Budget'!T63</f>
        <v>0</v>
      </c>
      <c r="I63" s="360">
        <f>SUM(I11+I13+I14+I15+I26+I27+I38+I42+I43+I54)</f>
        <v>0</v>
      </c>
      <c r="J63" s="360">
        <f>SUM(J11+J13+J14+J15+J26+J27+J38+J42+J43+J54)</f>
        <v>0</v>
      </c>
      <c r="K63" s="358"/>
    </row>
    <row r="64" spans="1:11" s="359" customFormat="1" ht="24">
      <c r="A64" s="141" t="s">
        <v>1631</v>
      </c>
      <c r="B64" s="357"/>
      <c r="C64" s="357"/>
      <c r="D64" s="357"/>
      <c r="E64" s="357"/>
      <c r="F64" s="357"/>
      <c r="G64" s="357"/>
      <c r="H64" s="357"/>
      <c r="I64" s="357"/>
      <c r="J64" s="357"/>
      <c r="K64" s="358"/>
    </row>
    <row r="65" spans="1:11" s="359" customFormat="1">
      <c r="A65" s="145" t="s">
        <v>170</v>
      </c>
      <c r="B65" s="360">
        <f>'Sources and Uses Budget'!C65</f>
        <v>73938</v>
      </c>
      <c r="C65" s="361"/>
      <c r="D65" s="361"/>
      <c r="E65" s="360">
        <f>'Sources and Uses Budget'!S65</f>
        <v>31052</v>
      </c>
      <c r="F65" s="361"/>
      <c r="G65" s="361"/>
      <c r="H65" s="360">
        <f>'Sources and Uses Budget'!T65</f>
        <v>0</v>
      </c>
      <c r="I65" s="361"/>
      <c r="J65" s="361"/>
      <c r="K65" s="358"/>
    </row>
    <row r="66" spans="1:11" s="359" customFormat="1" ht="24">
      <c r="A66" s="282" t="s">
        <v>1628</v>
      </c>
      <c r="B66" s="360">
        <f>'Sources and Uses Budget'!C66</f>
        <v>0</v>
      </c>
      <c r="C66" s="361"/>
      <c r="D66" s="361"/>
      <c r="E66" s="360">
        <f>'Sources and Uses Budget'!S66</f>
        <v>0</v>
      </c>
      <c r="F66" s="361"/>
      <c r="G66" s="361"/>
      <c r="H66" s="360">
        <f>'Sources and Uses Budget'!T66</f>
        <v>0</v>
      </c>
      <c r="I66" s="361"/>
      <c r="J66" s="361"/>
      <c r="K66" s="358"/>
    </row>
    <row r="67" spans="1:11" s="359" customFormat="1" ht="24">
      <c r="A67" s="282" t="s">
        <v>1629</v>
      </c>
      <c r="B67" s="360">
        <f>'Sources and Uses Budget'!C67</f>
        <v>0</v>
      </c>
      <c r="C67" s="361"/>
      <c r="D67" s="361"/>
      <c r="E67" s="360">
        <f>'Sources and Uses Budget'!S67</f>
        <v>0</v>
      </c>
      <c r="F67" s="361"/>
      <c r="G67" s="361"/>
      <c r="H67" s="360">
        <f>'Sources and Uses Budget'!T67</f>
        <v>0</v>
      </c>
      <c r="I67" s="361"/>
      <c r="J67" s="361"/>
      <c r="K67" s="358"/>
    </row>
    <row r="68" spans="1:11" s="359" customFormat="1">
      <c r="A68" s="282" t="s">
        <v>1635</v>
      </c>
      <c r="B68" s="360">
        <f>'Sources and Uses Budget'!C68</f>
        <v>0</v>
      </c>
      <c r="C68" s="361"/>
      <c r="D68" s="361"/>
      <c r="E68" s="360">
        <f>'Sources and Uses Budget'!S68</f>
        <v>0</v>
      </c>
      <c r="F68" s="361"/>
      <c r="G68" s="361"/>
      <c r="H68" s="360">
        <f>'Sources and Uses Budget'!T68</f>
        <v>0</v>
      </c>
      <c r="I68" s="361"/>
      <c r="J68" s="361"/>
      <c r="K68" s="358"/>
    </row>
    <row r="69" spans="1:11" s="359" customFormat="1">
      <c r="A69" s="363" t="str">
        <f>'Sources and Uses Budget'!$A69</f>
        <v>Applicant Legal</v>
      </c>
      <c r="B69" s="360">
        <f>'Sources and Uses Budget'!C69</f>
        <v>45000</v>
      </c>
      <c r="C69" s="361"/>
      <c r="D69" s="361"/>
      <c r="E69" s="360">
        <f>'Sources and Uses Budget'!S69</f>
        <v>35000</v>
      </c>
      <c r="F69" s="361"/>
      <c r="G69" s="361"/>
      <c r="H69" s="360">
        <f>'Sources and Uses Budget'!T69</f>
        <v>0</v>
      </c>
      <c r="I69" s="361"/>
      <c r="J69" s="361"/>
      <c r="K69" s="358"/>
    </row>
    <row r="70" spans="1:11" s="359" customFormat="1">
      <c r="A70" s="364" t="s">
        <v>599</v>
      </c>
      <c r="B70" s="360">
        <f>'Sources and Uses Budget'!C70</f>
        <v>118938</v>
      </c>
      <c r="C70" s="360">
        <f>SUM(C64:C69)</f>
        <v>0</v>
      </c>
      <c r="D70" s="360">
        <f>SUM(D64:D69)</f>
        <v>0</v>
      </c>
      <c r="E70" s="360">
        <f>'Sources and Uses Budget'!S70</f>
        <v>66052</v>
      </c>
      <c r="F70" s="366">
        <f>SUM(F65:F69)</f>
        <v>0</v>
      </c>
      <c r="G70" s="366">
        <f>SUM(G65:G69)</f>
        <v>0</v>
      </c>
      <c r="H70" s="360">
        <f>'Sources and Uses Budget'!T70</f>
        <v>0</v>
      </c>
      <c r="I70" s="366">
        <f>SUM(I65:I69)</f>
        <v>0</v>
      </c>
      <c r="J70" s="366">
        <f>SUM(J65:J69)</f>
        <v>0</v>
      </c>
      <c r="K70" s="358"/>
    </row>
    <row r="71" spans="1:11" s="359" customFormat="1">
      <c r="A71" s="356" t="s">
        <v>600</v>
      </c>
      <c r="B71" s="357"/>
      <c r="C71" s="357"/>
      <c r="D71" s="357"/>
      <c r="E71" s="357"/>
      <c r="F71" s="357"/>
      <c r="G71" s="357"/>
      <c r="H71" s="357"/>
      <c r="I71" s="357"/>
      <c r="J71" s="357"/>
      <c r="K71" s="358"/>
    </row>
    <row r="72" spans="1:11" s="359" customFormat="1">
      <c r="A72" s="363" t="s">
        <v>601</v>
      </c>
      <c r="B72" s="360">
        <f>'Sources and Uses Budget'!C72</f>
        <v>0</v>
      </c>
      <c r="C72" s="361"/>
      <c r="D72" s="361"/>
      <c r="E72" s="362"/>
      <c r="F72" s="362"/>
      <c r="G72" s="362"/>
      <c r="H72" s="362"/>
      <c r="I72" s="362"/>
      <c r="J72" s="362"/>
      <c r="K72" s="358"/>
    </row>
    <row r="73" spans="1:11" s="359" customFormat="1">
      <c r="A73" s="363" t="s">
        <v>602</v>
      </c>
      <c r="B73" s="360">
        <f>'Sources and Uses Budget'!C73</f>
        <v>0</v>
      </c>
      <c r="C73" s="361"/>
      <c r="D73" s="361"/>
      <c r="E73" s="362"/>
      <c r="F73" s="362"/>
      <c r="G73" s="362"/>
      <c r="H73" s="362"/>
      <c r="I73" s="362"/>
      <c r="J73" s="362"/>
      <c r="K73" s="358"/>
    </row>
    <row r="74" spans="1:11" s="359" customFormat="1">
      <c r="A74" s="365" t="s">
        <v>984</v>
      </c>
      <c r="B74" s="360">
        <f>'Sources and Uses Budget'!C74</f>
        <v>0</v>
      </c>
      <c r="C74" s="361"/>
      <c r="D74" s="361"/>
      <c r="E74" s="362"/>
      <c r="F74" s="362"/>
      <c r="G74" s="362"/>
      <c r="H74" s="362"/>
      <c r="I74" s="362"/>
      <c r="J74" s="362"/>
      <c r="K74" s="358"/>
    </row>
    <row r="75" spans="1:11" s="359" customFormat="1">
      <c r="A75" s="363" t="s">
        <v>603</v>
      </c>
      <c r="B75" s="360">
        <f>'Sources and Uses Budget'!C75</f>
        <v>553000</v>
      </c>
      <c r="C75" s="361"/>
      <c r="D75" s="361"/>
      <c r="E75" s="362"/>
      <c r="F75" s="362"/>
      <c r="G75" s="362"/>
      <c r="H75" s="362"/>
      <c r="I75" s="362"/>
      <c r="J75" s="362"/>
      <c r="K75" s="358"/>
    </row>
    <row r="76" spans="1:11" s="359" customFormat="1">
      <c r="A76" s="363" t="str">
        <f>'Sources and Uses Budget'!$A76</f>
        <v>Other: HCD Pooled Reserve Fee</v>
      </c>
      <c r="B76" s="360">
        <f>'Sources and Uses Budget'!C76</f>
        <v>37800</v>
      </c>
      <c r="C76" s="361"/>
      <c r="D76" s="361"/>
      <c r="E76" s="362"/>
      <c r="F76" s="362"/>
      <c r="G76" s="362"/>
      <c r="H76" s="362"/>
      <c r="I76" s="362"/>
      <c r="J76" s="362"/>
      <c r="K76" s="358"/>
    </row>
    <row r="77" spans="1:11" s="359" customFormat="1">
      <c r="A77" s="364" t="s">
        <v>604</v>
      </c>
      <c r="B77" s="360">
        <f>'Sources and Uses Budget'!C77</f>
        <v>590800</v>
      </c>
      <c r="C77" s="360">
        <f>SUM(C72:C76)</f>
        <v>0</v>
      </c>
      <c r="D77" s="360">
        <f>SUM(D72:D76)</f>
        <v>0</v>
      </c>
      <c r="E77" s="362"/>
      <c r="F77" s="362"/>
      <c r="G77" s="362"/>
      <c r="H77" s="362"/>
      <c r="I77" s="362"/>
      <c r="J77" s="362"/>
      <c r="K77" s="358"/>
    </row>
    <row r="78" spans="1:11" s="359" customFormat="1">
      <c r="A78" s="356" t="s">
        <v>1208</v>
      </c>
      <c r="B78" s="357"/>
      <c r="C78" s="357"/>
      <c r="D78" s="357"/>
      <c r="E78" s="357"/>
      <c r="F78" s="357"/>
      <c r="G78" s="357"/>
      <c r="H78" s="357"/>
      <c r="I78" s="357"/>
      <c r="J78" s="357"/>
      <c r="K78" s="358"/>
    </row>
    <row r="79" spans="1:11" s="359" customFormat="1">
      <c r="A79" s="363" t="s">
        <v>1210</v>
      </c>
      <c r="B79" s="360">
        <f>'Sources and Uses Budget'!C79</f>
        <v>7335145</v>
      </c>
      <c r="C79" s="361"/>
      <c r="D79" s="361"/>
      <c r="E79" s="360">
        <f>'Sources and Uses Budget'!S79</f>
        <v>7335145</v>
      </c>
      <c r="F79" s="361"/>
      <c r="G79" s="361"/>
      <c r="H79" s="360">
        <f>'Sources and Uses Budget'!T79</f>
        <v>0</v>
      </c>
      <c r="I79" s="361"/>
      <c r="J79" s="361"/>
      <c r="K79" s="358"/>
    </row>
    <row r="80" spans="1:11" s="359" customFormat="1">
      <c r="A80" s="363" t="s">
        <v>58</v>
      </c>
      <c r="B80" s="360">
        <f>'Sources and Uses Budget'!C80</f>
        <v>316149</v>
      </c>
      <c r="C80" s="361"/>
      <c r="D80" s="361"/>
      <c r="E80" s="360">
        <f>'Sources and Uses Budget'!S80</f>
        <v>316149</v>
      </c>
      <c r="F80" s="361"/>
      <c r="G80" s="361"/>
      <c r="H80" s="360">
        <f>'Sources and Uses Budget'!T80</f>
        <v>0</v>
      </c>
      <c r="I80" s="361"/>
      <c r="J80" s="361"/>
      <c r="K80" s="358"/>
    </row>
    <row r="81" spans="1:11" s="359" customFormat="1">
      <c r="A81" s="364" t="s">
        <v>1207</v>
      </c>
      <c r="B81" s="360">
        <f>'Sources and Uses Budget'!C81</f>
        <v>7651294</v>
      </c>
      <c r="C81" s="360">
        <f>SUM(C79:C80)</f>
        <v>0</v>
      </c>
      <c r="D81" s="360">
        <f>SUM(D79:D80)</f>
        <v>0</v>
      </c>
      <c r="E81" s="360">
        <f>'Sources and Uses Budget'!S81</f>
        <v>7651294</v>
      </c>
      <c r="F81" s="360">
        <f>SUM(F79:F80)</f>
        <v>0</v>
      </c>
      <c r="G81" s="360">
        <f>SUM(G79:G80)</f>
        <v>0</v>
      </c>
      <c r="H81" s="360">
        <f>'Sources and Uses Budget'!T81</f>
        <v>0</v>
      </c>
      <c r="I81" s="360">
        <f>SUM(I79:I80)</f>
        <v>0</v>
      </c>
      <c r="J81" s="360">
        <f>SUM(J79:J80)</f>
        <v>0</v>
      </c>
      <c r="K81" s="358"/>
    </row>
    <row r="82" spans="1:11" s="359" customFormat="1">
      <c r="A82" s="356" t="s">
        <v>763</v>
      </c>
      <c r="B82" s="357"/>
      <c r="C82" s="357"/>
      <c r="D82" s="357"/>
      <c r="E82" s="357"/>
      <c r="F82" s="357"/>
      <c r="G82" s="357"/>
      <c r="H82" s="357"/>
      <c r="I82" s="357"/>
      <c r="J82" s="357"/>
      <c r="K82" s="358"/>
    </row>
    <row r="83" spans="1:11" s="359" customFormat="1" ht="13.7" customHeight="1">
      <c r="A83" s="145" t="s">
        <v>2048</v>
      </c>
      <c r="B83" s="360">
        <f>'Sources and Uses Budget'!C83</f>
        <v>140221</v>
      </c>
      <c r="C83" s="361"/>
      <c r="D83" s="361"/>
      <c r="E83" s="362"/>
      <c r="F83" s="362"/>
      <c r="G83" s="362"/>
      <c r="H83" s="362"/>
      <c r="I83" s="362"/>
      <c r="J83" s="362"/>
      <c r="K83" s="358"/>
    </row>
    <row r="84" spans="1:11" s="359" customFormat="1">
      <c r="A84" s="145" t="s">
        <v>765</v>
      </c>
      <c r="B84" s="360">
        <f>'Sources and Uses Budget'!C84</f>
        <v>83131</v>
      </c>
      <c r="C84" s="361"/>
      <c r="D84" s="361"/>
      <c r="E84" s="360">
        <f>'Sources and Uses Budget'!S84</f>
        <v>83131</v>
      </c>
      <c r="F84" s="361"/>
      <c r="G84" s="361"/>
      <c r="H84" s="360">
        <f>'Sources and Uses Budget'!T84</f>
        <v>0</v>
      </c>
      <c r="I84" s="361"/>
      <c r="J84" s="361"/>
      <c r="K84" s="358"/>
    </row>
    <row r="85" spans="1:11" s="359" customFormat="1">
      <c r="A85" s="145" t="s">
        <v>766</v>
      </c>
      <c r="B85" s="360">
        <f>'Sources and Uses Budget'!C85</f>
        <v>561591</v>
      </c>
      <c r="C85" s="361"/>
      <c r="D85" s="361"/>
      <c r="E85" s="360">
        <f>'Sources and Uses Budget'!S85</f>
        <v>561591</v>
      </c>
      <c r="F85" s="361"/>
      <c r="G85" s="361"/>
      <c r="H85" s="360">
        <f>'Sources and Uses Budget'!T85</f>
        <v>0</v>
      </c>
      <c r="I85" s="361"/>
      <c r="J85" s="361"/>
      <c r="K85" s="358"/>
    </row>
    <row r="86" spans="1:11" s="359" customFormat="1">
      <c r="A86" s="145" t="s">
        <v>767</v>
      </c>
      <c r="B86" s="360">
        <f>'Sources and Uses Budget'!C86</f>
        <v>813146</v>
      </c>
      <c r="C86" s="361"/>
      <c r="D86" s="361"/>
      <c r="E86" s="360">
        <f>'Sources and Uses Budget'!S86</f>
        <v>813146</v>
      </c>
      <c r="F86" s="361"/>
      <c r="G86" s="361"/>
      <c r="H86" s="360">
        <f>'Sources and Uses Budget'!T86</f>
        <v>0</v>
      </c>
      <c r="I86" s="361"/>
      <c r="J86" s="361"/>
      <c r="K86" s="358"/>
    </row>
    <row r="87" spans="1:11" s="359" customFormat="1">
      <c r="A87" s="145" t="s">
        <v>768</v>
      </c>
      <c r="B87" s="360">
        <f>'Sources and Uses Budget'!C87</f>
        <v>0</v>
      </c>
      <c r="C87" s="361"/>
      <c r="D87" s="361"/>
      <c r="E87" s="360">
        <f>'Sources and Uses Budget'!S87</f>
        <v>0</v>
      </c>
      <c r="F87" s="361"/>
      <c r="G87" s="361"/>
      <c r="H87" s="360">
        <f>'Sources and Uses Budget'!T87</f>
        <v>0</v>
      </c>
      <c r="I87" s="361"/>
      <c r="J87" s="361"/>
      <c r="K87" s="358"/>
    </row>
    <row r="88" spans="1:11" s="359" customFormat="1">
      <c r="A88" s="145" t="s">
        <v>769</v>
      </c>
      <c r="B88" s="360">
        <f>'Sources and Uses Budget'!C88</f>
        <v>58389</v>
      </c>
      <c r="C88" s="361"/>
      <c r="D88" s="361"/>
      <c r="E88" s="362"/>
      <c r="F88" s="362"/>
      <c r="G88" s="362"/>
      <c r="H88" s="362"/>
      <c r="I88" s="362"/>
      <c r="J88" s="362"/>
      <c r="K88" s="358"/>
    </row>
    <row r="89" spans="1:11" s="359" customFormat="1">
      <c r="A89" s="145" t="s">
        <v>770</v>
      </c>
      <c r="B89" s="360">
        <f>'Sources and Uses Budget'!C89</f>
        <v>267780</v>
      </c>
      <c r="C89" s="361"/>
      <c r="D89" s="361"/>
      <c r="E89" s="360">
        <f>'Sources and Uses Budget'!S89</f>
        <v>267780</v>
      </c>
      <c r="F89" s="361"/>
      <c r="G89" s="361"/>
      <c r="H89" s="360">
        <f>'Sources and Uses Budget'!T89</f>
        <v>0</v>
      </c>
      <c r="I89" s="361"/>
      <c r="J89" s="361"/>
      <c r="K89" s="358"/>
    </row>
    <row r="90" spans="1:11" s="359" customFormat="1">
      <c r="A90" s="145" t="s">
        <v>771</v>
      </c>
      <c r="B90" s="360">
        <f>'Sources and Uses Budget'!C90</f>
        <v>15000</v>
      </c>
      <c r="C90" s="361"/>
      <c r="D90" s="361"/>
      <c r="E90" s="360">
        <f>'Sources and Uses Budget'!S90</f>
        <v>0</v>
      </c>
      <c r="F90" s="361"/>
      <c r="G90" s="361"/>
      <c r="H90" s="360">
        <f>'Sources and Uses Budget'!T90</f>
        <v>0</v>
      </c>
      <c r="I90" s="361"/>
      <c r="J90" s="361"/>
      <c r="K90" s="358"/>
    </row>
    <row r="91" spans="1:11" s="359" customFormat="1">
      <c r="A91" s="155" t="s">
        <v>371</v>
      </c>
      <c r="B91" s="360">
        <f>'Sources and Uses Budget'!C91</f>
        <v>0</v>
      </c>
      <c r="C91" s="361"/>
      <c r="D91" s="361"/>
      <c r="E91" s="360">
        <f>'Sources and Uses Budget'!S91</f>
        <v>0</v>
      </c>
      <c r="F91" s="361"/>
      <c r="G91" s="361"/>
      <c r="H91" s="360">
        <f>'Sources and Uses Budget'!T91</f>
        <v>0</v>
      </c>
      <c r="I91" s="361"/>
      <c r="J91" s="361"/>
      <c r="K91" s="358"/>
    </row>
    <row r="92" spans="1:11" s="359" customFormat="1">
      <c r="A92" s="507" t="s">
        <v>1209</v>
      </c>
      <c r="B92" s="360">
        <f>'Sources and Uses Budget'!C92</f>
        <v>10000</v>
      </c>
      <c r="C92" s="361"/>
      <c r="D92" s="361"/>
      <c r="E92" s="360">
        <f>'Sources and Uses Budget'!S92</f>
        <v>10000</v>
      </c>
      <c r="F92" s="361"/>
      <c r="G92" s="361"/>
      <c r="H92" s="360">
        <f>'Sources and Uses Budget'!T92</f>
        <v>0</v>
      </c>
      <c r="I92" s="361"/>
      <c r="J92" s="361"/>
      <c r="K92" s="358"/>
    </row>
    <row r="93" spans="1:11" s="359" customFormat="1" ht="48">
      <c r="A93" s="363" t="str">
        <f>'Sources and Uses Budget'!$A93</f>
        <v>Deputy Inspections, 3rd Party Construction Manager, Green Consultant, Entitlement Consultant, Predev Loan Interest</v>
      </c>
      <c r="B93" s="360">
        <f>'Sources and Uses Budget'!C93</f>
        <v>500424</v>
      </c>
      <c r="C93" s="361"/>
      <c r="D93" s="361"/>
      <c r="E93" s="360">
        <f>'Sources and Uses Budget'!S93</f>
        <v>500424</v>
      </c>
      <c r="F93" s="361"/>
      <c r="G93" s="361"/>
      <c r="H93" s="360">
        <f>'Sources and Uses Budget'!T93</f>
        <v>0</v>
      </c>
      <c r="I93" s="361"/>
      <c r="J93" s="361"/>
      <c r="K93" s="358"/>
    </row>
    <row r="94" spans="1:11" s="359" customFormat="1">
      <c r="A94" s="363" t="str">
        <f>'Sources and Uses Budget'!$A94</f>
        <v>Prevailing Wage Monitor</v>
      </c>
      <c r="B94" s="360">
        <f>'Sources and Uses Budget'!C94</f>
        <v>175694</v>
      </c>
      <c r="C94" s="361"/>
      <c r="D94" s="361"/>
      <c r="E94" s="360">
        <f>'Sources and Uses Budget'!S94</f>
        <v>175694</v>
      </c>
      <c r="F94" s="361"/>
      <c r="G94" s="361"/>
      <c r="H94" s="360">
        <f>'Sources and Uses Budget'!T94</f>
        <v>0</v>
      </c>
      <c r="I94" s="361"/>
      <c r="J94" s="361"/>
      <c r="K94" s="358"/>
    </row>
    <row r="95" spans="1:11" s="359" customFormat="1">
      <c r="A95" s="363" t="str">
        <f>'Sources and Uses Budget'!$A95</f>
        <v>Utility Connection Fees</v>
      </c>
      <c r="B95" s="360">
        <f>'Sources and Uses Budget'!C95</f>
        <v>286950</v>
      </c>
      <c r="C95" s="361"/>
      <c r="D95" s="361"/>
      <c r="E95" s="360">
        <f>'Sources and Uses Budget'!S95</f>
        <v>286950</v>
      </c>
      <c r="F95" s="361"/>
      <c r="G95" s="361"/>
      <c r="H95" s="360">
        <f>'Sources and Uses Budget'!T95</f>
        <v>0</v>
      </c>
      <c r="I95" s="361"/>
      <c r="J95" s="361"/>
      <c r="K95" s="358"/>
    </row>
    <row r="96" spans="1:11" s="359" customFormat="1">
      <c r="A96" s="364" t="s">
        <v>772</v>
      </c>
      <c r="B96" s="360">
        <f>'Sources and Uses Budget'!C96</f>
        <v>2912326</v>
      </c>
      <c r="C96" s="360">
        <f>SUM(C83:C95)</f>
        <v>0</v>
      </c>
      <c r="D96" s="360">
        <f>SUM(D83:D95)</f>
        <v>0</v>
      </c>
      <c r="E96" s="360">
        <f>'Sources and Uses Budget'!S96</f>
        <v>2698716</v>
      </c>
      <c r="F96" s="366">
        <f>SUM(F84:F87,F89:F95)</f>
        <v>0</v>
      </c>
      <c r="G96" s="366">
        <f>SUM(G84:G87,G89:G95)</f>
        <v>0</v>
      </c>
      <c r="H96" s="360">
        <f>'Sources and Uses Budget'!T96</f>
        <v>0</v>
      </c>
      <c r="I96" s="360">
        <f>SUM(I84:I87,I89:I95)</f>
        <v>0</v>
      </c>
      <c r="J96" s="360">
        <f>SUM(J84:J87,J89:J95)</f>
        <v>0</v>
      </c>
      <c r="K96" s="358"/>
    </row>
    <row r="97" spans="1:11" s="359" customFormat="1">
      <c r="A97" s="364" t="s">
        <v>1027</v>
      </c>
      <c r="B97" s="360">
        <f>'Sources and Uses Budget'!C97</f>
        <v>94741115</v>
      </c>
      <c r="C97" s="360">
        <f>SUM(C63+C70+C77+C81+C96)</f>
        <v>0</v>
      </c>
      <c r="D97" s="360">
        <f>SUM(D63+D70+D77+D81+D96)</f>
        <v>0</v>
      </c>
      <c r="E97" s="360">
        <f>'Sources and Uses Budget'!S97</f>
        <v>90189177</v>
      </c>
      <c r="F97" s="366">
        <f>SUM(+F63+F70+F81+F96)</f>
        <v>0</v>
      </c>
      <c r="G97" s="366">
        <f>SUM(+G63+G70+G81+G96)</f>
        <v>0</v>
      </c>
      <c r="H97" s="360">
        <f>'Sources and Uses Budget'!T97</f>
        <v>0</v>
      </c>
      <c r="I97" s="366">
        <f>SUM(I63+I70+I81+I96)</f>
        <v>0</v>
      </c>
      <c r="J97" s="366">
        <f>SUM(J63+J70+J81+J96)</f>
        <v>0</v>
      </c>
      <c r="K97" s="358"/>
    </row>
    <row r="98" spans="1:11" s="359" customFormat="1">
      <c r="A98" s="356" t="s">
        <v>774</v>
      </c>
      <c r="B98" s="357"/>
      <c r="C98" s="357"/>
      <c r="D98" s="357"/>
      <c r="E98" s="357"/>
      <c r="F98" s="357"/>
      <c r="G98" s="357"/>
      <c r="H98" s="357"/>
      <c r="I98" s="357"/>
      <c r="J98" s="357"/>
      <c r="K98" s="358"/>
    </row>
    <row r="99" spans="1:11" s="359" customFormat="1">
      <c r="A99" s="145" t="s">
        <v>775</v>
      </c>
      <c r="B99" s="360">
        <f>'Sources and Uses Budget'!C99</f>
        <v>9658175</v>
      </c>
      <c r="C99" s="361"/>
      <c r="D99" s="361"/>
      <c r="E99" s="360">
        <f>'Sources and Uses Budget'!S99</f>
        <v>9658175</v>
      </c>
      <c r="F99" s="361"/>
      <c r="G99" s="361"/>
      <c r="H99" s="360">
        <f>'Sources and Uses Budget'!T99</f>
        <v>0</v>
      </c>
      <c r="I99" s="361"/>
      <c r="J99" s="361"/>
      <c r="K99" s="358"/>
    </row>
    <row r="100" spans="1:11" s="359" customFormat="1">
      <c r="A100" s="282" t="s">
        <v>1633</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776</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2" t="s">
        <v>1634</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f>'Sources and Uses Budget'!$A103</f>
        <v>0</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777</v>
      </c>
      <c r="B104" s="360">
        <f>'Sources and Uses Budget'!C104</f>
        <v>9658175</v>
      </c>
      <c r="C104" s="360">
        <f>SUM(C99:C103)</f>
        <v>0</v>
      </c>
      <c r="D104" s="360">
        <f>SUM(D99:D103)</f>
        <v>0</v>
      </c>
      <c r="E104" s="360">
        <f>'Sources and Uses Budget'!S104</f>
        <v>9658175</v>
      </c>
      <c r="F104" s="366">
        <f>SUM(F99:F103)</f>
        <v>0</v>
      </c>
      <c r="G104" s="366">
        <f>SUM(G99:G103)</f>
        <v>0</v>
      </c>
      <c r="H104" s="360">
        <f>'Sources and Uses Budget'!T104</f>
        <v>0</v>
      </c>
      <c r="I104" s="366">
        <f>SUM(I99:I103)</f>
        <v>0</v>
      </c>
      <c r="J104" s="366">
        <f>SUM(J99:J103)</f>
        <v>0</v>
      </c>
      <c r="K104" s="358"/>
    </row>
    <row r="105" spans="1:11" s="359" customFormat="1">
      <c r="A105" s="364" t="s">
        <v>1028</v>
      </c>
      <c r="B105" s="360">
        <f>'Sources and Uses Budget'!C105</f>
        <v>104399290</v>
      </c>
      <c r="C105" s="366">
        <f>SUM(C97+C104)</f>
        <v>0</v>
      </c>
      <c r="D105" s="366">
        <f>SUM(D97+D104)</f>
        <v>0</v>
      </c>
      <c r="E105" s="360">
        <f>'Sources and Uses Budget'!S105</f>
        <v>99847352</v>
      </c>
      <c r="F105" s="366">
        <f>F97+F104</f>
        <v>0</v>
      </c>
      <c r="G105" s="366">
        <f>G97+G104</f>
        <v>0</v>
      </c>
      <c r="H105" s="360">
        <f>'Sources and Uses Budget'!T105</f>
        <v>0</v>
      </c>
      <c r="I105" s="366">
        <f>I97+I104</f>
        <v>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374</v>
      </c>
      <c r="E107" s="360">
        <f>'Sources and Uses Budget'!S107</f>
        <v>99847352</v>
      </c>
      <c r="F107" s="366">
        <f>F105+F106</f>
        <v>0</v>
      </c>
      <c r="G107" s="366">
        <f>G105+G106</f>
        <v>0</v>
      </c>
      <c r="H107" s="360">
        <f>'Sources and Uses Budget'!T107</f>
        <v>0</v>
      </c>
      <c r="I107" s="366">
        <f>I105+I106</f>
        <v>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2.75">
      <c r="A111" s="376"/>
      <c r="B111" s="374"/>
      <c r="C111" s="374"/>
      <c r="D111" s="374"/>
      <c r="J111" s="375"/>
      <c r="K111" s="358"/>
    </row>
    <row r="112" spans="1:11" s="359" customFormat="1" ht="12.75">
      <c r="A112" s="376"/>
      <c r="B112" s="374"/>
      <c r="C112" s="374"/>
      <c r="D112" s="374"/>
      <c r="J112" s="375"/>
      <c r="K112" s="358"/>
    </row>
    <row r="113" spans="1:11" s="359" customFormat="1" ht="14.25">
      <c r="A113" s="377"/>
      <c r="B113" s="374"/>
      <c r="C113" s="374"/>
      <c r="D113" s="374"/>
      <c r="J113" s="375"/>
      <c r="K113" s="358"/>
    </row>
    <row r="114" spans="1:11" s="359" customFormat="1" ht="12.75">
      <c r="A114" s="376"/>
      <c r="J114" s="375"/>
      <c r="K114" s="358"/>
    </row>
    <row r="115" spans="1:11" s="359" customFormat="1" ht="14.25">
      <c r="A115" s="377"/>
      <c r="J115" s="375"/>
      <c r="K115" s="358"/>
    </row>
    <row r="116" spans="1:11" s="359" customFormat="1" ht="14.25">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4.25">
      <c r="A121" s="377"/>
      <c r="J121" s="375"/>
      <c r="K121" s="358"/>
    </row>
    <row r="122" spans="1:11" s="379" customFormat="1" ht="15.75">
      <c r="A122" s="378"/>
      <c r="J122" s="380"/>
      <c r="K122" s="381"/>
    </row>
    <row r="123" spans="1:11" s="359" customFormat="1">
      <c r="A123" s="382"/>
      <c r="J123" s="375"/>
      <c r="K123" s="358"/>
    </row>
    <row r="124" spans="1:11" s="359" customFormat="1">
      <c r="B124" s="383"/>
      <c r="D124" s="1893"/>
      <c r="E124" s="1336"/>
      <c r="F124" s="1336"/>
      <c r="G124" s="1336"/>
      <c r="H124" s="1336"/>
      <c r="I124" s="1336"/>
      <c r="J124" s="375"/>
      <c r="K124" s="358"/>
    </row>
    <row r="125" spans="1:11" s="359" customFormat="1" ht="12.75">
      <c r="A125" s="384"/>
      <c r="B125" s="383"/>
      <c r="C125" s="384"/>
      <c r="D125" s="1336"/>
      <c r="E125" s="1336"/>
      <c r="F125" s="1336"/>
      <c r="G125" s="1336"/>
      <c r="H125" s="1336"/>
      <c r="I125" s="1336"/>
      <c r="J125" s="375"/>
      <c r="K125" s="358"/>
    </row>
    <row r="126" spans="1:11" s="359" customFormat="1" ht="12.75">
      <c r="A126" s="384"/>
      <c r="B126" s="383"/>
      <c r="C126" s="384"/>
      <c r="D126" s="1336"/>
      <c r="E126" s="1336"/>
      <c r="F126" s="1336"/>
      <c r="G126" s="1336"/>
      <c r="H126" s="1336"/>
      <c r="I126" s="1336"/>
      <c r="J126" s="375"/>
      <c r="K126" s="358"/>
    </row>
    <row r="127" spans="1:11" s="359" customFormat="1" ht="12.75">
      <c r="A127" s="384"/>
      <c r="B127" s="383"/>
      <c r="C127" s="384"/>
      <c r="D127" s="385"/>
      <c r="E127" s="384"/>
      <c r="F127" s="384"/>
      <c r="G127" s="384"/>
      <c r="J127" s="375"/>
      <c r="K127" s="358"/>
    </row>
    <row r="128" spans="1:11" s="359" customFormat="1" ht="12.75">
      <c r="A128" s="384"/>
      <c r="B128" s="383"/>
      <c r="C128" s="384"/>
      <c r="D128" s="385"/>
      <c r="E128" s="384"/>
      <c r="F128" s="384"/>
      <c r="G128" s="384"/>
      <c r="J128" s="375"/>
      <c r="K128" s="358"/>
    </row>
    <row r="129" spans="1:11" s="359" customFormat="1" ht="12.75">
      <c r="A129" s="384"/>
      <c r="B129" s="383"/>
      <c r="C129" s="384"/>
      <c r="D129" s="384"/>
      <c r="E129" s="384"/>
      <c r="F129" s="384"/>
      <c r="G129" s="384"/>
      <c r="J129" s="375"/>
      <c r="K129" s="358"/>
    </row>
    <row r="130" spans="1:11" s="359" customFormat="1" ht="12.75">
      <c r="A130" s="384"/>
      <c r="B130" s="383"/>
      <c r="C130" s="384"/>
      <c r="D130" s="384"/>
      <c r="E130" s="384"/>
      <c r="F130" s="384"/>
      <c r="G130" s="384"/>
      <c r="J130" s="375"/>
      <c r="K130" s="358"/>
    </row>
    <row r="131" spans="1:11" s="359" customFormat="1" ht="12.75">
      <c r="A131" s="384"/>
      <c r="B131" s="386"/>
      <c r="C131" s="384"/>
      <c r="D131" s="384"/>
      <c r="E131" s="384"/>
      <c r="F131" s="384"/>
      <c r="G131" s="384"/>
      <c r="J131" s="375"/>
      <c r="K131" s="358"/>
    </row>
    <row r="132" spans="1:11" s="359" customFormat="1" ht="12.75">
      <c r="A132" s="387"/>
      <c r="B132" s="388"/>
      <c r="C132" s="384"/>
      <c r="D132" s="389"/>
      <c r="E132" s="384"/>
      <c r="F132" s="384"/>
      <c r="G132" s="384"/>
      <c r="J132" s="375"/>
      <c r="K132" s="358"/>
    </row>
    <row r="133" spans="1:11" s="359" customFormat="1" ht="12.75">
      <c r="A133" s="390"/>
      <c r="B133" s="384"/>
      <c r="C133" s="384"/>
      <c r="D133" s="384"/>
      <c r="E133" s="384"/>
      <c r="F133" s="384"/>
      <c r="G133" s="384"/>
      <c r="J133" s="375"/>
      <c r="K133" s="358"/>
    </row>
    <row r="134" spans="1:11" s="359" customFormat="1" ht="12.75">
      <c r="A134" s="390"/>
      <c r="B134" s="384"/>
      <c r="C134" s="384"/>
      <c r="D134" s="384"/>
      <c r="E134" s="384"/>
      <c r="F134" s="384"/>
      <c r="G134" s="384"/>
      <c r="J134" s="375"/>
      <c r="K134" s="358"/>
    </row>
    <row r="135" spans="1:11" s="359" customFormat="1" ht="12.75">
      <c r="A135" s="391"/>
      <c r="B135" s="384"/>
      <c r="C135" s="384"/>
      <c r="D135" s="384"/>
      <c r="E135" s="384"/>
      <c r="F135" s="384"/>
      <c r="G135" s="384"/>
      <c r="J135" s="375"/>
      <c r="K135" s="358"/>
    </row>
    <row r="136" spans="1:11" s="359" customFormat="1" ht="12.75">
      <c r="A136" s="376"/>
      <c r="B136" s="384"/>
      <c r="C136" s="384"/>
      <c r="D136" s="384"/>
      <c r="E136" s="384"/>
      <c r="F136" s="384"/>
      <c r="G136" s="384"/>
      <c r="J136" s="375"/>
      <c r="K136" s="358"/>
    </row>
    <row r="137" spans="1:11" ht="12.75">
      <c r="A137" s="390"/>
      <c r="B137" s="384"/>
      <c r="C137" s="384"/>
      <c r="D137" s="384"/>
      <c r="E137" s="384"/>
      <c r="F137" s="384"/>
      <c r="G137" s="384"/>
    </row>
    <row r="138" spans="1:11" ht="12" customHeight="1">
      <c r="A138" s="390"/>
      <c r="B138" s="384"/>
      <c r="C138" s="384"/>
      <c r="D138" s="384"/>
      <c r="E138" s="384"/>
      <c r="F138" s="384"/>
      <c r="G138" s="384"/>
    </row>
    <row r="139" spans="1:11" ht="12" customHeight="1">
      <c r="A139" s="1894"/>
      <c r="B139" s="1336"/>
      <c r="C139" s="1336"/>
      <c r="D139" s="355"/>
      <c r="E139" s="384"/>
      <c r="F139" s="384"/>
      <c r="G139" s="384"/>
    </row>
    <row r="140" spans="1:11" ht="12" customHeight="1">
      <c r="A140" s="1319"/>
      <c r="B140" s="1319"/>
      <c r="C140" s="1319"/>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C171" sqref="C171:H175"/>
    </sheetView>
  </sheetViews>
  <sheetFormatPr defaultColWidth="2.7109375" defaultRowHeight="15.75" customHeight="1"/>
  <cols>
    <col min="1" max="8" width="2.7109375" style="1203"/>
    <col min="9" max="9" width="7.7109375" style="1203" customWidth="1"/>
    <col min="10" max="13" width="2.7109375" style="1203"/>
    <col min="14" max="14" width="4.7109375" style="1203" customWidth="1"/>
    <col min="15" max="19" width="2.7109375" style="1203"/>
    <col min="20" max="20" width="3.7109375" style="1203" customWidth="1"/>
    <col min="21" max="37" width="2.7109375" style="1203"/>
    <col min="38" max="38" width="3" style="1203" customWidth="1"/>
    <col min="39" max="45" width="2.7109375" style="1203"/>
    <col min="46" max="46" width="4.7109375" style="1203" customWidth="1"/>
    <col min="47" max="51" width="2.7109375" style="1203"/>
    <col min="52" max="52" width="3.5703125" style="1203" customWidth="1"/>
    <col min="53" max="53" width="2.7109375" style="1203"/>
    <col min="54" max="54" width="4.42578125" style="1203" customWidth="1"/>
    <col min="55" max="64" width="2.7109375" style="1203"/>
    <col min="65" max="65" width="10.42578125" style="1203" hidden="1" customWidth="1"/>
    <col min="66" max="66" width="5.5703125" style="1204" bestFit="1" customWidth="1"/>
    <col min="67" max="68" width="5.5703125" style="1204" customWidth="1"/>
    <col min="69" max="69" width="8" style="1204" customWidth="1"/>
    <col min="70" max="70" width="6" style="1204" customWidth="1"/>
    <col min="71" max="71" width="6.140625" style="1204" customWidth="1"/>
    <col min="72" max="76" width="5.5703125" style="1204" customWidth="1"/>
    <col min="77" max="77" width="6.140625" style="1204" bestFit="1" customWidth="1"/>
    <col min="78" max="78" width="5.5703125" style="1203" bestFit="1" customWidth="1"/>
    <col min="79" max="16384" width="2.7109375" style="1203"/>
  </cols>
  <sheetData>
    <row r="1" spans="1:65" ht="15.75" customHeight="1">
      <c r="A1" s="1906" t="s">
        <v>2387</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c r="AR1" s="1907"/>
      <c r="AS1" s="1907"/>
      <c r="AT1" s="1907"/>
      <c r="AU1" s="1907"/>
      <c r="AV1" s="1907"/>
      <c r="AW1" s="1907"/>
      <c r="AX1" s="1907"/>
      <c r="AY1" s="1907"/>
      <c r="AZ1" s="1907"/>
      <c r="BA1" s="1907"/>
      <c r="BB1" s="1907"/>
      <c r="BC1" s="1907"/>
      <c r="BD1" s="1907"/>
      <c r="BE1" s="1908"/>
    </row>
    <row r="2" spans="1:65" ht="15.75" customHeight="1">
      <c r="A2" s="1909" t="s">
        <v>2386</v>
      </c>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c r="AR2" s="1910"/>
      <c r="AS2" s="1910"/>
      <c r="AT2" s="1910"/>
      <c r="AU2" s="1910"/>
      <c r="AV2" s="1910"/>
      <c r="AW2" s="1910"/>
      <c r="AX2" s="1910"/>
      <c r="AY2" s="1910"/>
      <c r="AZ2" s="1910"/>
      <c r="BA2" s="1910"/>
      <c r="BB2" s="1910"/>
      <c r="BC2" s="1910"/>
      <c r="BD2" s="1910"/>
      <c r="BE2" s="191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912" t="s">
        <v>2591</v>
      </c>
      <c r="AY3" s="1913"/>
      <c r="AZ3" s="1913"/>
      <c r="BA3" s="1914"/>
      <c r="BB3" s="1912" t="s">
        <v>2592</v>
      </c>
      <c r="BC3" s="1913"/>
      <c r="BD3" s="1913"/>
      <c r="BE3" s="1914"/>
    </row>
    <row r="4" spans="1:65" ht="15.75" customHeight="1" thickBot="1">
      <c r="A4" s="1206"/>
      <c r="B4" s="1208" t="s">
        <v>654</v>
      </c>
      <c r="C4" s="1208"/>
      <c r="D4" s="1208"/>
      <c r="E4" s="1208"/>
      <c r="F4" s="1208"/>
      <c r="G4" s="1207"/>
      <c r="H4" s="1207"/>
      <c r="I4" s="1207"/>
      <c r="J4" s="1207"/>
      <c r="K4" s="1207"/>
      <c r="L4" s="1901" t="str">
        <f>IF(Application!H18="","",Application!H18)</f>
        <v>Ross Center - Affordable Housing</v>
      </c>
      <c r="M4" s="1902"/>
      <c r="N4" s="1902"/>
      <c r="O4" s="1902"/>
      <c r="P4" s="1902"/>
      <c r="Q4" s="1902"/>
      <c r="R4" s="1902"/>
      <c r="S4" s="1902"/>
      <c r="T4" s="1902"/>
      <c r="U4" s="1902"/>
      <c r="V4" s="1902"/>
      <c r="W4" s="1902"/>
      <c r="X4" s="1902"/>
      <c r="Y4" s="1902"/>
      <c r="Z4" s="1902"/>
      <c r="AA4" s="1902"/>
      <c r="AB4" s="1902"/>
      <c r="AC4" s="1903"/>
      <c r="AD4" s="1207"/>
      <c r="AE4" s="1207"/>
      <c r="AF4" s="1915" t="s">
        <v>2385</v>
      </c>
      <c r="AG4" s="1915"/>
      <c r="AH4" s="1915"/>
      <c r="AI4" s="1915"/>
      <c r="AJ4" s="1915"/>
      <c r="AK4" s="1915"/>
      <c r="AL4" s="1915"/>
      <c r="AM4" s="1915"/>
      <c r="AN4" s="1915"/>
      <c r="AO4" s="1915"/>
      <c r="AP4" s="1916"/>
      <c r="AQ4" s="1917"/>
      <c r="AR4" s="1917"/>
      <c r="AS4" s="1917"/>
      <c r="AT4" s="1917"/>
      <c r="AU4" s="1917"/>
      <c r="AV4" s="1207"/>
      <c r="AW4" s="1207"/>
      <c r="AX4" s="1898" t="s">
        <v>2593</v>
      </c>
      <c r="AY4" s="1899"/>
      <c r="AZ4" s="1899"/>
      <c r="BA4" s="1900"/>
      <c r="BB4" s="1209">
        <f t="array" ref="BB4">ROUNDDOWN(SUM(IF((B19:I27&gt;0)*(B19:I27&lt;=30%),J19:O27,0))/J29,2)</f>
        <v>0.25</v>
      </c>
      <c r="BC4" s="1210"/>
      <c r="BD4" s="1210"/>
      <c r="BE4" s="1211"/>
    </row>
    <row r="5" spans="1:65"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915" t="s">
        <v>2384</v>
      </c>
      <c r="AG5" s="1915"/>
      <c r="AH5" s="1915"/>
      <c r="AI5" s="1915"/>
      <c r="AJ5" s="1915"/>
      <c r="AK5" s="1915"/>
      <c r="AL5" s="1915"/>
      <c r="AM5" s="1915"/>
      <c r="AN5" s="1915"/>
      <c r="AO5" s="1915"/>
      <c r="AP5" s="1916"/>
      <c r="AQ5" s="1917"/>
      <c r="AR5" s="1917"/>
      <c r="AS5" s="1917"/>
      <c r="AT5" s="1917"/>
      <c r="AU5" s="1917"/>
      <c r="AV5" s="1207"/>
      <c r="AW5" s="1207"/>
      <c r="AX5" s="1898" t="s">
        <v>2594</v>
      </c>
      <c r="AY5" s="1899"/>
      <c r="AZ5" s="1899"/>
      <c r="BA5" s="1900"/>
      <c r="BB5" s="1209">
        <f t="array" ref="BB5">ROUNDDOWN(SUM(IF((B19:I27&gt;0%)*(B19:I27&lt;=50%),J19:O27,0))/J29,2)</f>
        <v>0.49</v>
      </c>
      <c r="BC5" s="1210"/>
      <c r="BD5" s="1210"/>
      <c r="BE5" s="1211"/>
    </row>
    <row r="6" spans="1:65" ht="15.75" customHeight="1" thickBot="1">
      <c r="A6" s="1206"/>
      <c r="B6" s="1208" t="s">
        <v>2383</v>
      </c>
      <c r="C6" s="1207"/>
      <c r="D6" s="1207"/>
      <c r="E6" s="1207"/>
      <c r="F6" s="1207"/>
      <c r="G6" s="1207"/>
      <c r="H6" s="1207"/>
      <c r="I6" s="1207"/>
      <c r="J6" s="1207"/>
      <c r="K6" s="1207"/>
      <c r="L6" s="1901" t="str">
        <f>IF(Application!H16="","",Application!H16)</f>
        <v>Linc Housing Corporation (as Sole Member/Manager of Linc Ross LLC, the Managing General Partner of Linc Ross LP)</v>
      </c>
      <c r="M6" s="1902"/>
      <c r="N6" s="1902"/>
      <c r="O6" s="1902"/>
      <c r="P6" s="1902"/>
      <c r="Q6" s="1902"/>
      <c r="R6" s="1902"/>
      <c r="S6" s="1902"/>
      <c r="T6" s="1902"/>
      <c r="U6" s="1902"/>
      <c r="V6" s="1902"/>
      <c r="W6" s="1902"/>
      <c r="X6" s="1902"/>
      <c r="Y6" s="1902"/>
      <c r="Z6" s="1902"/>
      <c r="AA6" s="1902"/>
      <c r="AB6" s="1902"/>
      <c r="AC6" s="1903"/>
      <c r="AD6" s="1207"/>
      <c r="AE6" s="1207"/>
      <c r="AF6" s="1904" t="s">
        <v>2382</v>
      </c>
      <c r="AG6" s="1904"/>
      <c r="AH6" s="1904"/>
      <c r="AI6" s="1904"/>
      <c r="AJ6" s="1904"/>
      <c r="AK6" s="1904"/>
      <c r="AL6" s="1904"/>
      <c r="AM6" s="1904"/>
      <c r="AN6" s="1904"/>
      <c r="AO6" s="1904"/>
      <c r="AP6" s="1905"/>
      <c r="AQ6" s="1905"/>
      <c r="AR6" s="1905"/>
      <c r="AS6" s="1905"/>
      <c r="AT6" s="1905"/>
      <c r="AU6" s="1905"/>
      <c r="AV6" s="1207"/>
      <c r="AW6" s="1207"/>
      <c r="AX6" s="1898" t="s">
        <v>2595</v>
      </c>
      <c r="AY6" s="1899"/>
      <c r="AZ6" s="1899"/>
      <c r="BA6" s="1900"/>
      <c r="BB6" s="1209">
        <f t="array" ref="BB6">ROUNDDOWN(SUM(IF((B19:I27&gt;60%)*(B19:I27&lt;=80%),J19:O27,0))/J29,2)</f>
        <v>0</v>
      </c>
      <c r="BC6" s="1210"/>
      <c r="BD6" s="1210"/>
      <c r="BE6" s="1211"/>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1904" t="s">
        <v>2381</v>
      </c>
      <c r="AG7" s="1904"/>
      <c r="AH7" s="1904"/>
      <c r="AI7" s="1904"/>
      <c r="AJ7" s="1904"/>
      <c r="AK7" s="1904"/>
      <c r="AL7" s="1904"/>
      <c r="AM7" s="1904"/>
      <c r="AN7" s="1904"/>
      <c r="AO7" s="1904"/>
      <c r="AP7" s="1905"/>
      <c r="AQ7" s="1905"/>
      <c r="AR7" s="1905"/>
      <c r="AS7" s="1905"/>
      <c r="AT7" s="1905"/>
      <c r="AU7" s="1905"/>
      <c r="AV7" s="1207"/>
      <c r="AW7" s="1207"/>
      <c r="AX7" s="1207"/>
      <c r="AY7" s="1207"/>
      <c r="AZ7" s="1207"/>
      <c r="BA7" s="1207"/>
      <c r="BB7" s="1207"/>
      <c r="BC7" s="1207"/>
      <c r="BD7" s="1207"/>
      <c r="BE7" s="1212"/>
    </row>
    <row r="8" spans="1:65" thickBot="1">
      <c r="A8" s="1206"/>
      <c r="B8" s="1208" t="s">
        <v>2632</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1918" t="str">
        <f>Application!T197</f>
        <v>No</v>
      </c>
      <c r="AC8" s="1919"/>
      <c r="AD8" s="1920"/>
      <c r="AE8" s="1207"/>
      <c r="AF8" s="1904" t="s">
        <v>2380</v>
      </c>
      <c r="AG8" s="1904"/>
      <c r="AH8" s="1904"/>
      <c r="AI8" s="1904"/>
      <c r="AJ8" s="1904"/>
      <c r="AK8" s="1904"/>
      <c r="AL8" s="1904"/>
      <c r="AM8" s="1904"/>
      <c r="AN8" s="1904"/>
      <c r="AO8" s="1904"/>
      <c r="AP8" s="1905" t="s">
        <v>2052</v>
      </c>
      <c r="AQ8" s="1905"/>
      <c r="AR8" s="1905"/>
      <c r="AS8" s="1905"/>
      <c r="AT8" s="1905"/>
      <c r="AU8" s="1905"/>
      <c r="AV8" s="1207"/>
      <c r="AW8" s="1207"/>
      <c r="AX8" s="1207"/>
      <c r="AY8" s="1207"/>
      <c r="AZ8" s="1207"/>
      <c r="BA8" s="1207"/>
      <c r="BB8" s="1207"/>
      <c r="BC8" s="1207"/>
      <c r="BD8" s="1207"/>
      <c r="BE8" s="1212"/>
      <c r="BM8" s="1203" t="s">
        <v>1955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915" t="s">
        <v>2379</v>
      </c>
      <c r="AG9" s="1915"/>
      <c r="AH9" s="1915"/>
      <c r="AI9" s="1915"/>
      <c r="AJ9" s="1915"/>
      <c r="AK9" s="1915"/>
      <c r="AL9" s="1915"/>
      <c r="AM9" s="1915"/>
      <c r="AN9" s="1915"/>
      <c r="AO9" s="1915"/>
      <c r="AP9" s="1916"/>
      <c r="AQ9" s="1917"/>
      <c r="AR9" s="1917"/>
      <c r="AS9" s="1917"/>
      <c r="AT9" s="1917"/>
      <c r="AU9" s="1917"/>
      <c r="AV9" s="1207"/>
      <c r="AW9" s="1207"/>
      <c r="AX9" s="1207"/>
      <c r="AY9" s="1207"/>
      <c r="AZ9" s="1207"/>
      <c r="BA9" s="1207"/>
      <c r="BB9" s="1207"/>
      <c r="BC9" s="1207"/>
      <c r="BD9" s="1207"/>
      <c r="BE9" s="1212"/>
      <c r="BM9" s="1203" t="s">
        <v>2378</v>
      </c>
    </row>
    <row r="10" spans="1:65" ht="15">
      <c r="A10" s="1206"/>
      <c r="B10" s="1208" t="s">
        <v>2377</v>
      </c>
      <c r="C10" s="1208"/>
      <c r="D10" s="1208"/>
      <c r="E10" s="1208"/>
      <c r="F10" s="1208"/>
      <c r="G10" s="1208"/>
      <c r="H10" s="1208"/>
      <c r="I10" s="1208"/>
      <c r="J10" s="1208"/>
      <c r="K10" s="1208"/>
      <c r="L10" s="1208"/>
      <c r="M10" s="1207"/>
      <c r="N10" s="1933">
        <f>Application!AO635</f>
        <v>10973000</v>
      </c>
      <c r="O10" s="1933"/>
      <c r="P10" s="1933"/>
      <c r="Q10" s="1933"/>
      <c r="R10" s="1933"/>
      <c r="S10" s="1933"/>
      <c r="T10" s="1933"/>
      <c r="U10" s="1207"/>
      <c r="V10" s="1207"/>
      <c r="W10" s="1207"/>
      <c r="X10" s="1213"/>
      <c r="Y10" s="1213"/>
      <c r="Z10" s="1213"/>
      <c r="AA10" s="1213"/>
      <c r="AB10" s="1213"/>
      <c r="AC10" s="1213"/>
      <c r="AD10" s="1213"/>
      <c r="AE10" s="1213"/>
      <c r="AF10" s="1915" t="s">
        <v>2376</v>
      </c>
      <c r="AG10" s="1915"/>
      <c r="AH10" s="1915"/>
      <c r="AI10" s="1915"/>
      <c r="AJ10" s="1915"/>
      <c r="AK10" s="1915"/>
      <c r="AL10" s="1915"/>
      <c r="AM10" s="1915"/>
      <c r="AN10" s="1915"/>
      <c r="AO10" s="1915"/>
      <c r="AP10" s="1916"/>
      <c r="AQ10" s="1917"/>
      <c r="AR10" s="1917"/>
      <c r="AS10" s="1917"/>
      <c r="AT10" s="1917"/>
      <c r="AU10" s="1917"/>
      <c r="AV10" s="1213"/>
      <c r="AW10" s="1213"/>
      <c r="AX10" s="1207"/>
      <c r="AY10" s="1207"/>
      <c r="AZ10" s="1207"/>
      <c r="BA10" s="1207"/>
      <c r="BB10" s="1207"/>
      <c r="BC10" s="1207"/>
      <c r="BD10" s="1207"/>
      <c r="BE10" s="1212"/>
      <c r="BM10" s="1203" t="s">
        <v>2375</v>
      </c>
    </row>
    <row r="11" spans="1:65" ht="15">
      <c r="A11" s="1206"/>
      <c r="B11" s="1208" t="s">
        <v>2374</v>
      </c>
      <c r="C11" s="1208"/>
      <c r="D11" s="1208"/>
      <c r="E11" s="1208"/>
      <c r="F11" s="1208"/>
      <c r="G11" s="1208"/>
      <c r="H11" s="1208"/>
      <c r="I11" s="1208"/>
      <c r="J11" s="1208"/>
      <c r="K11" s="1208"/>
      <c r="L11" s="1208"/>
      <c r="M11" s="1207"/>
      <c r="N11" s="1933">
        <f>Application!AA943</f>
        <v>0</v>
      </c>
      <c r="O11" s="1933"/>
      <c r="P11" s="1933"/>
      <c r="Q11" s="1933"/>
      <c r="R11" s="1933"/>
      <c r="S11" s="1933"/>
      <c r="T11" s="1933"/>
      <c r="U11" s="1207"/>
      <c r="V11" s="1207"/>
      <c r="W11" s="1207"/>
      <c r="X11" s="1213"/>
      <c r="Y11" s="1213"/>
      <c r="Z11" s="1213"/>
      <c r="AA11" s="1213"/>
      <c r="AB11" s="1213"/>
      <c r="AC11" s="1213"/>
      <c r="AD11" s="1213"/>
      <c r="AE11" s="1213"/>
      <c r="AF11" s="1915" t="s">
        <v>2373</v>
      </c>
      <c r="AG11" s="1915"/>
      <c r="AH11" s="1915"/>
      <c r="AI11" s="1915"/>
      <c r="AJ11" s="1915"/>
      <c r="AK11" s="1915"/>
      <c r="AL11" s="1915"/>
      <c r="AM11" s="1915"/>
      <c r="AN11" s="1915"/>
      <c r="AO11" s="1915"/>
      <c r="AP11" s="1916"/>
      <c r="AQ11" s="1917"/>
      <c r="AR11" s="1917"/>
      <c r="AS11" s="1917"/>
      <c r="AT11" s="1917"/>
      <c r="AU11" s="1917"/>
      <c r="AV11" s="1213"/>
      <c r="AW11" s="1213"/>
      <c r="AX11" s="1207"/>
      <c r="AY11" s="1207"/>
      <c r="AZ11" s="1207"/>
      <c r="BA11" s="1207"/>
      <c r="BB11" s="1207"/>
      <c r="BC11" s="1207"/>
      <c r="BD11" s="1207"/>
      <c r="BE11" s="1212"/>
      <c r="BM11" s="1203" t="s">
        <v>2052</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1213"/>
      <c r="Y12" s="1213"/>
      <c r="Z12" s="1213"/>
      <c r="AA12" s="1213"/>
      <c r="AB12" s="1213"/>
      <c r="AC12" s="1213"/>
      <c r="AD12" s="1213"/>
      <c r="AE12" s="1213"/>
      <c r="AF12" s="1213"/>
      <c r="AG12" s="1213"/>
      <c r="AH12" s="1213"/>
      <c r="AI12" s="1213"/>
      <c r="AJ12" s="1213"/>
      <c r="AK12" s="1213"/>
      <c r="AL12" s="1213"/>
      <c r="AM12" s="1213"/>
      <c r="AN12" s="1213"/>
      <c r="AO12" s="1213"/>
      <c r="AP12" s="1213"/>
      <c r="AQ12" s="1213"/>
      <c r="AR12" s="1213"/>
      <c r="AS12" s="1213"/>
      <c r="AT12" s="1213"/>
      <c r="AU12" s="1213"/>
      <c r="AV12" s="1207"/>
      <c r="AW12" s="1207"/>
      <c r="AX12" s="1207"/>
      <c r="AY12" s="1207"/>
      <c r="AZ12" s="1207"/>
      <c r="BA12" s="1207"/>
      <c r="BB12" s="1207"/>
      <c r="BC12" s="1207"/>
      <c r="BD12" s="1207"/>
      <c r="BE12" s="1214"/>
      <c r="BM12" s="1203" t="s">
        <v>2372</v>
      </c>
    </row>
    <row r="13" spans="1:65" thickBot="1">
      <c r="A13" s="1207"/>
      <c r="B13" s="1921" t="s">
        <v>2371</v>
      </c>
      <c r="C13" s="1922"/>
      <c r="D13" s="1922"/>
      <c r="E13" s="1922"/>
      <c r="F13" s="1922"/>
      <c r="G13" s="1922"/>
      <c r="H13" s="1922"/>
      <c r="I13" s="1922"/>
      <c r="J13" s="1922"/>
      <c r="K13" s="1922"/>
      <c r="L13" s="1922"/>
      <c r="M13" s="1922"/>
      <c r="N13" s="1922"/>
      <c r="O13" s="1922"/>
      <c r="P13" s="1923"/>
      <c r="Q13" s="1924" t="s">
        <v>667</v>
      </c>
      <c r="R13" s="1925"/>
      <c r="S13" s="1925"/>
      <c r="T13" s="1926"/>
      <c r="U13" s="1213"/>
      <c r="V13" s="1207"/>
      <c r="W13" s="1207"/>
      <c r="X13" s="1207"/>
      <c r="Y13" s="1207"/>
      <c r="Z13" s="1207"/>
      <c r="AA13" s="1927" t="s">
        <v>2370</v>
      </c>
      <c r="AB13" s="1927"/>
      <c r="AC13" s="1927"/>
      <c r="AD13" s="1927"/>
      <c r="AE13" s="1927"/>
      <c r="AF13" s="1927"/>
      <c r="AG13" s="1927"/>
      <c r="AH13" s="1927"/>
      <c r="AI13" s="1927"/>
      <c r="AJ13" s="1927"/>
      <c r="AK13" s="1927"/>
      <c r="AL13" s="1927"/>
      <c r="AM13" s="1927"/>
      <c r="AN13" s="1927"/>
      <c r="AO13" s="1928">
        <f>Application!W481</f>
        <v>32</v>
      </c>
      <c r="AP13" s="1929"/>
      <c r="AQ13" s="1929"/>
      <c r="AR13" s="1929"/>
      <c r="AS13" s="1929"/>
      <c r="AT13" s="1213"/>
      <c r="AU13" s="1213"/>
      <c r="AV13" s="1213"/>
      <c r="AW13" s="1213"/>
      <c r="AX13" s="1213"/>
      <c r="AY13" s="1213"/>
      <c r="AZ13" s="1213"/>
      <c r="BA13" s="1213"/>
      <c r="BB13" s="1213"/>
      <c r="BC13" s="1213"/>
      <c r="BD13" s="1213"/>
      <c r="BE13" s="1214"/>
      <c r="BM13" s="1203" t="s">
        <v>2369</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930" t="s">
        <v>2368</v>
      </c>
      <c r="AB14" s="1930"/>
      <c r="AC14" s="1930"/>
      <c r="AD14" s="1930"/>
      <c r="AE14" s="1930"/>
      <c r="AF14" s="1930"/>
      <c r="AG14" s="1930"/>
      <c r="AH14" s="1930"/>
      <c r="AI14" s="1930"/>
      <c r="AJ14" s="1930"/>
      <c r="AK14" s="1930"/>
      <c r="AL14" s="1930"/>
      <c r="AM14" s="1930"/>
      <c r="AN14" s="1930"/>
      <c r="AO14" s="1931"/>
      <c r="AP14" s="1932"/>
      <c r="AQ14" s="1932"/>
      <c r="AR14" s="1932"/>
      <c r="AS14" s="1932"/>
      <c r="AT14" s="1213"/>
      <c r="AU14" s="1213"/>
      <c r="AV14" s="1213"/>
      <c r="AW14" s="1213"/>
      <c r="AX14" s="1213"/>
      <c r="AY14" s="1213"/>
      <c r="AZ14" s="1213"/>
      <c r="BA14" s="1213"/>
      <c r="BB14" s="1213"/>
      <c r="BC14" s="1213"/>
      <c r="BD14" s="1213"/>
      <c r="BE14" s="1214"/>
    </row>
    <row r="15" spans="1:65" thickBot="1">
      <c r="A15" s="1207"/>
      <c r="B15" s="1934" t="s">
        <v>2367</v>
      </c>
      <c r="C15" s="1935"/>
      <c r="D15" s="1935"/>
      <c r="E15" s="1935"/>
      <c r="F15" s="1935"/>
      <c r="G15" s="1935"/>
      <c r="H15" s="1935"/>
      <c r="I15" s="1935"/>
      <c r="J15" s="1935"/>
      <c r="K15" s="1935"/>
      <c r="L15" s="1935"/>
      <c r="M15" s="1935"/>
      <c r="N15" s="1935"/>
      <c r="O15" s="1935"/>
      <c r="P15" s="1935"/>
      <c r="Q15" s="1935"/>
      <c r="R15" s="1936"/>
      <c r="S15" s="1937" t="str">
        <f>IF(Application!AB215="","",Application!AB215)</f>
        <v/>
      </c>
      <c r="T15" s="1937"/>
      <c r="U15" s="1937"/>
      <c r="V15" s="1937"/>
      <c r="W15" s="1938"/>
      <c r="X15" s="1213"/>
      <c r="Y15" s="1207"/>
      <c r="Z15" s="1207"/>
      <c r="AA15" s="1927" t="s">
        <v>2366</v>
      </c>
      <c r="AB15" s="1927"/>
      <c r="AC15" s="1927"/>
      <c r="AD15" s="1927"/>
      <c r="AE15" s="1927"/>
      <c r="AF15" s="1927"/>
      <c r="AG15" s="1927"/>
      <c r="AH15" s="1927"/>
      <c r="AI15" s="1927"/>
      <c r="AJ15" s="1927"/>
      <c r="AK15" s="1927"/>
      <c r="AL15" s="1927"/>
      <c r="AM15" s="1927"/>
      <c r="AN15" s="1927"/>
      <c r="AO15" s="1931"/>
      <c r="AP15" s="1932"/>
      <c r="AQ15" s="1932"/>
      <c r="AR15" s="1932"/>
      <c r="AS15" s="1932"/>
      <c r="AT15" s="1213"/>
      <c r="AU15" s="1213"/>
      <c r="AV15" s="1213"/>
      <c r="AW15" s="1213"/>
      <c r="AX15" s="1213"/>
      <c r="AY15" s="1213"/>
      <c r="AZ15" s="1213"/>
      <c r="BA15" s="1213"/>
      <c r="BB15" s="1213"/>
      <c r="BC15" s="1213"/>
      <c r="BD15" s="1213"/>
      <c r="BE15" s="1214"/>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4"/>
    </row>
    <row r="17" spans="1:58" ht="15">
      <c r="A17" s="1207"/>
      <c r="B17" s="1939" t="s">
        <v>2365</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c r="AL17" s="1940"/>
      <c r="AM17" s="1940"/>
      <c r="AN17" s="1940"/>
      <c r="AO17" s="1940"/>
      <c r="AP17" s="1940"/>
      <c r="AQ17" s="1940"/>
      <c r="AR17" s="1940"/>
      <c r="AS17" s="1940"/>
      <c r="AT17" s="1940"/>
      <c r="AU17" s="1940"/>
      <c r="AV17" s="1940"/>
      <c r="AW17" s="1940"/>
      <c r="AX17" s="1940"/>
      <c r="AY17" s="1941"/>
      <c r="AZ17" s="1207"/>
      <c r="BA17" s="1207"/>
      <c r="BB17" s="1207"/>
      <c r="BC17" s="1207"/>
      <c r="BD17" s="1207"/>
      <c r="BE17" s="1214"/>
      <c r="BF17" s="1205"/>
    </row>
    <row r="18" spans="1:58" ht="15.75" customHeight="1">
      <c r="A18" s="1207"/>
      <c r="B18" s="1942" t="s">
        <v>2364</v>
      </c>
      <c r="C18" s="1943"/>
      <c r="D18" s="1943"/>
      <c r="E18" s="1943"/>
      <c r="F18" s="1943"/>
      <c r="G18" s="1943"/>
      <c r="H18" s="1943"/>
      <c r="I18" s="1944"/>
      <c r="J18" s="1945" t="s">
        <v>1573</v>
      </c>
      <c r="K18" s="1946"/>
      <c r="L18" s="1946"/>
      <c r="M18" s="1946"/>
      <c r="N18" s="1946"/>
      <c r="O18" s="1947"/>
      <c r="P18" s="1945" t="s">
        <v>323</v>
      </c>
      <c r="Q18" s="1946"/>
      <c r="R18" s="1946"/>
      <c r="S18" s="1946"/>
      <c r="T18" s="1946"/>
      <c r="U18" s="1947"/>
      <c r="V18" s="1945" t="s">
        <v>324</v>
      </c>
      <c r="W18" s="1946"/>
      <c r="X18" s="1946"/>
      <c r="Y18" s="1946"/>
      <c r="Z18" s="1946"/>
      <c r="AA18" s="1947"/>
      <c r="AB18" s="1945" t="s">
        <v>163</v>
      </c>
      <c r="AC18" s="1946"/>
      <c r="AD18" s="1946"/>
      <c r="AE18" s="1946"/>
      <c r="AF18" s="1946"/>
      <c r="AG18" s="1947"/>
      <c r="AH18" s="1945" t="s">
        <v>164</v>
      </c>
      <c r="AI18" s="1946"/>
      <c r="AJ18" s="1946"/>
      <c r="AK18" s="1946"/>
      <c r="AL18" s="1946"/>
      <c r="AM18" s="1947"/>
      <c r="AN18" s="1945" t="s">
        <v>165</v>
      </c>
      <c r="AO18" s="1946"/>
      <c r="AP18" s="1946"/>
      <c r="AQ18" s="1946"/>
      <c r="AR18" s="1946"/>
      <c r="AS18" s="1947"/>
      <c r="AT18" s="1945" t="s">
        <v>2363</v>
      </c>
      <c r="AU18" s="1946"/>
      <c r="AV18" s="1946"/>
      <c r="AW18" s="1946"/>
      <c r="AX18" s="1946"/>
      <c r="AY18" s="1948"/>
      <c r="AZ18" s="1207"/>
      <c r="BA18" s="1207"/>
      <c r="BB18" s="1207"/>
      <c r="BC18" s="1207"/>
      <c r="BD18" s="1207"/>
      <c r="BE18" s="1214"/>
    </row>
    <row r="19" spans="1:58" ht="15">
      <c r="A19" s="1207"/>
      <c r="B19" s="1949">
        <v>0.3</v>
      </c>
      <c r="C19" s="1950"/>
      <c r="D19" s="1950"/>
      <c r="E19" s="1950"/>
      <c r="F19" s="1950"/>
      <c r="G19" s="1950"/>
      <c r="H19" s="1950"/>
      <c r="I19" s="1951"/>
      <c r="J19" s="1952">
        <f t="shared" ref="J19:J24" si="0">SUM(P19:AS19)</f>
        <v>31</v>
      </c>
      <c r="K19" s="1953"/>
      <c r="L19" s="1953"/>
      <c r="M19" s="1953"/>
      <c r="N19" s="1953"/>
      <c r="O19" s="1954"/>
      <c r="P19" s="1952" cm="1">
        <f t="array" ref="P19">SUMPRODUCT((Application!$B$726:$B$760 = 'CalHFA Addendum'!P$18)*(Application!$AC$726:$AC$760 = 'CalHFA Addendum'!$B19),Application!$G$726:$G$760)</f>
        <v>0</v>
      </c>
      <c r="Q19" s="1953"/>
      <c r="R19" s="1953"/>
      <c r="S19" s="1953"/>
      <c r="T19" s="1953"/>
      <c r="U19" s="1954"/>
      <c r="V19" s="1952" cm="1">
        <f t="array" ref="V19">SUMPRODUCT((Application!$B$726:$B$760 = 'CalHFA Addendum'!V$18)*(Application!$AC$726:$AC$760 = 'CalHFA Addendum'!$B19),Application!$G$726:$G$760)</f>
        <v>23</v>
      </c>
      <c r="W19" s="1953"/>
      <c r="X19" s="1953"/>
      <c r="Y19" s="1953"/>
      <c r="Z19" s="1953"/>
      <c r="AA19" s="1954"/>
      <c r="AB19" s="1952" cm="1">
        <f t="array" ref="AB19">SUMPRODUCT((Application!$B$726:$B$760 = 'CalHFA Addendum'!AB$18)*(Application!$AC$726:$AC$760 = 'CalHFA Addendum'!$B19),Application!$G$726:$G$760)</f>
        <v>4</v>
      </c>
      <c r="AC19" s="1953"/>
      <c r="AD19" s="1953"/>
      <c r="AE19" s="1953"/>
      <c r="AF19" s="1953"/>
      <c r="AG19" s="1954"/>
      <c r="AH19" s="1952" cm="1">
        <f t="array" ref="AH19">SUMPRODUCT((Application!$B$726:$B$760 = 'CalHFA Addendum'!AH$18)*(Application!$AC$726:$AC$760 = 'CalHFA Addendum'!$B19),Application!$G$726:$G$760)</f>
        <v>4</v>
      </c>
      <c r="AI19" s="1953"/>
      <c r="AJ19" s="1953"/>
      <c r="AK19" s="1953"/>
      <c r="AL19" s="1953"/>
      <c r="AM19" s="1954"/>
      <c r="AN19" s="1952" cm="1">
        <f t="array" ref="AN19">SUMPRODUCT((Application!$B$726:$B$760 = 'CalHFA Addendum'!AN$18)*(Application!$AC$726:$AC$760 = 'CalHFA Addendum'!$B19),Application!$G$726:$G$760)</f>
        <v>0</v>
      </c>
      <c r="AO19" s="1953"/>
      <c r="AP19" s="1953"/>
      <c r="AQ19" s="1953"/>
      <c r="AR19" s="1953"/>
      <c r="AS19" s="1954"/>
      <c r="AT19" s="1955">
        <f>J19/$J$29</f>
        <v>0.25</v>
      </c>
      <c r="AU19" s="1956"/>
      <c r="AV19" s="1956"/>
      <c r="AW19" s="1956"/>
      <c r="AX19" s="1956"/>
      <c r="AY19" s="1957"/>
      <c r="AZ19" s="1215"/>
      <c r="BA19" s="1207"/>
      <c r="BB19" s="1207"/>
      <c r="BC19" s="1207"/>
      <c r="BD19" s="1207"/>
      <c r="BE19" s="1214"/>
    </row>
    <row r="20" spans="1:58" ht="15" customHeight="1">
      <c r="A20" s="1207"/>
      <c r="B20" s="1949">
        <v>0.4</v>
      </c>
      <c r="C20" s="1950"/>
      <c r="D20" s="1950"/>
      <c r="E20" s="1950"/>
      <c r="F20" s="1950"/>
      <c r="G20" s="1950"/>
      <c r="H20" s="1950"/>
      <c r="I20" s="1951"/>
      <c r="J20" s="1952">
        <f t="shared" si="0"/>
        <v>0</v>
      </c>
      <c r="K20" s="1953"/>
      <c r="L20" s="1953"/>
      <c r="M20" s="1953"/>
      <c r="N20" s="1953"/>
      <c r="O20" s="1954"/>
      <c r="P20" s="1952" cm="1">
        <f t="array" ref="P20">SUMPRODUCT((Application!$B$726:$B$760 = 'CalHFA Addendum'!P$18)*(Application!$AC$726:$AC$760 = 'CalHFA Addendum'!$B20),Application!$G$726:$G$760)</f>
        <v>0</v>
      </c>
      <c r="Q20" s="1953"/>
      <c r="R20" s="1953"/>
      <c r="S20" s="1953"/>
      <c r="T20" s="1953"/>
      <c r="U20" s="1954"/>
      <c r="V20" s="1952" cm="1">
        <f t="array" ref="V20">SUMPRODUCT((Application!$B$726:$B$760 = 'CalHFA Addendum'!V$18)*(Application!$AC$726:$AC$760 = 'CalHFA Addendum'!$B20),Application!$G$726:$G$760)</f>
        <v>0</v>
      </c>
      <c r="W20" s="1953"/>
      <c r="X20" s="1953"/>
      <c r="Y20" s="1953"/>
      <c r="Z20" s="1953"/>
      <c r="AA20" s="1954"/>
      <c r="AB20" s="1952" cm="1">
        <f t="array" ref="AB20">SUMPRODUCT((Application!$B$726:$B$760 = 'CalHFA Addendum'!AB$18)*(Application!$AC$726:$AC$760 = 'CalHFA Addendum'!$B20),Application!$G$726:$G$760)</f>
        <v>0</v>
      </c>
      <c r="AC20" s="1953"/>
      <c r="AD20" s="1953"/>
      <c r="AE20" s="1953"/>
      <c r="AF20" s="1953"/>
      <c r="AG20" s="1954"/>
      <c r="AH20" s="1952" cm="1">
        <f t="array" ref="AH20">SUMPRODUCT((Application!$B$726:$B$760 = 'CalHFA Addendum'!AH$18)*(Application!$AC$726:$AC$760 = 'CalHFA Addendum'!$B20),Application!$G$726:$G$760)</f>
        <v>0</v>
      </c>
      <c r="AI20" s="1953"/>
      <c r="AJ20" s="1953"/>
      <c r="AK20" s="1953"/>
      <c r="AL20" s="1953"/>
      <c r="AM20" s="1954"/>
      <c r="AN20" s="1952" cm="1">
        <f t="array" ref="AN20">SUMPRODUCT((Application!$B$726:$B$760 = 'CalHFA Addendum'!AN$18)*(Application!$AC$726:$AC$760 = 'CalHFA Addendum'!$B20),Application!$G$726:$G$760)</f>
        <v>0</v>
      </c>
      <c r="AO20" s="1953"/>
      <c r="AP20" s="1953"/>
      <c r="AQ20" s="1953"/>
      <c r="AR20" s="1953"/>
      <c r="AS20" s="1954"/>
      <c r="AT20" s="1955">
        <f t="shared" ref="AT20:AT29" si="1">J20/$J$29</f>
        <v>0</v>
      </c>
      <c r="AU20" s="1956"/>
      <c r="AV20" s="1956"/>
      <c r="AW20" s="1956"/>
      <c r="AX20" s="1956"/>
      <c r="AY20" s="1957"/>
      <c r="AZ20" s="1207"/>
      <c r="BA20" s="1207"/>
      <c r="BB20" s="1207"/>
      <c r="BC20" s="1207"/>
      <c r="BD20" s="1207"/>
      <c r="BE20" s="1214"/>
    </row>
    <row r="21" spans="1:58" ht="15">
      <c r="A21" s="1207"/>
      <c r="B21" s="1949">
        <v>0.5</v>
      </c>
      <c r="C21" s="1950"/>
      <c r="D21" s="1950"/>
      <c r="E21" s="1950"/>
      <c r="F21" s="1950"/>
      <c r="G21" s="1950"/>
      <c r="H21" s="1950"/>
      <c r="I21" s="1951"/>
      <c r="J21" s="1952">
        <f t="shared" si="0"/>
        <v>30</v>
      </c>
      <c r="K21" s="1953"/>
      <c r="L21" s="1953"/>
      <c r="M21" s="1953"/>
      <c r="N21" s="1953"/>
      <c r="O21" s="1954"/>
      <c r="P21" s="1952" cm="1">
        <f t="array" ref="P21">SUMPRODUCT((Application!$B$726:$B$760 = 'CalHFA Addendum'!P$18)*(Application!$AC$726:$AC$760 = 'CalHFA Addendum'!$B21),Application!$G$726:$G$760)</f>
        <v>0</v>
      </c>
      <c r="Q21" s="1953"/>
      <c r="R21" s="1953"/>
      <c r="S21" s="1953"/>
      <c r="T21" s="1953"/>
      <c r="U21" s="1954"/>
      <c r="V21" s="1952" cm="1">
        <f t="array" ref="V21">SUMPRODUCT((Application!$B$726:$B$760 = 'CalHFA Addendum'!V$18)*(Application!$AC$726:$AC$760 = 'CalHFA Addendum'!$B21),Application!$G$726:$G$760)</f>
        <v>9</v>
      </c>
      <c r="W21" s="1953"/>
      <c r="X21" s="1953"/>
      <c r="Y21" s="1953"/>
      <c r="Z21" s="1953"/>
      <c r="AA21" s="1954"/>
      <c r="AB21" s="1952" cm="1">
        <f t="array" ref="AB21">SUMPRODUCT((Application!$B$726:$B$760 = 'CalHFA Addendum'!AB$18)*(Application!$AC$726:$AC$760 = 'CalHFA Addendum'!$B21),Application!$G$726:$G$760)</f>
        <v>0</v>
      </c>
      <c r="AC21" s="1953"/>
      <c r="AD21" s="1953"/>
      <c r="AE21" s="1953"/>
      <c r="AF21" s="1953"/>
      <c r="AG21" s="1954"/>
      <c r="AH21" s="1952" cm="1">
        <f t="array" ref="AH21">SUMPRODUCT((Application!$B$726:$B$760 = 'CalHFA Addendum'!AH$18)*(Application!$AC$726:$AC$760 = 'CalHFA Addendum'!$B21),Application!$G$726:$G$760)</f>
        <v>21</v>
      </c>
      <c r="AI21" s="1953"/>
      <c r="AJ21" s="1953"/>
      <c r="AK21" s="1953"/>
      <c r="AL21" s="1953"/>
      <c r="AM21" s="1954"/>
      <c r="AN21" s="1952" cm="1">
        <f t="array" ref="AN21">SUMPRODUCT((Application!$B$726:$B$760 = 'CalHFA Addendum'!AN$18)*(Application!$AC$726:$AC$760 = 'CalHFA Addendum'!$B21),Application!$G$726:$G$760)</f>
        <v>0</v>
      </c>
      <c r="AO21" s="1953"/>
      <c r="AP21" s="1953"/>
      <c r="AQ21" s="1953"/>
      <c r="AR21" s="1953"/>
      <c r="AS21" s="1954"/>
      <c r="AT21" s="1955">
        <f t="shared" si="1"/>
        <v>0.24193548387096775</v>
      </c>
      <c r="AU21" s="1956"/>
      <c r="AV21" s="1956"/>
      <c r="AW21" s="1956"/>
      <c r="AX21" s="1956"/>
      <c r="AY21" s="1957"/>
      <c r="AZ21" s="1207"/>
      <c r="BA21" s="1207"/>
      <c r="BB21" s="1207"/>
      <c r="BC21" s="1207"/>
      <c r="BD21" s="1207"/>
      <c r="BE21" s="1214"/>
    </row>
    <row r="22" spans="1:58" ht="15">
      <c r="A22" s="1207"/>
      <c r="B22" s="1949">
        <v>0.6</v>
      </c>
      <c r="C22" s="1950"/>
      <c r="D22" s="1950"/>
      <c r="E22" s="1950"/>
      <c r="F22" s="1950"/>
      <c r="G22" s="1950"/>
      <c r="H22" s="1950"/>
      <c r="I22" s="1951"/>
      <c r="J22" s="1952">
        <f t="shared" si="0"/>
        <v>61</v>
      </c>
      <c r="K22" s="1953"/>
      <c r="L22" s="1953"/>
      <c r="M22" s="1953"/>
      <c r="N22" s="1953"/>
      <c r="O22" s="1954"/>
      <c r="P22" s="1952" cm="1">
        <f t="array" ref="P22">SUMPRODUCT((Application!$B$726:$B$760 = 'CalHFA Addendum'!P$18)*(Application!$AC$726:$AC$760 = 'CalHFA Addendum'!$B22),Application!$G$726:$G$760)</f>
        <v>0</v>
      </c>
      <c r="Q22" s="1953"/>
      <c r="R22" s="1953"/>
      <c r="S22" s="1953"/>
      <c r="T22" s="1953"/>
      <c r="U22" s="1954"/>
      <c r="V22" s="1952" cm="1">
        <f t="array" ref="V22">SUMPRODUCT((Application!$B$726:$B$760 = 'CalHFA Addendum'!V$18)*(Application!$AC$726:$AC$760 = 'CalHFA Addendum'!$B22),Application!$G$726:$G$760)</f>
        <v>26</v>
      </c>
      <c r="W22" s="1953"/>
      <c r="X22" s="1953"/>
      <c r="Y22" s="1953"/>
      <c r="Z22" s="1953"/>
      <c r="AA22" s="1954"/>
      <c r="AB22" s="1952" cm="1">
        <f t="array" ref="AB22">SUMPRODUCT((Application!$B$726:$B$760 = 'CalHFA Addendum'!AB$18)*(Application!$AC$726:$AC$760 = 'CalHFA Addendum'!$B22),Application!$G$726:$G$760)</f>
        <v>27</v>
      </c>
      <c r="AC22" s="1953"/>
      <c r="AD22" s="1953"/>
      <c r="AE22" s="1953"/>
      <c r="AF22" s="1953"/>
      <c r="AG22" s="1954"/>
      <c r="AH22" s="1952" cm="1">
        <f t="array" ref="AH22">SUMPRODUCT((Application!$B$726:$B$760 = 'CalHFA Addendum'!AH$18)*(Application!$AC$726:$AC$760 = 'CalHFA Addendum'!$B22),Application!$G$726:$G$760)</f>
        <v>8</v>
      </c>
      <c r="AI22" s="1953"/>
      <c r="AJ22" s="1953"/>
      <c r="AK22" s="1953"/>
      <c r="AL22" s="1953"/>
      <c r="AM22" s="1954"/>
      <c r="AN22" s="1952" cm="1">
        <f t="array" ref="AN22">SUMPRODUCT((Application!$B$726:$B$760 = 'CalHFA Addendum'!AN$18)*(Application!$AC$726:$AC$760 = 'CalHFA Addendum'!$B22),Application!$G$726:$G$760)</f>
        <v>0</v>
      </c>
      <c r="AO22" s="1953"/>
      <c r="AP22" s="1953"/>
      <c r="AQ22" s="1953"/>
      <c r="AR22" s="1953"/>
      <c r="AS22" s="1954"/>
      <c r="AT22" s="1955">
        <f t="shared" si="1"/>
        <v>0.49193548387096775</v>
      </c>
      <c r="AU22" s="1956"/>
      <c r="AV22" s="1956"/>
      <c r="AW22" s="1956"/>
      <c r="AX22" s="1956"/>
      <c r="AY22" s="1957"/>
      <c r="AZ22" s="1207"/>
      <c r="BA22" s="1207"/>
      <c r="BB22" s="1207"/>
      <c r="BC22" s="1207"/>
      <c r="BD22" s="1207"/>
      <c r="BE22" s="1214"/>
    </row>
    <row r="23" spans="1:58" ht="15">
      <c r="A23" s="1207"/>
      <c r="B23" s="1949">
        <v>0.7</v>
      </c>
      <c r="C23" s="1950"/>
      <c r="D23" s="1950"/>
      <c r="E23" s="1950"/>
      <c r="F23" s="1950"/>
      <c r="G23" s="1950"/>
      <c r="H23" s="1950"/>
      <c r="I23" s="1951"/>
      <c r="J23" s="1952">
        <f t="shared" si="0"/>
        <v>0</v>
      </c>
      <c r="K23" s="1953"/>
      <c r="L23" s="1953"/>
      <c r="M23" s="1953"/>
      <c r="N23" s="1953"/>
      <c r="O23" s="1954"/>
      <c r="P23" s="1952" cm="1">
        <f t="array" ref="P23">SUMPRODUCT((Application!$B$726:$B$760 = 'CalHFA Addendum'!P$18)*(Application!$AC$726:$AC$760 = 'CalHFA Addendum'!$B23),Application!$G$726:$G$760)</f>
        <v>0</v>
      </c>
      <c r="Q23" s="1953"/>
      <c r="R23" s="1953"/>
      <c r="S23" s="1953"/>
      <c r="T23" s="1953"/>
      <c r="U23" s="1954"/>
      <c r="V23" s="1952" cm="1">
        <f t="array" ref="V23">SUMPRODUCT((Application!$B$726:$B$760 = 'CalHFA Addendum'!V$18)*(Application!$AC$726:$AC$760 = 'CalHFA Addendum'!$B23),Application!$G$726:$G$760)</f>
        <v>0</v>
      </c>
      <c r="W23" s="1953"/>
      <c r="X23" s="1953"/>
      <c r="Y23" s="1953"/>
      <c r="Z23" s="1953"/>
      <c r="AA23" s="1954"/>
      <c r="AB23" s="1952" cm="1">
        <f t="array" ref="AB23">SUMPRODUCT((Application!$B$726:$B$760 = 'CalHFA Addendum'!AB$18)*(Application!$AC$726:$AC$760 = 'CalHFA Addendum'!$B23),Application!$G$726:$G$760)</f>
        <v>0</v>
      </c>
      <c r="AC23" s="1953"/>
      <c r="AD23" s="1953"/>
      <c r="AE23" s="1953"/>
      <c r="AF23" s="1953"/>
      <c r="AG23" s="1954"/>
      <c r="AH23" s="1952" cm="1">
        <f t="array" ref="AH23">SUMPRODUCT((Application!$B$726:$B$760 = 'CalHFA Addendum'!AH$18)*(Application!$AC$726:$AC$760 = 'CalHFA Addendum'!$B23),Application!$G$726:$G$760)</f>
        <v>0</v>
      </c>
      <c r="AI23" s="1953"/>
      <c r="AJ23" s="1953"/>
      <c r="AK23" s="1953"/>
      <c r="AL23" s="1953"/>
      <c r="AM23" s="1954"/>
      <c r="AN23" s="1952" cm="1">
        <f t="array" ref="AN23">SUMPRODUCT((Application!$B$726:$B$760 = 'CalHFA Addendum'!AN$18)*(Application!$AC$726:$AC$760 = 'CalHFA Addendum'!$B23),Application!$G$726:$G$760)</f>
        <v>0</v>
      </c>
      <c r="AO23" s="1953"/>
      <c r="AP23" s="1953"/>
      <c r="AQ23" s="1953"/>
      <c r="AR23" s="1953"/>
      <c r="AS23" s="1954"/>
      <c r="AT23" s="1955">
        <f t="shared" si="1"/>
        <v>0</v>
      </c>
      <c r="AU23" s="1956"/>
      <c r="AV23" s="1956"/>
      <c r="AW23" s="1956"/>
      <c r="AX23" s="1956"/>
      <c r="AY23" s="1957"/>
      <c r="AZ23" s="1207"/>
      <c r="BA23" s="1207"/>
      <c r="BB23" s="1207"/>
      <c r="BC23" s="1207"/>
      <c r="BD23" s="1207"/>
      <c r="BE23" s="1214"/>
    </row>
    <row r="24" spans="1:58" ht="15">
      <c r="A24" s="1207"/>
      <c r="B24" s="1949">
        <v>0.8</v>
      </c>
      <c r="C24" s="1950"/>
      <c r="D24" s="1950"/>
      <c r="E24" s="1950"/>
      <c r="F24" s="1950"/>
      <c r="G24" s="1950"/>
      <c r="H24" s="1950"/>
      <c r="I24" s="1951"/>
      <c r="J24" s="1952">
        <f t="shared" si="0"/>
        <v>0</v>
      </c>
      <c r="K24" s="1953"/>
      <c r="L24" s="1953"/>
      <c r="M24" s="1953"/>
      <c r="N24" s="1953"/>
      <c r="O24" s="1954"/>
      <c r="P24" s="1952" cm="1">
        <f t="array" ref="P24">SUMPRODUCT((Application!$B$726:$B$760 = 'CalHFA Addendum'!P$18)*(Application!$AC$726:$AC$760 = 'CalHFA Addendum'!$B24),Application!$G$726:$G$760)</f>
        <v>0</v>
      </c>
      <c r="Q24" s="1953"/>
      <c r="R24" s="1953"/>
      <c r="S24" s="1953"/>
      <c r="T24" s="1953"/>
      <c r="U24" s="1954"/>
      <c r="V24" s="1952" cm="1">
        <f t="array" ref="V24">SUMPRODUCT((Application!$B$726:$B$760 = 'CalHFA Addendum'!V$18)*(Application!$AC$726:$AC$760 = 'CalHFA Addendum'!$B24),Application!$G$726:$G$760)</f>
        <v>0</v>
      </c>
      <c r="W24" s="1953"/>
      <c r="X24" s="1953"/>
      <c r="Y24" s="1953"/>
      <c r="Z24" s="1953"/>
      <c r="AA24" s="1954"/>
      <c r="AB24" s="1952" cm="1">
        <f t="array" ref="AB24">SUMPRODUCT((Application!$B$726:$B$760 = 'CalHFA Addendum'!AB$18)*(Application!$AC$726:$AC$760 = 'CalHFA Addendum'!$B24),Application!$G$726:$G$760)</f>
        <v>0</v>
      </c>
      <c r="AC24" s="1953"/>
      <c r="AD24" s="1953"/>
      <c r="AE24" s="1953"/>
      <c r="AF24" s="1953"/>
      <c r="AG24" s="1954"/>
      <c r="AH24" s="1952" cm="1">
        <f t="array" ref="AH24">SUMPRODUCT((Application!$B$726:$B$760 = 'CalHFA Addendum'!AH$18)*(Application!$AC$726:$AC$760 = 'CalHFA Addendum'!$B24),Application!$G$726:$G$760)</f>
        <v>0</v>
      </c>
      <c r="AI24" s="1953"/>
      <c r="AJ24" s="1953"/>
      <c r="AK24" s="1953"/>
      <c r="AL24" s="1953"/>
      <c r="AM24" s="1954"/>
      <c r="AN24" s="1952" cm="1">
        <f t="array" ref="AN24">SUMPRODUCT((Application!$B$726:$B$760 = 'CalHFA Addendum'!AN$18)*(Application!$AC$726:$AC$760 = 'CalHFA Addendum'!$B24),Application!$G$726:$G$760)</f>
        <v>0</v>
      </c>
      <c r="AO24" s="1953"/>
      <c r="AP24" s="1953"/>
      <c r="AQ24" s="1953"/>
      <c r="AR24" s="1953"/>
      <c r="AS24" s="1954"/>
      <c r="AT24" s="1955">
        <f t="shared" si="1"/>
        <v>0</v>
      </c>
      <c r="AU24" s="1956"/>
      <c r="AV24" s="1956"/>
      <c r="AW24" s="1956"/>
      <c r="AX24" s="1956"/>
      <c r="AY24" s="1957"/>
      <c r="AZ24" s="1207"/>
      <c r="BA24" s="1207"/>
      <c r="BB24" s="1207"/>
      <c r="BC24" s="1207"/>
      <c r="BD24" s="1207"/>
      <c r="BE24" s="1214"/>
    </row>
    <row r="25" spans="1:58" ht="15">
      <c r="A25" s="1207"/>
      <c r="B25" s="1949">
        <v>0.9</v>
      </c>
      <c r="C25" s="1950"/>
      <c r="D25" s="1950"/>
      <c r="E25" s="1950"/>
      <c r="F25" s="1950"/>
      <c r="G25" s="1950"/>
      <c r="H25" s="1950"/>
      <c r="I25" s="1951"/>
      <c r="J25" s="1958"/>
      <c r="K25" s="1959"/>
      <c r="L25" s="1959"/>
      <c r="M25" s="1959"/>
      <c r="N25" s="1959"/>
      <c r="O25" s="1960"/>
      <c r="P25" s="1958"/>
      <c r="Q25" s="1959"/>
      <c r="R25" s="1959"/>
      <c r="S25" s="1959"/>
      <c r="T25" s="1959"/>
      <c r="U25" s="1960"/>
      <c r="V25" s="1958"/>
      <c r="W25" s="1959"/>
      <c r="X25" s="1959"/>
      <c r="Y25" s="1959"/>
      <c r="Z25" s="1959"/>
      <c r="AA25" s="1960"/>
      <c r="AB25" s="1958"/>
      <c r="AC25" s="1959"/>
      <c r="AD25" s="1959"/>
      <c r="AE25" s="1959"/>
      <c r="AF25" s="1959"/>
      <c r="AG25" s="1960"/>
      <c r="AH25" s="1958"/>
      <c r="AI25" s="1959"/>
      <c r="AJ25" s="1959"/>
      <c r="AK25" s="1959"/>
      <c r="AL25" s="1959"/>
      <c r="AM25" s="1960"/>
      <c r="AN25" s="1958"/>
      <c r="AO25" s="1959"/>
      <c r="AP25" s="1959"/>
      <c r="AQ25" s="1959"/>
      <c r="AR25" s="1959"/>
      <c r="AS25" s="1960"/>
      <c r="AT25" s="1955">
        <f t="shared" si="1"/>
        <v>0</v>
      </c>
      <c r="AU25" s="1956"/>
      <c r="AV25" s="1956"/>
      <c r="AW25" s="1956"/>
      <c r="AX25" s="1956"/>
      <c r="AY25" s="1957"/>
      <c r="AZ25" s="1207"/>
      <c r="BA25" s="1207"/>
      <c r="BB25" s="1207"/>
      <c r="BC25" s="1207"/>
      <c r="BD25" s="1207"/>
      <c r="BE25" s="1214"/>
    </row>
    <row r="26" spans="1:58" ht="15">
      <c r="A26" s="1207"/>
      <c r="B26" s="1949">
        <v>1</v>
      </c>
      <c r="C26" s="1950"/>
      <c r="D26" s="1950"/>
      <c r="E26" s="1950"/>
      <c r="F26" s="1950"/>
      <c r="G26" s="1950"/>
      <c r="H26" s="1950"/>
      <c r="I26" s="1951"/>
      <c r="J26" s="1958"/>
      <c r="K26" s="1959"/>
      <c r="L26" s="1959"/>
      <c r="M26" s="1959"/>
      <c r="N26" s="1959"/>
      <c r="O26" s="1960"/>
      <c r="P26" s="1958"/>
      <c r="Q26" s="1959"/>
      <c r="R26" s="1959"/>
      <c r="S26" s="1959"/>
      <c r="T26" s="1959"/>
      <c r="U26" s="1960"/>
      <c r="V26" s="1958"/>
      <c r="W26" s="1959"/>
      <c r="X26" s="1959"/>
      <c r="Y26" s="1959"/>
      <c r="Z26" s="1959"/>
      <c r="AA26" s="1960"/>
      <c r="AB26" s="1958"/>
      <c r="AC26" s="1959"/>
      <c r="AD26" s="1959"/>
      <c r="AE26" s="1959"/>
      <c r="AF26" s="1959"/>
      <c r="AG26" s="1960"/>
      <c r="AH26" s="1958"/>
      <c r="AI26" s="1959"/>
      <c r="AJ26" s="1959"/>
      <c r="AK26" s="1959"/>
      <c r="AL26" s="1959"/>
      <c r="AM26" s="1960"/>
      <c r="AN26" s="1958"/>
      <c r="AO26" s="1959"/>
      <c r="AP26" s="1959"/>
      <c r="AQ26" s="1959"/>
      <c r="AR26" s="1959"/>
      <c r="AS26" s="1960"/>
      <c r="AT26" s="1955">
        <f t="shared" si="1"/>
        <v>0</v>
      </c>
      <c r="AU26" s="1956"/>
      <c r="AV26" s="1956"/>
      <c r="AW26" s="1956"/>
      <c r="AX26" s="1956"/>
      <c r="AY26" s="1957"/>
      <c r="AZ26" s="1207"/>
      <c r="BA26" s="1207"/>
      <c r="BB26" s="1207"/>
      <c r="BC26" s="1207"/>
      <c r="BD26" s="1207"/>
      <c r="BE26" s="1214"/>
    </row>
    <row r="27" spans="1:58" ht="15">
      <c r="A27" s="1207"/>
      <c r="B27" s="1949">
        <v>1.2</v>
      </c>
      <c r="C27" s="1950"/>
      <c r="D27" s="1950"/>
      <c r="E27" s="1950"/>
      <c r="F27" s="1950"/>
      <c r="G27" s="1950"/>
      <c r="H27" s="1950"/>
      <c r="I27" s="1951"/>
      <c r="J27" s="1958"/>
      <c r="K27" s="1959"/>
      <c r="L27" s="1959"/>
      <c r="M27" s="1959"/>
      <c r="N27" s="1959"/>
      <c r="O27" s="1960"/>
      <c r="P27" s="1958"/>
      <c r="Q27" s="1959"/>
      <c r="R27" s="1959"/>
      <c r="S27" s="1959"/>
      <c r="T27" s="1959"/>
      <c r="U27" s="1960"/>
      <c r="V27" s="1958"/>
      <c r="W27" s="1959"/>
      <c r="X27" s="1959"/>
      <c r="Y27" s="1959"/>
      <c r="Z27" s="1959"/>
      <c r="AA27" s="1960"/>
      <c r="AB27" s="1958"/>
      <c r="AC27" s="1959"/>
      <c r="AD27" s="1959"/>
      <c r="AE27" s="1959"/>
      <c r="AF27" s="1959"/>
      <c r="AG27" s="1960"/>
      <c r="AH27" s="1958"/>
      <c r="AI27" s="1959"/>
      <c r="AJ27" s="1959"/>
      <c r="AK27" s="1959"/>
      <c r="AL27" s="1959"/>
      <c r="AM27" s="1960"/>
      <c r="AN27" s="1958"/>
      <c r="AO27" s="1959"/>
      <c r="AP27" s="1959"/>
      <c r="AQ27" s="1959"/>
      <c r="AR27" s="1959"/>
      <c r="AS27" s="1960"/>
      <c r="AT27" s="1955">
        <f t="shared" si="1"/>
        <v>0</v>
      </c>
      <c r="AU27" s="1956"/>
      <c r="AV27" s="1956"/>
      <c r="AW27" s="1956"/>
      <c r="AX27" s="1956"/>
      <c r="AY27" s="1957"/>
      <c r="AZ27" s="1207"/>
      <c r="BA27" s="1207"/>
      <c r="BB27" s="1207"/>
      <c r="BC27" s="1207"/>
      <c r="BD27" s="1207"/>
      <c r="BE27" s="1214"/>
    </row>
    <row r="28" spans="1:58" thickBot="1">
      <c r="A28" s="1207"/>
      <c r="B28" s="1961" t="s">
        <v>2362</v>
      </c>
      <c r="C28" s="1962"/>
      <c r="D28" s="1962"/>
      <c r="E28" s="1962"/>
      <c r="F28" s="1962"/>
      <c r="G28" s="1962"/>
      <c r="H28" s="1962"/>
      <c r="I28" s="1963"/>
      <c r="J28" s="1964">
        <f>SUM(P28:AS28)</f>
        <v>2</v>
      </c>
      <c r="K28" s="1965"/>
      <c r="L28" s="1965"/>
      <c r="M28" s="1965"/>
      <c r="N28" s="1965"/>
      <c r="O28" s="1966"/>
      <c r="P28" s="1964">
        <f>_xlfn.IFNA(VLOOKUP(P$18,Application!$J$781:$S$784,6,FALSE), 0)</f>
        <v>0</v>
      </c>
      <c r="Q28" s="1965"/>
      <c r="R28" s="1965"/>
      <c r="S28" s="1965"/>
      <c r="T28" s="1965"/>
      <c r="U28" s="1966"/>
      <c r="V28" s="1964">
        <f>_xlfn.IFNA(VLOOKUP(V$18,Application!$J$781:$S$784,6,FALSE), 0)</f>
        <v>0</v>
      </c>
      <c r="W28" s="1965"/>
      <c r="X28" s="1965"/>
      <c r="Y28" s="1965"/>
      <c r="Z28" s="1965"/>
      <c r="AA28" s="1966"/>
      <c r="AB28" s="1964">
        <f>_xlfn.IFNA(VLOOKUP(AB$18,Application!$J$781:$S$784,6,FALSE), 0)</f>
        <v>2</v>
      </c>
      <c r="AC28" s="1965"/>
      <c r="AD28" s="1965"/>
      <c r="AE28" s="1965"/>
      <c r="AF28" s="1965"/>
      <c r="AG28" s="1966"/>
      <c r="AH28" s="1964">
        <f>_xlfn.IFNA(VLOOKUP(AH$18,Application!$J$781:$S$784,6,FALSE), 0)</f>
        <v>0</v>
      </c>
      <c r="AI28" s="1965"/>
      <c r="AJ28" s="1965"/>
      <c r="AK28" s="1965"/>
      <c r="AL28" s="1965"/>
      <c r="AM28" s="1966"/>
      <c r="AN28" s="1964">
        <f>_xlfn.IFNA(VLOOKUP(AN$18,Application!$J$781:$S$784,6,FALSE), 0)</f>
        <v>0</v>
      </c>
      <c r="AO28" s="1965"/>
      <c r="AP28" s="1965"/>
      <c r="AQ28" s="1965"/>
      <c r="AR28" s="1965"/>
      <c r="AS28" s="1966"/>
      <c r="AT28" s="1967">
        <f t="shared" si="1"/>
        <v>1.6129032258064516E-2</v>
      </c>
      <c r="AU28" s="1968"/>
      <c r="AV28" s="1968"/>
      <c r="AW28" s="1968"/>
      <c r="AX28" s="1968"/>
      <c r="AY28" s="1969"/>
      <c r="AZ28" s="1207"/>
      <c r="BA28" s="1207"/>
      <c r="BB28" s="1207"/>
      <c r="BC28" s="1207"/>
      <c r="BD28" s="1207"/>
      <c r="BE28" s="1214"/>
    </row>
    <row r="29" spans="1:58" thickBot="1">
      <c r="A29" s="1207"/>
      <c r="B29" s="1998" t="s">
        <v>1573</v>
      </c>
      <c r="C29" s="1971"/>
      <c r="D29" s="1971"/>
      <c r="E29" s="1971"/>
      <c r="F29" s="1971"/>
      <c r="G29" s="1971"/>
      <c r="H29" s="1971"/>
      <c r="I29" s="1972"/>
      <c r="J29" s="1970">
        <f>SUM(J19:O28)</f>
        <v>124</v>
      </c>
      <c r="K29" s="1971"/>
      <c r="L29" s="1971"/>
      <c r="M29" s="1971"/>
      <c r="N29" s="1971"/>
      <c r="O29" s="1972"/>
      <c r="P29" s="1970">
        <f>SUM(P19:U28)</f>
        <v>0</v>
      </c>
      <c r="Q29" s="1971"/>
      <c r="R29" s="1971"/>
      <c r="S29" s="1971"/>
      <c r="T29" s="1971"/>
      <c r="U29" s="1972"/>
      <c r="V29" s="1970">
        <f>SUM(V19:AA28)</f>
        <v>58</v>
      </c>
      <c r="W29" s="1971"/>
      <c r="X29" s="1971"/>
      <c r="Y29" s="1971"/>
      <c r="Z29" s="1971"/>
      <c r="AA29" s="1972"/>
      <c r="AB29" s="1970">
        <f>SUM(AB19:AG28)</f>
        <v>33</v>
      </c>
      <c r="AC29" s="1971"/>
      <c r="AD29" s="1971"/>
      <c r="AE29" s="1971"/>
      <c r="AF29" s="1971"/>
      <c r="AG29" s="1972"/>
      <c r="AH29" s="1970">
        <f>SUM(AH19:AM28)</f>
        <v>33</v>
      </c>
      <c r="AI29" s="1971"/>
      <c r="AJ29" s="1971"/>
      <c r="AK29" s="1971"/>
      <c r="AL29" s="1971"/>
      <c r="AM29" s="1972"/>
      <c r="AN29" s="1970">
        <f>SUM(AN19:AS28)</f>
        <v>0</v>
      </c>
      <c r="AO29" s="1971"/>
      <c r="AP29" s="1971"/>
      <c r="AQ29" s="1971"/>
      <c r="AR29" s="1971"/>
      <c r="AS29" s="1972"/>
      <c r="AT29" s="1973">
        <f t="shared" si="1"/>
        <v>1</v>
      </c>
      <c r="AU29" s="1974"/>
      <c r="AV29" s="1974"/>
      <c r="AW29" s="1974"/>
      <c r="AX29" s="1974"/>
      <c r="AY29" s="1975"/>
      <c r="AZ29" s="1207"/>
      <c r="BA29" s="1207"/>
      <c r="BB29" s="1207"/>
      <c r="BC29" s="1207"/>
      <c r="BD29" s="1207"/>
      <c r="BE29" s="1214"/>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4"/>
    </row>
    <row r="31" spans="1:58" thickBot="1">
      <c r="A31" s="1207"/>
      <c r="B31" s="1976" t="s">
        <v>2361</v>
      </c>
      <c r="C31" s="1977"/>
      <c r="D31" s="1977"/>
      <c r="E31" s="1977"/>
      <c r="F31" s="1977"/>
      <c r="G31" s="1977"/>
      <c r="H31" s="1977"/>
      <c r="I31" s="1977"/>
      <c r="J31" s="1977"/>
      <c r="K31" s="1977"/>
      <c r="L31" s="1977"/>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77"/>
      <c r="AO31" s="1977"/>
      <c r="AP31" s="1977"/>
      <c r="AQ31" s="1977"/>
      <c r="AR31" s="1977"/>
      <c r="AS31" s="1977"/>
      <c r="AT31" s="1977"/>
      <c r="AU31" s="1977"/>
      <c r="AV31" s="1977"/>
      <c r="AW31" s="1977"/>
      <c r="AX31" s="1977"/>
      <c r="AY31" s="1977"/>
      <c r="AZ31" s="1977"/>
      <c r="BA31" s="1977"/>
      <c r="BB31" s="1977"/>
      <c r="BC31" s="1977"/>
      <c r="BD31" s="1978"/>
      <c r="BE31" s="1214"/>
    </row>
    <row r="32" spans="1:58" thickBot="1">
      <c r="A32" s="1207"/>
      <c r="B32" s="1979" t="s">
        <v>2360</v>
      </c>
      <c r="C32" s="1980"/>
      <c r="D32" s="1980"/>
      <c r="E32" s="1980"/>
      <c r="F32" s="1980"/>
      <c r="G32" s="1980"/>
      <c r="H32" s="1980"/>
      <c r="I32" s="1980"/>
      <c r="J32" s="1983" t="s">
        <v>2359</v>
      </c>
      <c r="K32" s="1984"/>
      <c r="L32" s="1984"/>
      <c r="M32" s="1984"/>
      <c r="N32" s="1983" t="s">
        <v>2358</v>
      </c>
      <c r="O32" s="1984"/>
      <c r="P32" s="1984"/>
      <c r="Q32" s="1986"/>
      <c r="R32" s="1988" t="s">
        <v>2357</v>
      </c>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89"/>
      <c r="AO32" s="1989"/>
      <c r="AP32" s="1989"/>
      <c r="AQ32" s="1989"/>
      <c r="AR32" s="1989"/>
      <c r="AS32" s="1989"/>
      <c r="AT32" s="1989"/>
      <c r="AU32" s="1989"/>
      <c r="AV32" s="1989"/>
      <c r="AW32" s="1989"/>
      <c r="AX32" s="1989"/>
      <c r="AY32" s="1989"/>
      <c r="AZ32" s="1989"/>
      <c r="BA32" s="1989"/>
      <c r="BB32" s="1989"/>
      <c r="BC32" s="1989"/>
      <c r="BD32" s="1990"/>
      <c r="BE32" s="1214"/>
    </row>
    <row r="33" spans="1:58" ht="15" customHeight="1">
      <c r="A33" s="1207"/>
      <c r="B33" s="1981"/>
      <c r="C33" s="1982"/>
      <c r="D33" s="1982"/>
      <c r="E33" s="1982"/>
      <c r="F33" s="1982"/>
      <c r="G33" s="1982"/>
      <c r="H33" s="1982"/>
      <c r="I33" s="1982"/>
      <c r="J33" s="1985"/>
      <c r="K33" s="1985"/>
      <c r="L33" s="1985"/>
      <c r="M33" s="1985"/>
      <c r="N33" s="1985"/>
      <c r="O33" s="1985"/>
      <c r="P33" s="1985"/>
      <c r="Q33" s="1987"/>
      <c r="R33" s="1991" t="s">
        <v>2356</v>
      </c>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1992"/>
      <c r="AO33" s="1992"/>
      <c r="AP33" s="1992"/>
      <c r="AQ33" s="1992"/>
      <c r="AR33" s="1992"/>
      <c r="AS33" s="1992"/>
      <c r="AT33" s="1992"/>
      <c r="AU33" s="1992"/>
      <c r="AV33" s="1992"/>
      <c r="AW33" s="1992"/>
      <c r="AX33" s="1992"/>
      <c r="AY33" s="1992"/>
      <c r="AZ33" s="1992"/>
      <c r="BA33" s="1992"/>
      <c r="BB33" s="1992"/>
      <c r="BC33" s="1992"/>
      <c r="BD33" s="1993"/>
      <c r="BE33" s="1214"/>
    </row>
    <row r="34" spans="1:58" ht="15.75" customHeight="1" thickBot="1">
      <c r="A34" s="1207"/>
      <c r="B34" s="1981"/>
      <c r="C34" s="1982"/>
      <c r="D34" s="1982"/>
      <c r="E34" s="1982"/>
      <c r="F34" s="1982"/>
      <c r="G34" s="1982"/>
      <c r="H34" s="1982"/>
      <c r="I34" s="1982"/>
      <c r="J34" s="1985"/>
      <c r="K34" s="1985"/>
      <c r="L34" s="1985"/>
      <c r="M34" s="1985"/>
      <c r="N34" s="1985"/>
      <c r="O34" s="1985"/>
      <c r="P34" s="1985"/>
      <c r="Q34" s="1987"/>
      <c r="R34" s="1994"/>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c r="AN34" s="1995"/>
      <c r="AO34" s="1995"/>
      <c r="AP34" s="1995"/>
      <c r="AQ34" s="1995"/>
      <c r="AR34" s="1995"/>
      <c r="AS34" s="1995"/>
      <c r="AT34" s="1995"/>
      <c r="AU34" s="1995"/>
      <c r="AV34" s="1995"/>
      <c r="AW34" s="1995"/>
      <c r="AX34" s="1995"/>
      <c r="AY34" s="1995"/>
      <c r="AZ34" s="1995"/>
      <c r="BA34" s="1995"/>
      <c r="BB34" s="1995"/>
      <c r="BC34" s="1995"/>
      <c r="BD34" s="1996"/>
      <c r="BE34" s="1214"/>
    </row>
    <row r="35" spans="1:58" ht="15.75" customHeight="1">
      <c r="A35" s="1207"/>
      <c r="B35" s="1981"/>
      <c r="C35" s="1982"/>
      <c r="D35" s="1982"/>
      <c r="E35" s="1982"/>
      <c r="F35" s="1982"/>
      <c r="G35" s="1982"/>
      <c r="H35" s="1982"/>
      <c r="I35" s="1982"/>
      <c r="J35" s="1985"/>
      <c r="K35" s="1985"/>
      <c r="L35" s="1985"/>
      <c r="M35" s="1985"/>
      <c r="N35" s="1985"/>
      <c r="O35" s="1985"/>
      <c r="P35" s="1985"/>
      <c r="Q35" s="1985"/>
      <c r="R35" s="1997">
        <v>0.3</v>
      </c>
      <c r="S35" s="1997"/>
      <c r="T35" s="1997"/>
      <c r="U35" s="1997"/>
      <c r="V35" s="1997">
        <v>0.4</v>
      </c>
      <c r="W35" s="1997"/>
      <c r="X35" s="1997"/>
      <c r="Y35" s="1997"/>
      <c r="Z35" s="1997">
        <v>0.5</v>
      </c>
      <c r="AA35" s="1997"/>
      <c r="AB35" s="1997"/>
      <c r="AC35" s="1997"/>
      <c r="AD35" s="1997">
        <v>0.6</v>
      </c>
      <c r="AE35" s="1997"/>
      <c r="AF35" s="1997"/>
      <c r="AG35" s="1997"/>
      <c r="AH35" s="1997">
        <v>0.7</v>
      </c>
      <c r="AI35" s="1997"/>
      <c r="AJ35" s="1997"/>
      <c r="AK35" s="1997"/>
      <c r="AL35" s="2002">
        <v>0.8</v>
      </c>
      <c r="AM35" s="2003"/>
      <c r="AN35" s="2003"/>
      <c r="AO35" s="2004"/>
      <c r="AP35" s="2005">
        <v>1.2</v>
      </c>
      <c r="AQ35" s="2006"/>
      <c r="AR35" s="2007"/>
      <c r="AS35" s="1999" t="s">
        <v>2355</v>
      </c>
      <c r="AT35" s="2000"/>
      <c r="AU35" s="2000"/>
      <c r="AV35" s="2000"/>
      <c r="AW35" s="2000"/>
      <c r="AX35" s="2008"/>
      <c r="AY35" s="1999" t="s">
        <v>2354</v>
      </c>
      <c r="AZ35" s="2000"/>
      <c r="BA35" s="2000"/>
      <c r="BB35" s="2000"/>
      <c r="BC35" s="2000"/>
      <c r="BD35" s="2001"/>
      <c r="BE35" s="1214"/>
    </row>
    <row r="36" spans="1:58" ht="15.75" customHeight="1">
      <c r="A36" s="1207"/>
      <c r="B36" s="2018" t="s">
        <v>2353</v>
      </c>
      <c r="C36" s="2019"/>
      <c r="D36" s="2019"/>
      <c r="E36" s="2019"/>
      <c r="F36" s="2019"/>
      <c r="G36" s="2019"/>
      <c r="H36" s="2019"/>
      <c r="I36" s="2019"/>
      <c r="J36" s="2020" t="s">
        <v>2352</v>
      </c>
      <c r="K36" s="2020"/>
      <c r="L36" s="2020"/>
      <c r="M36" s="2020"/>
      <c r="N36" s="2020">
        <v>55</v>
      </c>
      <c r="O36" s="2020"/>
      <c r="P36" s="2020"/>
      <c r="Q36" s="2020"/>
      <c r="R36" s="2021"/>
      <c r="S36" s="2021"/>
      <c r="T36" s="2021"/>
      <c r="U36" s="2021"/>
      <c r="V36" s="2021"/>
      <c r="W36" s="2021"/>
      <c r="X36" s="2021"/>
      <c r="Y36" s="2021"/>
      <c r="Z36" s="2021"/>
      <c r="AA36" s="2021"/>
      <c r="AB36" s="2021"/>
      <c r="AC36" s="2021"/>
      <c r="AD36" s="2021"/>
      <c r="AE36" s="2021"/>
      <c r="AF36" s="2021"/>
      <c r="AG36" s="2021"/>
      <c r="AH36" s="2021"/>
      <c r="AI36" s="2021"/>
      <c r="AJ36" s="2021"/>
      <c r="AK36" s="2021"/>
      <c r="AL36" s="2009"/>
      <c r="AM36" s="2010"/>
      <c r="AN36" s="2010"/>
      <c r="AO36" s="2011"/>
      <c r="AP36" s="2009"/>
      <c r="AQ36" s="2010"/>
      <c r="AR36" s="2011"/>
      <c r="AS36" s="2012">
        <f t="shared" ref="AS36:AS47" si="2">SUM(R36:AR36)</f>
        <v>0</v>
      </c>
      <c r="AT36" s="2013"/>
      <c r="AU36" s="2013"/>
      <c r="AV36" s="2013"/>
      <c r="AW36" s="2013"/>
      <c r="AX36" s="2014"/>
      <c r="AY36" s="2015">
        <f t="shared" ref="AY36:AY47" si="3">AS36/$J$29</f>
        <v>0</v>
      </c>
      <c r="AZ36" s="2016"/>
      <c r="BA36" s="2016"/>
      <c r="BB36" s="2016"/>
      <c r="BC36" s="2016"/>
      <c r="BD36" s="2017"/>
      <c r="BE36" s="1214"/>
    </row>
    <row r="37" spans="1:58" ht="15.75" customHeight="1">
      <c r="A37" s="1207"/>
      <c r="B37" s="2018" t="s">
        <v>2351</v>
      </c>
      <c r="C37" s="2019"/>
      <c r="D37" s="2019"/>
      <c r="E37" s="2019"/>
      <c r="F37" s="2019"/>
      <c r="G37" s="2019"/>
      <c r="H37" s="2019"/>
      <c r="I37" s="2019"/>
      <c r="J37" s="2020" t="s">
        <v>2350</v>
      </c>
      <c r="K37" s="2020"/>
      <c r="L37" s="2020"/>
      <c r="M37" s="2020"/>
      <c r="N37" s="2020">
        <v>55</v>
      </c>
      <c r="O37" s="2020"/>
      <c r="P37" s="2020"/>
      <c r="Q37" s="2020"/>
      <c r="R37" s="2021"/>
      <c r="S37" s="2021"/>
      <c r="T37" s="2021"/>
      <c r="U37" s="2021"/>
      <c r="V37" s="2021"/>
      <c r="W37" s="2021"/>
      <c r="X37" s="2021"/>
      <c r="Y37" s="2021"/>
      <c r="Z37" s="2021"/>
      <c r="AA37" s="2021"/>
      <c r="AB37" s="2021"/>
      <c r="AC37" s="2021"/>
      <c r="AD37" s="2021"/>
      <c r="AE37" s="2021"/>
      <c r="AF37" s="2021"/>
      <c r="AG37" s="2021"/>
      <c r="AH37" s="2021"/>
      <c r="AI37" s="2021"/>
      <c r="AJ37" s="2021"/>
      <c r="AK37" s="2021"/>
      <c r="AL37" s="2009"/>
      <c r="AM37" s="2010"/>
      <c r="AN37" s="2010"/>
      <c r="AO37" s="2011"/>
      <c r="AP37" s="2009"/>
      <c r="AQ37" s="2010"/>
      <c r="AR37" s="2011"/>
      <c r="AS37" s="2012">
        <f t="shared" si="2"/>
        <v>0</v>
      </c>
      <c r="AT37" s="2013"/>
      <c r="AU37" s="2013"/>
      <c r="AV37" s="2013"/>
      <c r="AW37" s="2013"/>
      <c r="AX37" s="2014"/>
      <c r="AY37" s="2015">
        <f t="shared" si="3"/>
        <v>0</v>
      </c>
      <c r="AZ37" s="2016"/>
      <c r="BA37" s="2016"/>
      <c r="BB37" s="2016"/>
      <c r="BC37" s="2016"/>
      <c r="BD37" s="2017"/>
      <c r="BE37" s="1214"/>
    </row>
    <row r="38" spans="1:58" ht="15.75" customHeight="1">
      <c r="A38" s="1207"/>
      <c r="B38" s="2018" t="s">
        <v>2349</v>
      </c>
      <c r="C38" s="2019"/>
      <c r="D38" s="2019"/>
      <c r="E38" s="2019"/>
      <c r="F38" s="2019"/>
      <c r="G38" s="2019"/>
      <c r="H38" s="2019"/>
      <c r="I38" s="2019"/>
      <c r="J38" s="2020" t="s">
        <v>2348</v>
      </c>
      <c r="K38" s="2020"/>
      <c r="L38" s="2020"/>
      <c r="M38" s="2020"/>
      <c r="N38" s="2020">
        <v>55</v>
      </c>
      <c r="O38" s="2020"/>
      <c r="P38" s="2020"/>
      <c r="Q38" s="2020"/>
      <c r="R38" s="2021"/>
      <c r="S38" s="2021"/>
      <c r="T38" s="2021"/>
      <c r="U38" s="2021"/>
      <c r="V38" s="2021"/>
      <c r="W38" s="2021"/>
      <c r="X38" s="2021"/>
      <c r="Y38" s="2021"/>
      <c r="Z38" s="2021"/>
      <c r="AA38" s="2021"/>
      <c r="AB38" s="2021"/>
      <c r="AC38" s="2021"/>
      <c r="AD38" s="2021"/>
      <c r="AE38" s="2021"/>
      <c r="AF38" s="2021"/>
      <c r="AG38" s="2021"/>
      <c r="AH38" s="2021"/>
      <c r="AI38" s="2021"/>
      <c r="AJ38" s="2021"/>
      <c r="AK38" s="2021"/>
      <c r="AL38" s="2009"/>
      <c r="AM38" s="2010"/>
      <c r="AN38" s="2010"/>
      <c r="AO38" s="2011"/>
      <c r="AP38" s="2009"/>
      <c r="AQ38" s="2010"/>
      <c r="AR38" s="2011"/>
      <c r="AS38" s="2012">
        <f t="shared" si="2"/>
        <v>0</v>
      </c>
      <c r="AT38" s="2013"/>
      <c r="AU38" s="2013"/>
      <c r="AV38" s="2013"/>
      <c r="AW38" s="2013"/>
      <c r="AX38" s="2014"/>
      <c r="AY38" s="2015">
        <f t="shared" si="3"/>
        <v>0</v>
      </c>
      <c r="AZ38" s="2016"/>
      <c r="BA38" s="2016"/>
      <c r="BB38" s="2016"/>
      <c r="BC38" s="2016"/>
      <c r="BD38" s="2017"/>
      <c r="BE38" s="1214"/>
    </row>
    <row r="39" spans="1:58" ht="15.75" customHeight="1">
      <c r="A39" s="1207"/>
      <c r="B39" s="2018" t="s">
        <v>2347</v>
      </c>
      <c r="C39" s="2019"/>
      <c r="D39" s="2019"/>
      <c r="E39" s="2019"/>
      <c r="F39" s="2019"/>
      <c r="G39" s="2019"/>
      <c r="H39" s="2019"/>
      <c r="I39" s="2019"/>
      <c r="J39" s="2020"/>
      <c r="K39" s="2020"/>
      <c r="L39" s="2020"/>
      <c r="M39" s="2020"/>
      <c r="N39" s="2020"/>
      <c r="O39" s="2020"/>
      <c r="P39" s="2020"/>
      <c r="Q39" s="2020"/>
      <c r="R39" s="2021"/>
      <c r="S39" s="2021"/>
      <c r="T39" s="2021"/>
      <c r="U39" s="2021"/>
      <c r="V39" s="2021"/>
      <c r="W39" s="2021"/>
      <c r="X39" s="2021"/>
      <c r="Y39" s="2021"/>
      <c r="Z39" s="2021"/>
      <c r="AA39" s="2021"/>
      <c r="AB39" s="2021"/>
      <c r="AC39" s="2021"/>
      <c r="AD39" s="2021"/>
      <c r="AE39" s="2021"/>
      <c r="AF39" s="2021"/>
      <c r="AG39" s="2021"/>
      <c r="AH39" s="2021"/>
      <c r="AI39" s="2021"/>
      <c r="AJ39" s="2021"/>
      <c r="AK39" s="2021"/>
      <c r="AL39" s="2009"/>
      <c r="AM39" s="2010"/>
      <c r="AN39" s="2010"/>
      <c r="AO39" s="2011"/>
      <c r="AP39" s="2009"/>
      <c r="AQ39" s="2010"/>
      <c r="AR39" s="2011"/>
      <c r="AS39" s="2012">
        <f t="shared" si="2"/>
        <v>0</v>
      </c>
      <c r="AT39" s="2013"/>
      <c r="AU39" s="2013"/>
      <c r="AV39" s="2013"/>
      <c r="AW39" s="2013"/>
      <c r="AX39" s="2014"/>
      <c r="AY39" s="2015">
        <f t="shared" si="3"/>
        <v>0</v>
      </c>
      <c r="AZ39" s="2016"/>
      <c r="BA39" s="2016"/>
      <c r="BB39" s="2016"/>
      <c r="BC39" s="2016"/>
      <c r="BD39" s="2017"/>
      <c r="BE39" s="1214"/>
    </row>
    <row r="40" spans="1:58" ht="15.75" customHeight="1">
      <c r="A40" s="1207"/>
      <c r="B40" s="2018" t="s">
        <v>2347</v>
      </c>
      <c r="C40" s="2019"/>
      <c r="D40" s="2019"/>
      <c r="E40" s="2019"/>
      <c r="F40" s="2019"/>
      <c r="G40" s="2019"/>
      <c r="H40" s="2019"/>
      <c r="I40" s="2019"/>
      <c r="J40" s="2020"/>
      <c r="K40" s="2020"/>
      <c r="L40" s="2020"/>
      <c r="M40" s="2020"/>
      <c r="N40" s="2020"/>
      <c r="O40" s="2020"/>
      <c r="P40" s="2020"/>
      <c r="Q40" s="2020"/>
      <c r="R40" s="2021"/>
      <c r="S40" s="2021"/>
      <c r="T40" s="2021"/>
      <c r="U40" s="2021"/>
      <c r="V40" s="2021"/>
      <c r="W40" s="2021"/>
      <c r="X40" s="2021"/>
      <c r="Y40" s="2021"/>
      <c r="Z40" s="2021"/>
      <c r="AA40" s="2021"/>
      <c r="AB40" s="2021"/>
      <c r="AC40" s="2021"/>
      <c r="AD40" s="2021"/>
      <c r="AE40" s="2021"/>
      <c r="AF40" s="2021"/>
      <c r="AG40" s="2021"/>
      <c r="AH40" s="2021"/>
      <c r="AI40" s="2021"/>
      <c r="AJ40" s="2021"/>
      <c r="AK40" s="2021"/>
      <c r="AL40" s="2009"/>
      <c r="AM40" s="2010"/>
      <c r="AN40" s="2010"/>
      <c r="AO40" s="2011"/>
      <c r="AP40" s="2009"/>
      <c r="AQ40" s="2010"/>
      <c r="AR40" s="2011"/>
      <c r="AS40" s="2012">
        <f t="shared" si="2"/>
        <v>0</v>
      </c>
      <c r="AT40" s="2013"/>
      <c r="AU40" s="2013"/>
      <c r="AV40" s="2013"/>
      <c r="AW40" s="2013"/>
      <c r="AX40" s="2014"/>
      <c r="AY40" s="2015">
        <f t="shared" si="3"/>
        <v>0</v>
      </c>
      <c r="AZ40" s="2016"/>
      <c r="BA40" s="2016"/>
      <c r="BB40" s="2016"/>
      <c r="BC40" s="2016"/>
      <c r="BD40" s="2017"/>
      <c r="BE40" s="1214"/>
    </row>
    <row r="41" spans="1:58" ht="15.75" customHeight="1">
      <c r="A41" s="1207"/>
      <c r="B41" s="2018" t="s">
        <v>2346</v>
      </c>
      <c r="C41" s="2019"/>
      <c r="D41" s="2019"/>
      <c r="E41" s="2019"/>
      <c r="F41" s="2019"/>
      <c r="G41" s="2019"/>
      <c r="H41" s="2019"/>
      <c r="I41" s="2019"/>
      <c r="J41" s="2020"/>
      <c r="K41" s="2020"/>
      <c r="L41" s="2020"/>
      <c r="M41" s="2020"/>
      <c r="N41" s="2020"/>
      <c r="O41" s="2020"/>
      <c r="P41" s="2020"/>
      <c r="Q41" s="2020"/>
      <c r="R41" s="2021"/>
      <c r="S41" s="2021"/>
      <c r="T41" s="2021"/>
      <c r="U41" s="2021"/>
      <c r="V41" s="2021"/>
      <c r="W41" s="2021"/>
      <c r="X41" s="2021"/>
      <c r="Y41" s="2021"/>
      <c r="Z41" s="2021"/>
      <c r="AA41" s="2021"/>
      <c r="AB41" s="2021"/>
      <c r="AC41" s="2021"/>
      <c r="AD41" s="2021"/>
      <c r="AE41" s="2021"/>
      <c r="AF41" s="2021"/>
      <c r="AG41" s="2021"/>
      <c r="AH41" s="2021"/>
      <c r="AI41" s="2021"/>
      <c r="AJ41" s="2021"/>
      <c r="AK41" s="2021"/>
      <c r="AL41" s="2009"/>
      <c r="AM41" s="2010"/>
      <c r="AN41" s="2010"/>
      <c r="AO41" s="2011"/>
      <c r="AP41" s="2009"/>
      <c r="AQ41" s="2010"/>
      <c r="AR41" s="2011"/>
      <c r="AS41" s="2012">
        <f t="shared" si="2"/>
        <v>0</v>
      </c>
      <c r="AT41" s="2013"/>
      <c r="AU41" s="2013"/>
      <c r="AV41" s="2013"/>
      <c r="AW41" s="2013"/>
      <c r="AX41" s="2014"/>
      <c r="AY41" s="2015">
        <f t="shared" si="3"/>
        <v>0</v>
      </c>
      <c r="AZ41" s="2016"/>
      <c r="BA41" s="2016"/>
      <c r="BB41" s="2016"/>
      <c r="BC41" s="2016"/>
      <c r="BD41" s="2017"/>
      <c r="BE41" s="1214"/>
    </row>
    <row r="42" spans="1:58" ht="15.75" customHeight="1">
      <c r="A42" s="1207"/>
      <c r="B42" s="2018" t="s">
        <v>2346</v>
      </c>
      <c r="C42" s="2019"/>
      <c r="D42" s="2019"/>
      <c r="E42" s="2019"/>
      <c r="F42" s="2019"/>
      <c r="G42" s="2019"/>
      <c r="H42" s="2019"/>
      <c r="I42" s="2019"/>
      <c r="J42" s="2020"/>
      <c r="K42" s="2020"/>
      <c r="L42" s="2020"/>
      <c r="M42" s="2020"/>
      <c r="N42" s="2020"/>
      <c r="O42" s="2020"/>
      <c r="P42" s="2020"/>
      <c r="Q42" s="2020"/>
      <c r="R42" s="2021"/>
      <c r="S42" s="2021"/>
      <c r="T42" s="2021"/>
      <c r="U42" s="2021"/>
      <c r="V42" s="2021"/>
      <c r="W42" s="2021"/>
      <c r="X42" s="2021"/>
      <c r="Y42" s="2021"/>
      <c r="Z42" s="2021"/>
      <c r="AA42" s="2021"/>
      <c r="AB42" s="2021"/>
      <c r="AC42" s="2021"/>
      <c r="AD42" s="2021"/>
      <c r="AE42" s="2021"/>
      <c r="AF42" s="2021"/>
      <c r="AG42" s="2021"/>
      <c r="AH42" s="2021"/>
      <c r="AI42" s="2021"/>
      <c r="AJ42" s="2021"/>
      <c r="AK42" s="2021"/>
      <c r="AL42" s="2009"/>
      <c r="AM42" s="2010"/>
      <c r="AN42" s="2010"/>
      <c r="AO42" s="2011"/>
      <c r="AP42" s="2009"/>
      <c r="AQ42" s="2010"/>
      <c r="AR42" s="2011"/>
      <c r="AS42" s="2012">
        <f t="shared" si="2"/>
        <v>0</v>
      </c>
      <c r="AT42" s="2013"/>
      <c r="AU42" s="2013"/>
      <c r="AV42" s="2013"/>
      <c r="AW42" s="2013"/>
      <c r="AX42" s="2014"/>
      <c r="AY42" s="2015">
        <f t="shared" si="3"/>
        <v>0</v>
      </c>
      <c r="AZ42" s="2016"/>
      <c r="BA42" s="2016"/>
      <c r="BB42" s="2016"/>
      <c r="BC42" s="2016"/>
      <c r="BD42" s="2017"/>
      <c r="BE42" s="1214"/>
    </row>
    <row r="43" spans="1:58" ht="15.75" customHeight="1">
      <c r="A43" s="1207"/>
      <c r="B43" s="2022" t="s">
        <v>2345</v>
      </c>
      <c r="C43" s="2023"/>
      <c r="D43" s="2023"/>
      <c r="E43" s="2023"/>
      <c r="F43" s="2023"/>
      <c r="G43" s="2023"/>
      <c r="H43" s="2023"/>
      <c r="I43" s="2023"/>
      <c r="J43" s="2020"/>
      <c r="K43" s="2020"/>
      <c r="L43" s="2020"/>
      <c r="M43" s="2020"/>
      <c r="N43" s="2020"/>
      <c r="O43" s="2020"/>
      <c r="P43" s="2020"/>
      <c r="Q43" s="2020"/>
      <c r="R43" s="2021"/>
      <c r="S43" s="2021"/>
      <c r="T43" s="2021"/>
      <c r="U43" s="2021"/>
      <c r="V43" s="2021"/>
      <c r="W43" s="2021"/>
      <c r="X43" s="2021"/>
      <c r="Y43" s="2021"/>
      <c r="Z43" s="2021"/>
      <c r="AA43" s="2021"/>
      <c r="AB43" s="2021"/>
      <c r="AC43" s="2021"/>
      <c r="AD43" s="2021"/>
      <c r="AE43" s="2021"/>
      <c r="AF43" s="2021"/>
      <c r="AG43" s="2021"/>
      <c r="AH43" s="2021"/>
      <c r="AI43" s="2021"/>
      <c r="AJ43" s="2021"/>
      <c r="AK43" s="2021"/>
      <c r="AL43" s="2009"/>
      <c r="AM43" s="2010"/>
      <c r="AN43" s="2010"/>
      <c r="AO43" s="2011"/>
      <c r="AP43" s="2009"/>
      <c r="AQ43" s="2010"/>
      <c r="AR43" s="2011"/>
      <c r="AS43" s="2012">
        <f t="shared" si="2"/>
        <v>0</v>
      </c>
      <c r="AT43" s="2013"/>
      <c r="AU43" s="2013"/>
      <c r="AV43" s="2013"/>
      <c r="AW43" s="2013"/>
      <c r="AX43" s="2014"/>
      <c r="AY43" s="2015">
        <f t="shared" si="3"/>
        <v>0</v>
      </c>
      <c r="AZ43" s="2016"/>
      <c r="BA43" s="2016"/>
      <c r="BB43" s="2016"/>
      <c r="BC43" s="2016"/>
      <c r="BD43" s="2017"/>
      <c r="BE43" s="1214"/>
    </row>
    <row r="44" spans="1:58" ht="15.75" customHeight="1">
      <c r="A44" s="1207"/>
      <c r="B44" s="2022" t="s">
        <v>2344</v>
      </c>
      <c r="C44" s="2023"/>
      <c r="D44" s="2023"/>
      <c r="E44" s="2023"/>
      <c r="F44" s="2023"/>
      <c r="G44" s="2023"/>
      <c r="H44" s="2023"/>
      <c r="I44" s="2023"/>
      <c r="J44" s="2020"/>
      <c r="K44" s="2020"/>
      <c r="L44" s="2020"/>
      <c r="M44" s="2020"/>
      <c r="N44" s="2020"/>
      <c r="O44" s="2020"/>
      <c r="P44" s="2020"/>
      <c r="Q44" s="2020"/>
      <c r="R44" s="2021"/>
      <c r="S44" s="2021"/>
      <c r="T44" s="2021"/>
      <c r="U44" s="2021"/>
      <c r="V44" s="2021"/>
      <c r="W44" s="2021"/>
      <c r="X44" s="2021"/>
      <c r="Y44" s="2021"/>
      <c r="Z44" s="2021"/>
      <c r="AA44" s="2021"/>
      <c r="AB44" s="2021"/>
      <c r="AC44" s="2021"/>
      <c r="AD44" s="2021"/>
      <c r="AE44" s="2021"/>
      <c r="AF44" s="2021"/>
      <c r="AG44" s="2021"/>
      <c r="AH44" s="2021"/>
      <c r="AI44" s="2021"/>
      <c r="AJ44" s="2021"/>
      <c r="AK44" s="2021"/>
      <c r="AL44" s="2009"/>
      <c r="AM44" s="2010"/>
      <c r="AN44" s="2010"/>
      <c r="AO44" s="2011"/>
      <c r="AP44" s="2009"/>
      <c r="AQ44" s="2010"/>
      <c r="AR44" s="2011"/>
      <c r="AS44" s="2012">
        <f t="shared" si="2"/>
        <v>0</v>
      </c>
      <c r="AT44" s="2013"/>
      <c r="AU44" s="2013"/>
      <c r="AV44" s="2013"/>
      <c r="AW44" s="2013"/>
      <c r="AX44" s="2014"/>
      <c r="AY44" s="2015">
        <f t="shared" si="3"/>
        <v>0</v>
      </c>
      <c r="AZ44" s="2016"/>
      <c r="BA44" s="2016"/>
      <c r="BB44" s="2016"/>
      <c r="BC44" s="2016"/>
      <c r="BD44" s="2017"/>
      <c r="BE44" s="1214"/>
    </row>
    <row r="45" spans="1:58" ht="15.75" customHeight="1">
      <c r="A45" s="1207"/>
      <c r="B45" s="2022" t="s">
        <v>2343</v>
      </c>
      <c r="C45" s="2023"/>
      <c r="D45" s="2023"/>
      <c r="E45" s="2023"/>
      <c r="F45" s="2023"/>
      <c r="G45" s="2023"/>
      <c r="H45" s="2023"/>
      <c r="I45" s="2023"/>
      <c r="J45" s="2020"/>
      <c r="K45" s="2020"/>
      <c r="L45" s="2020"/>
      <c r="M45" s="2020"/>
      <c r="N45" s="2020"/>
      <c r="O45" s="2020"/>
      <c r="P45" s="2020"/>
      <c r="Q45" s="2020"/>
      <c r="R45" s="2021"/>
      <c r="S45" s="2021"/>
      <c r="T45" s="2021"/>
      <c r="U45" s="2021"/>
      <c r="V45" s="2021"/>
      <c r="W45" s="2021"/>
      <c r="X45" s="2021"/>
      <c r="Y45" s="2021"/>
      <c r="Z45" s="2021"/>
      <c r="AA45" s="2021"/>
      <c r="AB45" s="2021"/>
      <c r="AC45" s="2021"/>
      <c r="AD45" s="2021"/>
      <c r="AE45" s="2021"/>
      <c r="AF45" s="2021"/>
      <c r="AG45" s="2021"/>
      <c r="AH45" s="2021"/>
      <c r="AI45" s="2021"/>
      <c r="AJ45" s="2021"/>
      <c r="AK45" s="2021"/>
      <c r="AL45" s="2009"/>
      <c r="AM45" s="2010"/>
      <c r="AN45" s="2010"/>
      <c r="AO45" s="2011"/>
      <c r="AP45" s="2009"/>
      <c r="AQ45" s="2010"/>
      <c r="AR45" s="2011"/>
      <c r="AS45" s="2012">
        <f t="shared" si="2"/>
        <v>0</v>
      </c>
      <c r="AT45" s="2013"/>
      <c r="AU45" s="2013"/>
      <c r="AV45" s="2013"/>
      <c r="AW45" s="2013"/>
      <c r="AX45" s="2014"/>
      <c r="AY45" s="2015">
        <f t="shared" si="3"/>
        <v>0</v>
      </c>
      <c r="AZ45" s="2016"/>
      <c r="BA45" s="2016"/>
      <c r="BB45" s="2016"/>
      <c r="BC45" s="2016"/>
      <c r="BD45" s="2017"/>
      <c r="BE45" s="1214"/>
    </row>
    <row r="46" spans="1:58" ht="15.75" customHeight="1">
      <c r="A46" s="1207"/>
      <c r="B46" s="2022" t="s">
        <v>2275</v>
      </c>
      <c r="C46" s="2023"/>
      <c r="D46" s="2023"/>
      <c r="E46" s="2023"/>
      <c r="F46" s="2023"/>
      <c r="G46" s="2023"/>
      <c r="H46" s="2023"/>
      <c r="I46" s="2023"/>
      <c r="J46" s="2020"/>
      <c r="K46" s="2020"/>
      <c r="L46" s="2020"/>
      <c r="M46" s="2020"/>
      <c r="N46" s="2020">
        <v>99</v>
      </c>
      <c r="O46" s="2020"/>
      <c r="P46" s="2020"/>
      <c r="Q46" s="2020"/>
      <c r="R46" s="2021"/>
      <c r="S46" s="2021"/>
      <c r="T46" s="2021"/>
      <c r="U46" s="2021"/>
      <c r="V46" s="2021"/>
      <c r="W46" s="2021"/>
      <c r="X46" s="2021"/>
      <c r="Y46" s="2021"/>
      <c r="Z46" s="2021"/>
      <c r="AA46" s="2021"/>
      <c r="AB46" s="2021"/>
      <c r="AC46" s="2021"/>
      <c r="AD46" s="2021"/>
      <c r="AE46" s="2021"/>
      <c r="AF46" s="2021"/>
      <c r="AG46" s="2021"/>
      <c r="AH46" s="2021"/>
      <c r="AI46" s="2021"/>
      <c r="AJ46" s="2021"/>
      <c r="AK46" s="2021"/>
      <c r="AL46" s="2009"/>
      <c r="AM46" s="2010"/>
      <c r="AN46" s="2010"/>
      <c r="AO46" s="2011"/>
      <c r="AP46" s="2009"/>
      <c r="AQ46" s="2010"/>
      <c r="AR46" s="2011"/>
      <c r="AS46" s="2012">
        <f t="shared" si="2"/>
        <v>0</v>
      </c>
      <c r="AT46" s="2013"/>
      <c r="AU46" s="2013"/>
      <c r="AV46" s="2013"/>
      <c r="AW46" s="2013"/>
      <c r="AX46" s="2014"/>
      <c r="AY46" s="2015">
        <f t="shared" si="3"/>
        <v>0</v>
      </c>
      <c r="AZ46" s="2016"/>
      <c r="BA46" s="2016"/>
      <c r="BB46" s="2016"/>
      <c r="BC46" s="2016"/>
      <c r="BD46" s="2017"/>
      <c r="BE46" s="1214"/>
    </row>
    <row r="47" spans="1:58" ht="15.75" customHeight="1" thickBot="1">
      <c r="A47" s="1207"/>
      <c r="B47" s="2024" t="s">
        <v>299</v>
      </c>
      <c r="C47" s="2025"/>
      <c r="D47" s="2025"/>
      <c r="E47" s="2025"/>
      <c r="F47" s="2025"/>
      <c r="G47" s="2025"/>
      <c r="H47" s="2025"/>
      <c r="I47" s="2025"/>
      <c r="J47" s="2026"/>
      <c r="K47" s="2026"/>
      <c r="L47" s="2026"/>
      <c r="M47" s="2026"/>
      <c r="N47" s="2026"/>
      <c r="O47" s="2026"/>
      <c r="P47" s="2026"/>
      <c r="Q47" s="2026"/>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31"/>
      <c r="AM47" s="2032"/>
      <c r="AN47" s="2032"/>
      <c r="AO47" s="2033"/>
      <c r="AP47" s="2031"/>
      <c r="AQ47" s="2032"/>
      <c r="AR47" s="2033"/>
      <c r="AS47" s="2012">
        <f t="shared" si="2"/>
        <v>0</v>
      </c>
      <c r="AT47" s="2013"/>
      <c r="AU47" s="2013"/>
      <c r="AV47" s="2013"/>
      <c r="AW47" s="2013"/>
      <c r="AX47" s="2014"/>
      <c r="AY47" s="2028">
        <f t="shared" si="3"/>
        <v>0</v>
      </c>
      <c r="AZ47" s="2029"/>
      <c r="BA47" s="2029"/>
      <c r="BB47" s="2029"/>
      <c r="BC47" s="2029"/>
      <c r="BD47" s="2030"/>
      <c r="BE47" s="1214"/>
    </row>
    <row r="48" spans="1:58" ht="15.75" customHeight="1">
      <c r="A48" s="1207"/>
      <c r="B48" s="1216" t="s">
        <v>2342</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4"/>
      <c r="BF48" s="1205"/>
    </row>
    <row r="49" spans="1:77" ht="15.75" customHeight="1" thickBot="1">
      <c r="A49" s="1207"/>
      <c r="B49" s="1216" t="s">
        <v>2341</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8"/>
      <c r="AQ49" s="1208"/>
      <c r="AR49" s="1208"/>
      <c r="AS49" s="1208"/>
      <c r="AT49" s="1208"/>
      <c r="AU49" s="1208"/>
      <c r="AV49" s="1208"/>
      <c r="AW49" s="1208"/>
      <c r="AX49" s="1207"/>
      <c r="AY49" s="1207"/>
      <c r="AZ49" s="1207"/>
      <c r="BA49" s="1207"/>
      <c r="BB49" s="1207"/>
      <c r="BC49" s="1207"/>
      <c r="BD49" s="1207"/>
      <c r="BE49" s="1214"/>
      <c r="BF49" s="1205"/>
    </row>
    <row r="50" spans="1:77" ht="15.75" customHeight="1">
      <c r="A50" s="1207"/>
      <c r="B50" s="2034" t="s">
        <v>2340</v>
      </c>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6"/>
      <c r="AP50" s="1208"/>
      <c r="AQ50" s="1208"/>
      <c r="AR50" s="1208"/>
      <c r="AS50" s="1208"/>
      <c r="AT50" s="1208"/>
      <c r="AU50" s="1208"/>
      <c r="AV50" s="1208"/>
      <c r="AW50" s="1208"/>
      <c r="AX50" s="1207"/>
      <c r="AY50" s="1207"/>
      <c r="AZ50" s="1207"/>
      <c r="BA50" s="1207"/>
      <c r="BB50" s="1207"/>
      <c r="BC50" s="1207"/>
      <c r="BD50" s="1207"/>
      <c r="BE50" s="1214"/>
    </row>
    <row r="51" spans="1:77" ht="33.75" customHeight="1">
      <c r="A51" s="1207"/>
      <c r="B51" s="2037" t="s">
        <v>2333</v>
      </c>
      <c r="C51" s="2038"/>
      <c r="D51" s="2038"/>
      <c r="E51" s="2038"/>
      <c r="F51" s="2038"/>
      <c r="G51" s="2038"/>
      <c r="H51" s="2038"/>
      <c r="I51" s="2038"/>
      <c r="J51" s="2038" t="s">
        <v>2339</v>
      </c>
      <c r="K51" s="2038"/>
      <c r="L51" s="2038"/>
      <c r="M51" s="2038"/>
      <c r="N51" s="2038"/>
      <c r="O51" s="2038"/>
      <c r="P51" s="2038"/>
      <c r="Q51" s="2038"/>
      <c r="R51" s="2039" t="s">
        <v>2338</v>
      </c>
      <c r="S51" s="2039"/>
      <c r="T51" s="2039"/>
      <c r="U51" s="2039"/>
      <c r="V51" s="2039"/>
      <c r="W51" s="2039"/>
      <c r="X51" s="2039"/>
      <c r="Y51" s="2039"/>
      <c r="Z51" s="2039" t="s">
        <v>2337</v>
      </c>
      <c r="AA51" s="2039"/>
      <c r="AB51" s="2039"/>
      <c r="AC51" s="2039"/>
      <c r="AD51" s="2039"/>
      <c r="AE51" s="2039"/>
      <c r="AF51" s="2039"/>
      <c r="AG51" s="2039"/>
      <c r="AH51" s="2039" t="s">
        <v>2336</v>
      </c>
      <c r="AI51" s="2039"/>
      <c r="AJ51" s="2039"/>
      <c r="AK51" s="2039"/>
      <c r="AL51" s="2039"/>
      <c r="AM51" s="2039"/>
      <c r="AN51" s="2039"/>
      <c r="AO51" s="2040"/>
      <c r="AP51" s="1208"/>
      <c r="AQ51" s="1208"/>
      <c r="AR51" s="1208"/>
      <c r="AS51" s="1208"/>
      <c r="AT51" s="1208"/>
      <c r="AU51" s="1208"/>
      <c r="AV51" s="1208"/>
      <c r="AW51" s="1208"/>
      <c r="AX51" s="1215"/>
      <c r="AY51" s="1207"/>
      <c r="AZ51" s="1207"/>
      <c r="BA51" s="1207"/>
      <c r="BB51" s="1207"/>
      <c r="BC51" s="1207"/>
      <c r="BD51" s="1207"/>
      <c r="BE51" s="1214"/>
    </row>
    <row r="52" spans="1:77" ht="15.75" customHeight="1">
      <c r="A52" s="1207"/>
      <c r="B52" s="2022" t="s">
        <v>2335</v>
      </c>
      <c r="C52" s="2023"/>
      <c r="D52" s="2023"/>
      <c r="E52" s="2023"/>
      <c r="F52" s="2023"/>
      <c r="G52" s="2023"/>
      <c r="H52" s="2023"/>
      <c r="I52" s="2023"/>
      <c r="J52" s="2041">
        <v>0</v>
      </c>
      <c r="K52" s="2041"/>
      <c r="L52" s="2041"/>
      <c r="M52" s="2041"/>
      <c r="N52" s="2041"/>
      <c r="O52" s="2041"/>
      <c r="P52" s="2041"/>
      <c r="Q52" s="2041"/>
      <c r="R52" s="2042">
        <v>0</v>
      </c>
      <c r="S52" s="2042"/>
      <c r="T52" s="2042"/>
      <c r="U52" s="2042"/>
      <c r="V52" s="2042"/>
      <c r="W52" s="2042"/>
      <c r="X52" s="2042"/>
      <c r="Y52" s="2042"/>
      <c r="Z52" s="2043">
        <v>0</v>
      </c>
      <c r="AA52" s="2043"/>
      <c r="AB52" s="2043"/>
      <c r="AC52" s="2043"/>
      <c r="AD52" s="2043"/>
      <c r="AE52" s="2043"/>
      <c r="AF52" s="2043"/>
      <c r="AG52" s="2043"/>
      <c r="AH52" s="2044"/>
      <c r="AI52" s="2044"/>
      <c r="AJ52" s="2044"/>
      <c r="AK52" s="2044"/>
      <c r="AL52" s="2044"/>
      <c r="AM52" s="2044"/>
      <c r="AN52" s="2044"/>
      <c r="AO52" s="2045"/>
      <c r="AP52" s="1208"/>
      <c r="AQ52" s="1208"/>
      <c r="AR52" s="1208"/>
      <c r="AS52" s="1208"/>
      <c r="AT52" s="1208"/>
      <c r="AU52" s="1208"/>
      <c r="AV52" s="1208"/>
      <c r="AW52" s="1208"/>
      <c r="AX52" s="1215"/>
      <c r="AY52" s="1207"/>
      <c r="AZ52" s="1207"/>
      <c r="BA52" s="1207"/>
      <c r="BB52" s="1207"/>
      <c r="BC52" s="1207"/>
      <c r="BD52" s="1207"/>
      <c r="BE52" s="1214"/>
    </row>
    <row r="53" spans="1:77" ht="15.75" customHeight="1">
      <c r="A53" s="1207"/>
      <c r="B53" s="2022" t="s">
        <v>2334</v>
      </c>
      <c r="C53" s="2023"/>
      <c r="D53" s="2023"/>
      <c r="E53" s="2023"/>
      <c r="F53" s="2023"/>
      <c r="G53" s="2023"/>
      <c r="H53" s="2023"/>
      <c r="I53" s="2023"/>
      <c r="J53" s="2041">
        <v>0</v>
      </c>
      <c r="K53" s="2041"/>
      <c r="L53" s="2041"/>
      <c r="M53" s="2041"/>
      <c r="N53" s="2041"/>
      <c r="O53" s="2041"/>
      <c r="P53" s="2041"/>
      <c r="Q53" s="2041"/>
      <c r="R53" s="2042">
        <v>0</v>
      </c>
      <c r="S53" s="2042"/>
      <c r="T53" s="2042"/>
      <c r="U53" s="2042"/>
      <c r="V53" s="2042"/>
      <c r="W53" s="2042"/>
      <c r="X53" s="2042"/>
      <c r="Y53" s="2042"/>
      <c r="Z53" s="2043">
        <v>0</v>
      </c>
      <c r="AA53" s="2043"/>
      <c r="AB53" s="2043"/>
      <c r="AC53" s="2043"/>
      <c r="AD53" s="2043"/>
      <c r="AE53" s="2043"/>
      <c r="AF53" s="2043"/>
      <c r="AG53" s="2043"/>
      <c r="AH53" s="2044"/>
      <c r="AI53" s="2044"/>
      <c r="AJ53" s="2044"/>
      <c r="AK53" s="2044"/>
      <c r="AL53" s="2044"/>
      <c r="AM53" s="2044"/>
      <c r="AN53" s="2044"/>
      <c r="AO53" s="2045"/>
      <c r="AP53" s="1208"/>
      <c r="AQ53" s="1208"/>
      <c r="AR53" s="1208"/>
      <c r="AS53" s="1208"/>
      <c r="AT53" s="1208"/>
      <c r="AU53" s="1208"/>
      <c r="AV53" s="1208"/>
      <c r="AW53" s="1208"/>
      <c r="AX53" s="1207"/>
      <c r="AY53" s="1207"/>
      <c r="AZ53" s="1207"/>
      <c r="BA53" s="1207"/>
      <c r="BB53" s="1207"/>
      <c r="BC53" s="1207"/>
      <c r="BD53" s="1207"/>
      <c r="BE53" s="1214"/>
    </row>
    <row r="54" spans="1:77" ht="15.75" customHeight="1">
      <c r="A54" s="1207"/>
      <c r="B54" s="2022"/>
      <c r="C54" s="2023"/>
      <c r="D54" s="2023"/>
      <c r="E54" s="2023"/>
      <c r="F54" s="2023"/>
      <c r="G54" s="2023"/>
      <c r="H54" s="2023"/>
      <c r="I54" s="2023"/>
      <c r="J54" s="2041"/>
      <c r="K54" s="2041"/>
      <c r="L54" s="2041"/>
      <c r="M54" s="2041"/>
      <c r="N54" s="2041"/>
      <c r="O54" s="2041"/>
      <c r="P54" s="2041"/>
      <c r="Q54" s="2041"/>
      <c r="R54" s="2042"/>
      <c r="S54" s="2042"/>
      <c r="T54" s="2042"/>
      <c r="U54" s="2042"/>
      <c r="V54" s="2042"/>
      <c r="W54" s="2042"/>
      <c r="X54" s="2042"/>
      <c r="Y54" s="2042"/>
      <c r="Z54" s="2043"/>
      <c r="AA54" s="2043"/>
      <c r="AB54" s="2043"/>
      <c r="AC54" s="2043"/>
      <c r="AD54" s="2043"/>
      <c r="AE54" s="2043"/>
      <c r="AF54" s="2043"/>
      <c r="AG54" s="2043"/>
      <c r="AH54" s="2044"/>
      <c r="AI54" s="2044"/>
      <c r="AJ54" s="2044"/>
      <c r="AK54" s="2044"/>
      <c r="AL54" s="2044"/>
      <c r="AM54" s="2044"/>
      <c r="AN54" s="2044"/>
      <c r="AO54" s="2045"/>
      <c r="AP54" s="1208"/>
      <c r="AQ54" s="1208"/>
      <c r="AR54" s="1208"/>
      <c r="AS54" s="1208"/>
      <c r="AT54" s="1208"/>
      <c r="AU54" s="1208"/>
      <c r="AV54" s="1208"/>
      <c r="AW54" s="1208"/>
      <c r="AX54" s="1207"/>
      <c r="AY54" s="1207"/>
      <c r="AZ54" s="1207"/>
      <c r="BA54" s="1207"/>
      <c r="BB54" s="1207"/>
      <c r="BC54" s="1207"/>
      <c r="BD54" s="1207"/>
      <c r="BE54" s="1214"/>
    </row>
    <row r="55" spans="1:77" ht="15.75" customHeight="1">
      <c r="A55" s="1207"/>
      <c r="B55" s="2022"/>
      <c r="C55" s="2023"/>
      <c r="D55" s="2023"/>
      <c r="E55" s="2023"/>
      <c r="F55" s="2023"/>
      <c r="G55" s="2023"/>
      <c r="H55" s="2023"/>
      <c r="I55" s="2023"/>
      <c r="J55" s="2041"/>
      <c r="K55" s="2041"/>
      <c r="L55" s="2041"/>
      <c r="M55" s="2041"/>
      <c r="N55" s="2041"/>
      <c r="O55" s="2041"/>
      <c r="P55" s="2041"/>
      <c r="Q55" s="2041"/>
      <c r="R55" s="2042"/>
      <c r="S55" s="2042"/>
      <c r="T55" s="2042"/>
      <c r="U55" s="2042"/>
      <c r="V55" s="2042"/>
      <c r="W55" s="2042"/>
      <c r="X55" s="2042"/>
      <c r="Y55" s="2042"/>
      <c r="Z55" s="2043"/>
      <c r="AA55" s="2043"/>
      <c r="AB55" s="2043"/>
      <c r="AC55" s="2043"/>
      <c r="AD55" s="2043"/>
      <c r="AE55" s="2043"/>
      <c r="AF55" s="2043"/>
      <c r="AG55" s="2043"/>
      <c r="AH55" s="2044"/>
      <c r="AI55" s="2044"/>
      <c r="AJ55" s="2044"/>
      <c r="AK55" s="2044"/>
      <c r="AL55" s="2044"/>
      <c r="AM55" s="2044"/>
      <c r="AN55" s="2044"/>
      <c r="AO55" s="2045"/>
      <c r="AP55" s="1208"/>
      <c r="AQ55" s="1208"/>
      <c r="AR55" s="1208"/>
      <c r="AS55" s="1208"/>
      <c r="AT55" s="1208" t="s">
        <v>249</v>
      </c>
      <c r="AU55" s="1208"/>
      <c r="AV55" s="1208"/>
      <c r="AW55" s="1208"/>
      <c r="AX55" s="1207"/>
      <c r="AY55" s="1207"/>
      <c r="AZ55" s="1207"/>
      <c r="BA55" s="1207"/>
      <c r="BB55" s="1207"/>
      <c r="BC55" s="1207"/>
      <c r="BD55" s="1207"/>
      <c r="BE55" s="1214"/>
    </row>
    <row r="56" spans="1:77" ht="15.75" customHeight="1">
      <c r="A56" s="1207"/>
      <c r="B56" s="2022"/>
      <c r="C56" s="2023"/>
      <c r="D56" s="2023"/>
      <c r="E56" s="2023"/>
      <c r="F56" s="2023"/>
      <c r="G56" s="2023"/>
      <c r="H56" s="2023"/>
      <c r="I56" s="2023"/>
      <c r="J56" s="2041"/>
      <c r="K56" s="2041"/>
      <c r="L56" s="2041"/>
      <c r="M56" s="2041"/>
      <c r="N56" s="2041"/>
      <c r="O56" s="2041"/>
      <c r="P56" s="2041"/>
      <c r="Q56" s="2041"/>
      <c r="R56" s="2042"/>
      <c r="S56" s="2042"/>
      <c r="T56" s="2042"/>
      <c r="U56" s="2042"/>
      <c r="V56" s="2042"/>
      <c r="W56" s="2042"/>
      <c r="X56" s="2042"/>
      <c r="Y56" s="2042"/>
      <c r="Z56" s="2043"/>
      <c r="AA56" s="2043"/>
      <c r="AB56" s="2043"/>
      <c r="AC56" s="2043"/>
      <c r="AD56" s="2043"/>
      <c r="AE56" s="2043"/>
      <c r="AF56" s="2043"/>
      <c r="AG56" s="2043"/>
      <c r="AH56" s="2044"/>
      <c r="AI56" s="2044"/>
      <c r="AJ56" s="2044"/>
      <c r="AK56" s="2044"/>
      <c r="AL56" s="2044"/>
      <c r="AM56" s="2044"/>
      <c r="AN56" s="2044"/>
      <c r="AO56" s="2045"/>
      <c r="AP56" s="1208"/>
      <c r="AQ56" s="1208"/>
      <c r="AR56" s="1208"/>
      <c r="AS56" s="1208"/>
      <c r="AT56" s="1208"/>
      <c r="AU56" s="1208"/>
      <c r="AV56" s="1208"/>
      <c r="AW56" s="1208"/>
      <c r="AX56" s="1207"/>
      <c r="AY56" s="1207"/>
      <c r="AZ56" s="1207"/>
      <c r="BA56" s="1207"/>
      <c r="BB56" s="1207"/>
      <c r="BC56" s="1207"/>
      <c r="BD56" s="1207"/>
      <c r="BE56" s="1214"/>
    </row>
    <row r="57" spans="1:77" s="1218" customFormat="1" ht="15.75" customHeight="1" thickBot="1">
      <c r="A57" s="1208"/>
      <c r="B57" s="2055" t="s">
        <v>1573</v>
      </c>
      <c r="C57" s="2056"/>
      <c r="D57" s="2056"/>
      <c r="E57" s="2056"/>
      <c r="F57" s="2056"/>
      <c r="G57" s="2056"/>
      <c r="H57" s="2056"/>
      <c r="I57" s="2056"/>
      <c r="J57" s="2056"/>
      <c r="K57" s="2056"/>
      <c r="L57" s="2056"/>
      <c r="M57" s="2056"/>
      <c r="N57" s="2056"/>
      <c r="O57" s="2056"/>
      <c r="P57" s="2056"/>
      <c r="Q57" s="2056"/>
      <c r="R57" s="2057">
        <f>SUM(R52:Y56)</f>
        <v>0</v>
      </c>
      <c r="S57" s="2057"/>
      <c r="T57" s="2057"/>
      <c r="U57" s="2057"/>
      <c r="V57" s="2057"/>
      <c r="W57" s="2057"/>
      <c r="X57" s="2057"/>
      <c r="Y57" s="2057"/>
      <c r="Z57" s="2058">
        <f>SUM(Z52:AG56)</f>
        <v>0</v>
      </c>
      <c r="AA57" s="2058"/>
      <c r="AB57" s="2058"/>
      <c r="AC57" s="2058"/>
      <c r="AD57" s="2058"/>
      <c r="AE57" s="2058"/>
      <c r="AF57" s="2058"/>
      <c r="AG57" s="2058"/>
      <c r="AH57" s="2059"/>
      <c r="AI57" s="2059"/>
      <c r="AJ57" s="2059"/>
      <c r="AK57" s="2059"/>
      <c r="AL57" s="2059"/>
      <c r="AM57" s="2059"/>
      <c r="AN57" s="2059"/>
      <c r="AO57" s="2060"/>
      <c r="AP57" s="1208"/>
      <c r="AQ57" s="1208"/>
      <c r="AR57" s="1208"/>
      <c r="AS57" s="1208"/>
      <c r="AT57" s="1208"/>
      <c r="AU57" s="1208"/>
      <c r="AV57" s="1208"/>
      <c r="AW57" s="1208"/>
      <c r="AX57" s="1208"/>
      <c r="AY57" s="1208"/>
      <c r="AZ57" s="1208"/>
      <c r="BA57" s="1208"/>
      <c r="BB57" s="1208"/>
      <c r="BC57" s="1208"/>
      <c r="BD57" s="1208"/>
      <c r="BE57" s="1217"/>
      <c r="BN57" s="1219"/>
      <c r="BO57" s="1219"/>
      <c r="BP57" s="1219"/>
      <c r="BQ57" s="1219"/>
      <c r="BR57" s="1219"/>
      <c r="BS57" s="1219"/>
      <c r="BT57" s="1219"/>
      <c r="BU57" s="1219"/>
      <c r="BV57" s="1219"/>
      <c r="BW57" s="1219"/>
      <c r="BX57" s="1219"/>
      <c r="BY57" s="1219"/>
    </row>
    <row r="58" spans="1:77"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4"/>
    </row>
    <row r="59" spans="1:77" ht="15.75" customHeight="1">
      <c r="A59" s="1207"/>
      <c r="B59" s="2046" t="s">
        <v>2333</v>
      </c>
      <c r="C59" s="2047"/>
      <c r="D59" s="2047"/>
      <c r="E59" s="2047"/>
      <c r="F59" s="2047"/>
      <c r="G59" s="2047"/>
      <c r="H59" s="2047"/>
      <c r="I59" s="2048"/>
      <c r="J59" s="1940" t="s">
        <v>2332</v>
      </c>
      <c r="K59" s="1940"/>
      <c r="L59" s="1940"/>
      <c r="M59" s="1940"/>
      <c r="N59" s="1940"/>
      <c r="O59" s="1940"/>
      <c r="P59" s="1940"/>
      <c r="Q59" s="1940"/>
      <c r="R59" s="1940"/>
      <c r="S59" s="1940"/>
      <c r="T59" s="1940"/>
      <c r="U59" s="1940"/>
      <c r="V59" s="1940"/>
      <c r="W59" s="1940"/>
      <c r="X59" s="1940"/>
      <c r="Y59" s="1940"/>
      <c r="Z59" s="1940"/>
      <c r="AA59" s="1940"/>
      <c r="AB59" s="1940"/>
      <c r="AC59" s="1940"/>
      <c r="AD59" s="1940"/>
      <c r="AE59" s="1940"/>
      <c r="AF59" s="1940"/>
      <c r="AG59" s="1940"/>
      <c r="AH59" s="1940"/>
      <c r="AI59" s="1940"/>
      <c r="AJ59" s="1940"/>
      <c r="AK59" s="1940"/>
      <c r="AL59" s="1940"/>
      <c r="AM59" s="1940"/>
      <c r="AN59" s="1940"/>
      <c r="AO59" s="1940"/>
      <c r="AP59" s="1940"/>
      <c r="AQ59" s="1940"/>
      <c r="AR59" s="1940"/>
      <c r="AS59" s="1940"/>
      <c r="AT59" s="1940"/>
      <c r="AU59" s="1940"/>
      <c r="AV59" s="1940"/>
      <c r="AW59" s="1941"/>
      <c r="AX59" s="1207"/>
      <c r="AY59" s="1207"/>
      <c r="AZ59" s="1207"/>
      <c r="BA59" s="1207"/>
      <c r="BB59" s="1207"/>
      <c r="BC59" s="1207"/>
      <c r="BD59" s="1207"/>
      <c r="BE59" s="1214"/>
    </row>
    <row r="60" spans="1:77" ht="15.75" customHeight="1">
      <c r="A60" s="1207"/>
      <c r="B60" s="2049" t="str">
        <f>IF(B52="", "", B52)</f>
        <v>Services Company 1</v>
      </c>
      <c r="C60" s="2050"/>
      <c r="D60" s="2050"/>
      <c r="E60" s="2050"/>
      <c r="F60" s="2050"/>
      <c r="G60" s="2050"/>
      <c r="H60" s="2050"/>
      <c r="I60" s="2051"/>
      <c r="J60" s="2052"/>
      <c r="K60" s="2053"/>
      <c r="L60" s="2053"/>
      <c r="M60" s="2053"/>
      <c r="N60" s="2053"/>
      <c r="O60" s="2053"/>
      <c r="P60" s="2053"/>
      <c r="Q60" s="2053"/>
      <c r="R60" s="2053"/>
      <c r="S60" s="2053"/>
      <c r="T60" s="2053"/>
      <c r="U60" s="2053"/>
      <c r="V60" s="2053"/>
      <c r="W60" s="2053"/>
      <c r="X60" s="2053"/>
      <c r="Y60" s="2053"/>
      <c r="Z60" s="2053"/>
      <c r="AA60" s="2053"/>
      <c r="AB60" s="2053"/>
      <c r="AC60" s="2053"/>
      <c r="AD60" s="2053"/>
      <c r="AE60" s="2053"/>
      <c r="AF60" s="2053"/>
      <c r="AG60" s="2053"/>
      <c r="AH60" s="2053"/>
      <c r="AI60" s="2053"/>
      <c r="AJ60" s="2053"/>
      <c r="AK60" s="2053"/>
      <c r="AL60" s="2053"/>
      <c r="AM60" s="2053"/>
      <c r="AN60" s="2053"/>
      <c r="AO60" s="2053"/>
      <c r="AP60" s="2053"/>
      <c r="AQ60" s="2053"/>
      <c r="AR60" s="2053"/>
      <c r="AS60" s="2053"/>
      <c r="AT60" s="2053"/>
      <c r="AU60" s="2053"/>
      <c r="AV60" s="2053"/>
      <c r="AW60" s="2054"/>
      <c r="AX60" s="1207"/>
      <c r="AY60" s="1207"/>
      <c r="AZ60" s="1207"/>
      <c r="BA60" s="1207"/>
      <c r="BB60" s="1207"/>
      <c r="BC60" s="1207"/>
      <c r="BD60" s="1207"/>
      <c r="BE60" s="1214"/>
    </row>
    <row r="61" spans="1:77" ht="15.75" customHeight="1">
      <c r="A61" s="1207"/>
      <c r="B61" s="2049" t="str">
        <f>IF(B53="", "", B53)</f>
        <v>Services Company 2</v>
      </c>
      <c r="C61" s="2050"/>
      <c r="D61" s="2050"/>
      <c r="E61" s="2050"/>
      <c r="F61" s="2050"/>
      <c r="G61" s="2050"/>
      <c r="H61" s="2050"/>
      <c r="I61" s="2051"/>
      <c r="J61" s="2052"/>
      <c r="K61" s="2053"/>
      <c r="L61" s="2053"/>
      <c r="M61" s="2053"/>
      <c r="N61" s="2053"/>
      <c r="O61" s="2053"/>
      <c r="P61" s="2053"/>
      <c r="Q61" s="2053"/>
      <c r="R61" s="2053"/>
      <c r="S61" s="2053"/>
      <c r="T61" s="2053"/>
      <c r="U61" s="2053"/>
      <c r="V61" s="2053"/>
      <c r="W61" s="2053"/>
      <c r="X61" s="2053"/>
      <c r="Y61" s="2053"/>
      <c r="Z61" s="2053"/>
      <c r="AA61" s="2053"/>
      <c r="AB61" s="2053"/>
      <c r="AC61" s="2053"/>
      <c r="AD61" s="2053"/>
      <c r="AE61" s="2053"/>
      <c r="AF61" s="2053"/>
      <c r="AG61" s="2053"/>
      <c r="AH61" s="2053"/>
      <c r="AI61" s="2053"/>
      <c r="AJ61" s="2053"/>
      <c r="AK61" s="2053"/>
      <c r="AL61" s="2053"/>
      <c r="AM61" s="2053"/>
      <c r="AN61" s="2053"/>
      <c r="AO61" s="2053"/>
      <c r="AP61" s="2053"/>
      <c r="AQ61" s="2053"/>
      <c r="AR61" s="2053"/>
      <c r="AS61" s="2053"/>
      <c r="AT61" s="2053"/>
      <c r="AU61" s="2053"/>
      <c r="AV61" s="2053"/>
      <c r="AW61" s="2054"/>
      <c r="AX61" s="1207"/>
      <c r="AY61" s="1207"/>
      <c r="AZ61" s="1207"/>
      <c r="BA61" s="1207"/>
      <c r="BB61" s="1207"/>
      <c r="BC61" s="1207"/>
      <c r="BD61" s="1207"/>
      <c r="BE61" s="1214"/>
    </row>
    <row r="62" spans="1:77" ht="15.75" customHeight="1">
      <c r="A62" s="1207"/>
      <c r="B62" s="2049" t="str">
        <f>IF(B54="", "", B54)</f>
        <v/>
      </c>
      <c r="C62" s="2050"/>
      <c r="D62" s="2050"/>
      <c r="E62" s="2050"/>
      <c r="F62" s="2050"/>
      <c r="G62" s="2050"/>
      <c r="H62" s="2050"/>
      <c r="I62" s="2051"/>
      <c r="J62" s="2052"/>
      <c r="K62" s="2053"/>
      <c r="L62" s="2053"/>
      <c r="M62" s="2053"/>
      <c r="N62" s="2053"/>
      <c r="O62" s="2053"/>
      <c r="P62" s="2053"/>
      <c r="Q62" s="2053"/>
      <c r="R62" s="2053"/>
      <c r="S62" s="2053"/>
      <c r="T62" s="2053"/>
      <c r="U62" s="2053"/>
      <c r="V62" s="2053"/>
      <c r="W62" s="2053"/>
      <c r="X62" s="2053"/>
      <c r="Y62" s="2053"/>
      <c r="Z62" s="2053"/>
      <c r="AA62" s="2053"/>
      <c r="AB62" s="2053"/>
      <c r="AC62" s="2053"/>
      <c r="AD62" s="2053"/>
      <c r="AE62" s="2053"/>
      <c r="AF62" s="2053"/>
      <c r="AG62" s="2053"/>
      <c r="AH62" s="2053"/>
      <c r="AI62" s="2053"/>
      <c r="AJ62" s="2053"/>
      <c r="AK62" s="2053"/>
      <c r="AL62" s="2053"/>
      <c r="AM62" s="2053"/>
      <c r="AN62" s="2053"/>
      <c r="AO62" s="2053"/>
      <c r="AP62" s="2053"/>
      <c r="AQ62" s="2053"/>
      <c r="AR62" s="2053"/>
      <c r="AS62" s="2053"/>
      <c r="AT62" s="2053"/>
      <c r="AU62" s="2053"/>
      <c r="AV62" s="2053"/>
      <c r="AW62" s="2054"/>
      <c r="AX62" s="1207"/>
      <c r="AY62" s="1207"/>
      <c r="AZ62" s="1207"/>
      <c r="BA62" s="1207"/>
      <c r="BB62" s="1207"/>
      <c r="BC62" s="1207"/>
      <c r="BD62" s="1207"/>
      <c r="BE62" s="1214"/>
    </row>
    <row r="63" spans="1:77" ht="15.75" customHeight="1">
      <c r="A63" s="1207"/>
      <c r="B63" s="2049" t="str">
        <f>IF(B55="", "", B55)</f>
        <v/>
      </c>
      <c r="C63" s="2050"/>
      <c r="D63" s="2050"/>
      <c r="E63" s="2050"/>
      <c r="F63" s="2050"/>
      <c r="G63" s="2050"/>
      <c r="H63" s="2050"/>
      <c r="I63" s="2051"/>
      <c r="J63" s="2052"/>
      <c r="K63" s="2053"/>
      <c r="L63" s="2053"/>
      <c r="M63" s="2053"/>
      <c r="N63" s="2053"/>
      <c r="O63" s="2053"/>
      <c r="P63" s="2053"/>
      <c r="Q63" s="2053"/>
      <c r="R63" s="2053"/>
      <c r="S63" s="2053"/>
      <c r="T63" s="2053"/>
      <c r="U63" s="2053"/>
      <c r="V63" s="2053"/>
      <c r="W63" s="2053"/>
      <c r="X63" s="2053"/>
      <c r="Y63" s="2053"/>
      <c r="Z63" s="2053"/>
      <c r="AA63" s="2053"/>
      <c r="AB63" s="2053"/>
      <c r="AC63" s="2053"/>
      <c r="AD63" s="2053"/>
      <c r="AE63" s="2053"/>
      <c r="AF63" s="2053"/>
      <c r="AG63" s="2053"/>
      <c r="AH63" s="2053"/>
      <c r="AI63" s="2053"/>
      <c r="AJ63" s="2053"/>
      <c r="AK63" s="2053"/>
      <c r="AL63" s="2053"/>
      <c r="AM63" s="2053"/>
      <c r="AN63" s="2053"/>
      <c r="AO63" s="2053"/>
      <c r="AP63" s="2053"/>
      <c r="AQ63" s="2053"/>
      <c r="AR63" s="2053"/>
      <c r="AS63" s="2053"/>
      <c r="AT63" s="2053"/>
      <c r="AU63" s="2053"/>
      <c r="AV63" s="2053"/>
      <c r="AW63" s="2054"/>
      <c r="AX63" s="1207"/>
      <c r="AY63" s="1207"/>
      <c r="AZ63" s="1207"/>
      <c r="BA63" s="1207"/>
      <c r="BB63" s="1207"/>
      <c r="BC63" s="1207"/>
      <c r="BD63" s="1207"/>
      <c r="BE63" s="1214"/>
    </row>
    <row r="64" spans="1:77" ht="15.75" customHeight="1" thickBot="1">
      <c r="A64" s="1207"/>
      <c r="B64" s="2069" t="str">
        <f>IF(B56="", "", B56)</f>
        <v/>
      </c>
      <c r="C64" s="2070"/>
      <c r="D64" s="2070"/>
      <c r="E64" s="2070"/>
      <c r="F64" s="2070"/>
      <c r="G64" s="2070"/>
      <c r="H64" s="2070"/>
      <c r="I64" s="2071"/>
      <c r="J64" s="2072"/>
      <c r="K64" s="2073"/>
      <c r="L64" s="2073"/>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c r="AS64" s="2073"/>
      <c r="AT64" s="2073"/>
      <c r="AU64" s="2073"/>
      <c r="AV64" s="2073"/>
      <c r="AW64" s="2074"/>
      <c r="AX64" s="1207"/>
      <c r="AY64" s="1207"/>
      <c r="AZ64" s="1207"/>
      <c r="BA64" s="1207"/>
      <c r="BB64" s="1207"/>
      <c r="BC64" s="1207"/>
      <c r="BD64" s="1207"/>
      <c r="BE64" s="1214"/>
    </row>
    <row r="65" spans="1:94"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4"/>
    </row>
    <row r="66" spans="1:94" ht="15.75" customHeight="1">
      <c r="A66" s="1207"/>
      <c r="B66" s="1218" t="s">
        <v>2331</v>
      </c>
      <c r="C66" s="1218"/>
      <c r="D66" s="1218"/>
      <c r="E66" s="1218"/>
      <c r="F66" s="1218"/>
      <c r="G66" s="1218"/>
      <c r="H66" s="1218"/>
      <c r="I66" s="1218"/>
      <c r="J66" s="1218"/>
      <c r="K66" s="1218"/>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4"/>
    </row>
    <row r="67" spans="1:94"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4"/>
    </row>
    <row r="68" spans="1:94" ht="15.75" customHeight="1" thickBot="1">
      <c r="A68" s="1207"/>
      <c r="B68" s="1939" t="s">
        <v>2330</v>
      </c>
      <c r="C68" s="1940"/>
      <c r="D68" s="1940"/>
      <c r="E68" s="1940"/>
      <c r="F68" s="1940"/>
      <c r="G68" s="1940"/>
      <c r="H68" s="1940"/>
      <c r="I68" s="1940"/>
      <c r="J68" s="1940"/>
      <c r="K68" s="1940"/>
      <c r="L68" s="1940"/>
      <c r="M68" s="1940"/>
      <c r="N68" s="1940"/>
      <c r="O68" s="1940"/>
      <c r="P68" s="1940"/>
      <c r="Q68" s="1940"/>
      <c r="R68" s="1940"/>
      <c r="S68" s="1940"/>
      <c r="T68" s="1940"/>
      <c r="U68" s="1940"/>
      <c r="V68" s="1940"/>
      <c r="W68" s="1940"/>
      <c r="X68" s="1940"/>
      <c r="Y68" s="1940"/>
      <c r="Z68" s="1940"/>
      <c r="AA68" s="1941"/>
      <c r="AB68" s="1207"/>
      <c r="AC68" s="2081" t="s">
        <v>2329</v>
      </c>
      <c r="AD68" s="2082"/>
      <c r="AE68" s="2082"/>
      <c r="AF68" s="2082"/>
      <c r="AG68" s="2082"/>
      <c r="AH68" s="2082"/>
      <c r="AI68" s="2082"/>
      <c r="AJ68" s="2082"/>
      <c r="AK68" s="2082"/>
      <c r="AL68" s="2082"/>
      <c r="AM68" s="2082"/>
      <c r="AN68" s="2082"/>
      <c r="AO68" s="2082"/>
      <c r="AP68" s="2082"/>
      <c r="AQ68" s="2082"/>
      <c r="AR68" s="2082"/>
      <c r="AS68" s="2082"/>
      <c r="AT68" s="2082"/>
      <c r="AU68" s="2082"/>
      <c r="AV68" s="2061" t="s">
        <v>667</v>
      </c>
      <c r="AW68" s="2062"/>
      <c r="AX68" s="2062"/>
      <c r="AY68" s="2062"/>
      <c r="AZ68" s="2062"/>
      <c r="BA68" s="2062"/>
      <c r="BB68" s="2062"/>
      <c r="BC68" s="2063"/>
      <c r="BD68" s="1207"/>
      <c r="BE68" s="1214"/>
      <c r="BM68" s="1220" t="s">
        <v>2328</v>
      </c>
    </row>
    <row r="69" spans="1:94" ht="15.75" customHeight="1" thickTop="1" thickBot="1">
      <c r="A69" s="1207"/>
      <c r="B69" s="2064" t="s">
        <v>2327</v>
      </c>
      <c r="C69" s="2065"/>
      <c r="D69" s="2065"/>
      <c r="E69" s="2065"/>
      <c r="F69" s="2065"/>
      <c r="G69" s="2065"/>
      <c r="H69" s="2065"/>
      <c r="I69" s="2065"/>
      <c r="J69" s="2065"/>
      <c r="K69" s="2065"/>
      <c r="L69" s="2065"/>
      <c r="M69" s="2065"/>
      <c r="N69" s="2065"/>
      <c r="O69" s="1912" t="s">
        <v>2326</v>
      </c>
      <c r="P69" s="1913"/>
      <c r="Q69" s="1913"/>
      <c r="R69" s="1913"/>
      <c r="S69" s="1913"/>
      <c r="T69" s="1913"/>
      <c r="U69" s="1913"/>
      <c r="V69" s="1913"/>
      <c r="W69" s="1913"/>
      <c r="X69" s="1913"/>
      <c r="Y69" s="1913"/>
      <c r="Z69" s="1913"/>
      <c r="AA69" s="2066"/>
      <c r="AB69" s="1207"/>
      <c r="AC69" s="2067" t="s">
        <v>2325</v>
      </c>
      <c r="AD69" s="2068"/>
      <c r="AE69" s="2068"/>
      <c r="AF69" s="2068"/>
      <c r="AG69" s="2068"/>
      <c r="AH69" s="2068"/>
      <c r="AI69" s="2068"/>
      <c r="AJ69" s="2068"/>
      <c r="AK69" s="2068"/>
      <c r="AL69" s="2068"/>
      <c r="AM69" s="2068"/>
      <c r="AN69" s="2068"/>
      <c r="AO69" s="2068"/>
      <c r="AP69" s="2068"/>
      <c r="AQ69" s="2068"/>
      <c r="AR69" s="2068"/>
      <c r="AS69" s="2068"/>
      <c r="AT69" s="2068"/>
      <c r="AU69" s="2068"/>
      <c r="AV69" s="2061" t="s">
        <v>667</v>
      </c>
      <c r="AW69" s="2062"/>
      <c r="AX69" s="2062"/>
      <c r="AY69" s="2062"/>
      <c r="AZ69" s="2062"/>
      <c r="BA69" s="2062"/>
      <c r="BB69" s="2062"/>
      <c r="BC69" s="2063"/>
      <c r="BD69" s="1207"/>
      <c r="BE69" s="1214"/>
      <c r="BM69" s="1221" t="s">
        <v>543</v>
      </c>
    </row>
    <row r="70" spans="1:94" ht="15.75" customHeight="1">
      <c r="A70" s="1207"/>
      <c r="B70" s="2018" t="s">
        <v>2324</v>
      </c>
      <c r="C70" s="2019"/>
      <c r="D70" s="2019"/>
      <c r="E70" s="2019"/>
      <c r="F70" s="2019"/>
      <c r="G70" s="2019"/>
      <c r="H70" s="2019"/>
      <c r="I70" s="2019"/>
      <c r="J70" s="2019"/>
      <c r="K70" s="2019"/>
      <c r="L70" s="2019"/>
      <c r="M70" s="2019"/>
      <c r="N70" s="2019"/>
      <c r="O70" s="2075">
        <v>0</v>
      </c>
      <c r="P70" s="2075"/>
      <c r="Q70" s="2075"/>
      <c r="R70" s="2075"/>
      <c r="S70" s="2075"/>
      <c r="T70" s="2075"/>
      <c r="U70" s="2075"/>
      <c r="V70" s="2075"/>
      <c r="W70" s="2075"/>
      <c r="X70" s="2075"/>
      <c r="Y70" s="2075"/>
      <c r="Z70" s="2075"/>
      <c r="AA70" s="2076"/>
      <c r="AB70" s="1207"/>
      <c r="AC70" s="2034" t="s">
        <v>2323</v>
      </c>
      <c r="AD70" s="2035"/>
      <c r="AE70" s="2035"/>
      <c r="AF70" s="2077"/>
      <c r="AG70" s="2077"/>
      <c r="AH70" s="2077"/>
      <c r="AI70" s="2077"/>
      <c r="AJ70" s="2077"/>
      <c r="AK70" s="2077"/>
      <c r="AL70" s="2077"/>
      <c r="AM70" s="2077"/>
      <c r="AN70" s="2077"/>
      <c r="AO70" s="2077"/>
      <c r="AP70" s="2077"/>
      <c r="AQ70" s="2077"/>
      <c r="AR70" s="2077"/>
      <c r="AS70" s="2077"/>
      <c r="AT70" s="2077"/>
      <c r="AU70" s="2078"/>
      <c r="AV70" s="1207"/>
      <c r="AW70" s="1207"/>
      <c r="AX70" s="1207"/>
      <c r="AY70" s="1207"/>
      <c r="AZ70" s="1207"/>
      <c r="BA70" s="1207"/>
      <c r="BB70" s="1207"/>
      <c r="BC70" s="1207"/>
      <c r="BD70" s="1207"/>
      <c r="BE70" s="1214"/>
      <c r="BM70" s="1222" t="s">
        <v>667</v>
      </c>
    </row>
    <row r="71" spans="1:94" ht="15.75" customHeight="1" thickBot="1">
      <c r="A71" s="1207"/>
      <c r="B71" s="2018" t="s">
        <v>2322</v>
      </c>
      <c r="C71" s="2019"/>
      <c r="D71" s="2019"/>
      <c r="E71" s="2019"/>
      <c r="F71" s="2019"/>
      <c r="G71" s="2019"/>
      <c r="H71" s="2019"/>
      <c r="I71" s="2019"/>
      <c r="J71" s="2019"/>
      <c r="K71" s="2019"/>
      <c r="L71" s="2019"/>
      <c r="M71" s="2019"/>
      <c r="N71" s="2019"/>
      <c r="O71" s="2075">
        <v>0</v>
      </c>
      <c r="P71" s="2075"/>
      <c r="Q71" s="2075"/>
      <c r="R71" s="2075"/>
      <c r="S71" s="2075"/>
      <c r="T71" s="2075"/>
      <c r="U71" s="2075"/>
      <c r="V71" s="2075"/>
      <c r="W71" s="2075"/>
      <c r="X71" s="2075"/>
      <c r="Y71" s="2075"/>
      <c r="Z71" s="2075"/>
      <c r="AA71" s="2076"/>
      <c r="AB71" s="1207"/>
      <c r="AC71" s="2079" t="s">
        <v>2321</v>
      </c>
      <c r="AD71" s="2080"/>
      <c r="AE71" s="2080"/>
      <c r="AF71" s="2073"/>
      <c r="AG71" s="2073"/>
      <c r="AH71" s="2073"/>
      <c r="AI71" s="2073"/>
      <c r="AJ71" s="2073"/>
      <c r="AK71" s="2073"/>
      <c r="AL71" s="2073"/>
      <c r="AM71" s="2073"/>
      <c r="AN71" s="2073"/>
      <c r="AO71" s="2073"/>
      <c r="AP71" s="2073"/>
      <c r="AQ71" s="2073"/>
      <c r="AR71" s="2073"/>
      <c r="AS71" s="2073"/>
      <c r="AT71" s="2073"/>
      <c r="AU71" s="2074"/>
      <c r="AV71" s="1207"/>
      <c r="AW71" s="1207"/>
      <c r="AX71" s="1207"/>
      <c r="AY71" s="1207"/>
      <c r="AZ71" s="1207"/>
      <c r="BA71" s="1207"/>
      <c r="BB71" s="1207"/>
      <c r="BC71" s="1207"/>
      <c r="BD71" s="1207"/>
      <c r="BE71" s="1214"/>
      <c r="BM71" s="1203" t="s">
        <v>2320</v>
      </c>
    </row>
    <row r="72" spans="1:94" ht="15.75" customHeight="1">
      <c r="A72" s="1207"/>
      <c r="B72" s="2018" t="s">
        <v>2319</v>
      </c>
      <c r="C72" s="2019"/>
      <c r="D72" s="2019"/>
      <c r="E72" s="2019"/>
      <c r="F72" s="2019"/>
      <c r="G72" s="2019"/>
      <c r="H72" s="2019"/>
      <c r="I72" s="2019"/>
      <c r="J72" s="2019"/>
      <c r="K72" s="2019"/>
      <c r="L72" s="2019"/>
      <c r="M72" s="2019"/>
      <c r="N72" s="2019"/>
      <c r="O72" s="2075">
        <v>0</v>
      </c>
      <c r="P72" s="2075"/>
      <c r="Q72" s="2075"/>
      <c r="R72" s="2075"/>
      <c r="S72" s="2075"/>
      <c r="T72" s="2075"/>
      <c r="U72" s="2075"/>
      <c r="V72" s="2075"/>
      <c r="W72" s="2075"/>
      <c r="X72" s="2075"/>
      <c r="Y72" s="2075"/>
      <c r="Z72" s="2075"/>
      <c r="AA72" s="2076"/>
      <c r="AB72" s="1207"/>
      <c r="AC72" s="2083" t="s">
        <v>2318</v>
      </c>
      <c r="AD72" s="2084"/>
      <c r="AE72" s="2084"/>
      <c r="AF72" s="2084"/>
      <c r="AG72" s="2084"/>
      <c r="AH72" s="2084"/>
      <c r="AI72" s="2084"/>
      <c r="AJ72" s="2084"/>
      <c r="AK72" s="2084"/>
      <c r="AL72" s="2084"/>
      <c r="AM72" s="2084"/>
      <c r="AN72" s="2084"/>
      <c r="AO72" s="2084"/>
      <c r="AP72" s="2084"/>
      <c r="AQ72" s="2084"/>
      <c r="AR72" s="2084"/>
      <c r="AS72" s="2084"/>
      <c r="AT72" s="2084"/>
      <c r="AU72" s="2084"/>
      <c r="AV72" s="2035"/>
      <c r="AW72" s="2035"/>
      <c r="AX72" s="2035"/>
      <c r="AY72" s="2035"/>
      <c r="AZ72" s="2035"/>
      <c r="BA72" s="2035"/>
      <c r="BB72" s="2035"/>
      <c r="BC72" s="2036"/>
      <c r="BD72" s="1207"/>
      <c r="BE72" s="1214"/>
    </row>
    <row r="73" spans="1:94" ht="15.75" customHeight="1">
      <c r="A73" s="1207"/>
      <c r="B73" s="2022" t="s">
        <v>2317</v>
      </c>
      <c r="C73" s="2023"/>
      <c r="D73" s="2023"/>
      <c r="E73" s="2023"/>
      <c r="F73" s="2023"/>
      <c r="G73" s="2023"/>
      <c r="H73" s="2023"/>
      <c r="I73" s="2023"/>
      <c r="J73" s="2023"/>
      <c r="K73" s="2023"/>
      <c r="L73" s="2023"/>
      <c r="M73" s="2023"/>
      <c r="N73" s="2023"/>
      <c r="O73" s="2075">
        <v>0</v>
      </c>
      <c r="P73" s="2075"/>
      <c r="Q73" s="2075"/>
      <c r="R73" s="2075"/>
      <c r="S73" s="2075"/>
      <c r="T73" s="2075"/>
      <c r="U73" s="2075"/>
      <c r="V73" s="2075"/>
      <c r="W73" s="2075"/>
      <c r="X73" s="2075"/>
      <c r="Y73" s="2075"/>
      <c r="Z73" s="2075"/>
      <c r="AA73" s="2076"/>
      <c r="AB73" s="1207"/>
      <c r="AC73" s="2085" t="s">
        <v>2270</v>
      </c>
      <c r="AD73" s="2086"/>
      <c r="AE73" s="2086"/>
      <c r="AF73" s="2086"/>
      <c r="AG73" s="2086"/>
      <c r="AH73" s="2086"/>
      <c r="AI73" s="2086"/>
      <c r="AJ73" s="2086"/>
      <c r="AK73" s="2086"/>
      <c r="AL73" s="2086"/>
      <c r="AM73" s="2086"/>
      <c r="AN73" s="2086"/>
      <c r="AO73" s="2086"/>
      <c r="AP73" s="2086"/>
      <c r="AQ73" s="2086"/>
      <c r="AR73" s="2086"/>
      <c r="AS73" s="2086"/>
      <c r="AT73" s="2086"/>
      <c r="AU73" s="2086"/>
      <c r="AV73" s="2086"/>
      <c r="AW73" s="2086"/>
      <c r="AX73" s="2086"/>
      <c r="AY73" s="2086"/>
      <c r="AZ73" s="2086"/>
      <c r="BA73" s="2086"/>
      <c r="BB73" s="2086"/>
      <c r="BC73" s="2087"/>
      <c r="BD73" s="1207"/>
      <c r="BE73" s="1214"/>
      <c r="CK73" s="1205"/>
      <c r="CL73" s="1205"/>
      <c r="CM73" s="1205"/>
      <c r="CN73" s="1205"/>
      <c r="CO73" s="1205"/>
      <c r="CP73" s="1205"/>
    </row>
    <row r="74" spans="1:94" ht="15.75" customHeight="1">
      <c r="A74" s="1207"/>
      <c r="B74" s="2091"/>
      <c r="C74" s="2041"/>
      <c r="D74" s="2041"/>
      <c r="E74" s="2041"/>
      <c r="F74" s="2041"/>
      <c r="G74" s="2041"/>
      <c r="H74" s="2041"/>
      <c r="I74" s="2041"/>
      <c r="J74" s="2041"/>
      <c r="K74" s="2041"/>
      <c r="L74" s="2041"/>
      <c r="M74" s="2041"/>
      <c r="N74" s="2041"/>
      <c r="O74" s="2075"/>
      <c r="P74" s="2075"/>
      <c r="Q74" s="2075"/>
      <c r="R74" s="2075"/>
      <c r="S74" s="2075"/>
      <c r="T74" s="2075"/>
      <c r="U74" s="2075"/>
      <c r="V74" s="2075"/>
      <c r="W74" s="2075"/>
      <c r="X74" s="2075"/>
      <c r="Y74" s="2075"/>
      <c r="Z74" s="2075"/>
      <c r="AA74" s="2076"/>
      <c r="AB74" s="1207"/>
      <c r="AC74" s="2085"/>
      <c r="AD74" s="2086"/>
      <c r="AE74" s="2086"/>
      <c r="AF74" s="2086"/>
      <c r="AG74" s="2086"/>
      <c r="AH74" s="2086"/>
      <c r="AI74" s="2086"/>
      <c r="AJ74" s="2086"/>
      <c r="AK74" s="2086"/>
      <c r="AL74" s="2086"/>
      <c r="AM74" s="2086"/>
      <c r="AN74" s="2086"/>
      <c r="AO74" s="2086"/>
      <c r="AP74" s="2086"/>
      <c r="AQ74" s="2086"/>
      <c r="AR74" s="2086"/>
      <c r="AS74" s="2086"/>
      <c r="AT74" s="2086"/>
      <c r="AU74" s="2086"/>
      <c r="AV74" s="2086"/>
      <c r="AW74" s="2086"/>
      <c r="AX74" s="2086"/>
      <c r="AY74" s="2086"/>
      <c r="AZ74" s="2086"/>
      <c r="BA74" s="2086"/>
      <c r="BB74" s="2086"/>
      <c r="BC74" s="2087"/>
      <c r="BD74" s="1207"/>
      <c r="BE74" s="1214"/>
      <c r="CK74" s="1205"/>
      <c r="CL74" s="1205"/>
      <c r="CM74" s="1205"/>
      <c r="CN74" s="1205"/>
      <c r="CO74" s="1205"/>
      <c r="CP74" s="1205"/>
    </row>
    <row r="75" spans="1:94" ht="15.75" customHeight="1" thickBot="1">
      <c r="A75" s="1207"/>
      <c r="B75" s="2092" t="s">
        <v>124</v>
      </c>
      <c r="C75" s="2093"/>
      <c r="D75" s="2093"/>
      <c r="E75" s="2093"/>
      <c r="F75" s="2093"/>
      <c r="G75" s="2093"/>
      <c r="H75" s="2093"/>
      <c r="I75" s="2093"/>
      <c r="J75" s="2093"/>
      <c r="K75" s="2093"/>
      <c r="L75" s="2093"/>
      <c r="M75" s="2093"/>
      <c r="N75" s="2093"/>
      <c r="O75" s="2094">
        <f>SUM(O70:AA74)</f>
        <v>0</v>
      </c>
      <c r="P75" s="2094"/>
      <c r="Q75" s="2094"/>
      <c r="R75" s="2094"/>
      <c r="S75" s="2094"/>
      <c r="T75" s="2094"/>
      <c r="U75" s="2094"/>
      <c r="V75" s="2094"/>
      <c r="W75" s="2094"/>
      <c r="X75" s="2094"/>
      <c r="Y75" s="2094"/>
      <c r="Z75" s="2094"/>
      <c r="AA75" s="2095"/>
      <c r="AB75" s="1207"/>
      <c r="AC75" s="2085"/>
      <c r="AD75" s="2086"/>
      <c r="AE75" s="2086"/>
      <c r="AF75" s="2086"/>
      <c r="AG75" s="2086"/>
      <c r="AH75" s="2086"/>
      <c r="AI75" s="2086"/>
      <c r="AJ75" s="2086"/>
      <c r="AK75" s="2086"/>
      <c r="AL75" s="2086"/>
      <c r="AM75" s="2086"/>
      <c r="AN75" s="2086"/>
      <c r="AO75" s="2086"/>
      <c r="AP75" s="2086"/>
      <c r="AQ75" s="2086"/>
      <c r="AR75" s="2086"/>
      <c r="AS75" s="2086"/>
      <c r="AT75" s="2086"/>
      <c r="AU75" s="2086"/>
      <c r="AV75" s="2086"/>
      <c r="AW75" s="2086"/>
      <c r="AX75" s="2086"/>
      <c r="AY75" s="2086"/>
      <c r="AZ75" s="2086"/>
      <c r="BA75" s="2086"/>
      <c r="BB75" s="2086"/>
      <c r="BC75" s="2087"/>
      <c r="BD75" s="1207"/>
      <c r="BE75" s="1214"/>
      <c r="CK75" s="1205"/>
      <c r="CL75" s="1205"/>
      <c r="CM75" s="1205"/>
      <c r="CN75" s="1205"/>
      <c r="CO75" s="1205"/>
      <c r="CP75" s="1205"/>
    </row>
    <row r="76" spans="1:94"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085"/>
      <c r="AD76" s="2086"/>
      <c r="AE76" s="2086"/>
      <c r="AF76" s="2086"/>
      <c r="AG76" s="2086"/>
      <c r="AH76" s="2086"/>
      <c r="AI76" s="2086"/>
      <c r="AJ76" s="2086"/>
      <c r="AK76" s="2086"/>
      <c r="AL76" s="2086"/>
      <c r="AM76" s="2086"/>
      <c r="AN76" s="2086"/>
      <c r="AO76" s="2086"/>
      <c r="AP76" s="2086"/>
      <c r="AQ76" s="2086"/>
      <c r="AR76" s="2086"/>
      <c r="AS76" s="2086"/>
      <c r="AT76" s="2086"/>
      <c r="AU76" s="2086"/>
      <c r="AV76" s="2086"/>
      <c r="AW76" s="2086"/>
      <c r="AX76" s="2086"/>
      <c r="AY76" s="2086"/>
      <c r="AZ76" s="2086"/>
      <c r="BA76" s="2086"/>
      <c r="BB76" s="2086"/>
      <c r="BC76" s="2087"/>
      <c r="BD76" s="1207"/>
      <c r="BE76" s="1214"/>
      <c r="CK76" s="1205"/>
      <c r="CL76" s="1205"/>
      <c r="CM76" s="1205"/>
      <c r="CN76" s="1205"/>
      <c r="CO76" s="1205"/>
      <c r="CP76" s="1205"/>
    </row>
    <row r="77" spans="1:94" ht="15.75" customHeight="1" thickBot="1">
      <c r="A77" s="1207"/>
      <c r="B77" s="1207"/>
      <c r="C77" s="1207"/>
      <c r="D77" s="1207"/>
      <c r="E77" s="1207"/>
      <c r="F77" s="1207"/>
      <c r="G77" s="1207"/>
      <c r="H77" s="1207"/>
      <c r="I77" s="1207"/>
      <c r="J77" s="1207"/>
      <c r="K77" s="1207"/>
      <c r="L77" s="1207"/>
      <c r="M77" s="1207"/>
      <c r="N77" s="1207"/>
      <c r="O77" s="1207"/>
      <c r="P77" s="1207"/>
      <c r="Q77" s="1207"/>
      <c r="R77" s="1207"/>
      <c r="S77" s="1207"/>
      <c r="T77" s="1207"/>
      <c r="U77" s="1207"/>
      <c r="V77" s="1207"/>
      <c r="W77" s="1207"/>
      <c r="X77" s="1207"/>
      <c r="Y77" s="1207"/>
      <c r="Z77" s="1207"/>
      <c r="AA77" s="1207"/>
      <c r="AB77" s="1207"/>
      <c r="AC77" s="2088"/>
      <c r="AD77" s="2089"/>
      <c r="AE77" s="2089"/>
      <c r="AF77" s="2089"/>
      <c r="AG77" s="2089"/>
      <c r="AH77" s="2089"/>
      <c r="AI77" s="2089"/>
      <c r="AJ77" s="2089"/>
      <c r="AK77" s="2089"/>
      <c r="AL77" s="2089"/>
      <c r="AM77" s="2089"/>
      <c r="AN77" s="2089"/>
      <c r="AO77" s="2089"/>
      <c r="AP77" s="2089"/>
      <c r="AQ77" s="2089"/>
      <c r="AR77" s="2089"/>
      <c r="AS77" s="2089"/>
      <c r="AT77" s="2089"/>
      <c r="AU77" s="2089"/>
      <c r="AV77" s="2089"/>
      <c r="AW77" s="2089"/>
      <c r="AX77" s="2089"/>
      <c r="AY77" s="2089"/>
      <c r="AZ77" s="2089"/>
      <c r="BA77" s="2089"/>
      <c r="BB77" s="2089"/>
      <c r="BC77" s="2090"/>
      <c r="BD77" s="1207"/>
      <c r="BE77" s="1214"/>
      <c r="CK77" s="1205"/>
      <c r="CL77" s="1205"/>
      <c r="CM77" s="1205"/>
      <c r="CN77" s="1205"/>
      <c r="CO77" s="1205"/>
      <c r="CP77" s="1205"/>
    </row>
    <row r="78" spans="1:94" ht="15.75" customHeight="1" thickBot="1">
      <c r="A78" s="1207"/>
      <c r="B78" s="1223" t="s">
        <v>2316</v>
      </c>
      <c r="C78" s="1224"/>
      <c r="D78" s="1225"/>
      <c r="E78" s="1225"/>
      <c r="F78" s="1225"/>
      <c r="G78" s="1225"/>
      <c r="H78" s="1225"/>
      <c r="I78" s="1225"/>
      <c r="J78" s="1225"/>
      <c r="K78" s="1225"/>
      <c r="L78" s="1225"/>
      <c r="M78" s="1225"/>
      <c r="N78" s="1225"/>
      <c r="O78" s="1225"/>
      <c r="P78" s="1225"/>
      <c r="Q78" s="1225"/>
      <c r="R78" s="1225"/>
      <c r="S78" s="1225"/>
      <c r="T78" s="1226"/>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4"/>
      <c r="CK78" s="1205"/>
      <c r="CL78" s="1205"/>
      <c r="CM78" s="1205"/>
      <c r="CN78" s="1205"/>
      <c r="CO78" s="1205"/>
      <c r="CP78" s="1205"/>
    </row>
    <row r="79" spans="1:94" ht="15.75" customHeight="1">
      <c r="A79" s="1207"/>
      <c r="B79" s="1223" t="s">
        <v>2223</v>
      </c>
      <c r="C79" s="1227"/>
      <c r="D79" s="1227"/>
      <c r="E79" s="1228"/>
      <c r="F79" s="2096"/>
      <c r="G79" s="2097"/>
      <c r="H79" s="2097"/>
      <c r="I79" s="2097"/>
      <c r="J79" s="2097"/>
      <c r="K79" s="2097"/>
      <c r="L79" s="2097"/>
      <c r="M79" s="2097"/>
      <c r="N79" s="2097"/>
      <c r="O79" s="2097"/>
      <c r="P79" s="2097"/>
      <c r="Q79" s="2097"/>
      <c r="R79" s="2097"/>
      <c r="S79" s="2097"/>
      <c r="T79" s="2098"/>
      <c r="U79" s="1207"/>
      <c r="V79" s="1207"/>
      <c r="W79" s="1207"/>
      <c r="X79" s="1207"/>
      <c r="Y79" s="1207"/>
      <c r="Z79" s="1207"/>
      <c r="AA79" s="1207"/>
      <c r="AB79" s="1207"/>
      <c r="AC79" s="1207"/>
      <c r="AD79" s="1207"/>
      <c r="AE79" s="1207"/>
      <c r="AF79" s="1207"/>
      <c r="AG79" s="1207"/>
      <c r="AH79" s="1207"/>
      <c r="AI79" s="1207"/>
      <c r="AJ79" s="1207"/>
      <c r="AK79" s="1207"/>
      <c r="AL79" s="1207"/>
      <c r="AM79" s="1207"/>
      <c r="AN79" s="1207"/>
      <c r="AO79" s="1207"/>
      <c r="AP79" s="1207"/>
      <c r="AQ79" s="1207"/>
      <c r="AR79" s="1207"/>
      <c r="AS79" s="1207"/>
      <c r="AT79" s="1207"/>
      <c r="AU79" s="1207"/>
      <c r="AV79" s="1207"/>
      <c r="AW79" s="1207"/>
      <c r="AX79" s="1207"/>
      <c r="AY79" s="1207"/>
      <c r="AZ79" s="1207"/>
      <c r="BA79" s="1207"/>
      <c r="BB79" s="1207"/>
      <c r="BC79" s="1207"/>
      <c r="BD79" s="1207"/>
      <c r="BE79" s="1214"/>
      <c r="CK79" s="1205"/>
      <c r="CL79" s="1205"/>
      <c r="CM79" s="1205"/>
      <c r="CN79" s="1205"/>
      <c r="CO79" s="1205"/>
      <c r="CP79" s="1205"/>
    </row>
    <row r="80" spans="1:94" ht="15.75" customHeight="1" thickBot="1">
      <c r="A80" s="1207"/>
      <c r="B80" s="1207"/>
      <c r="C80" s="1207"/>
      <c r="D80" s="1207"/>
      <c r="E80" s="1207"/>
      <c r="F80" s="1207"/>
      <c r="G80" s="1207"/>
      <c r="H80" s="1207"/>
      <c r="I80" s="1207"/>
      <c r="J80" s="1207"/>
      <c r="K80" s="1207"/>
      <c r="L80" s="1207"/>
      <c r="M80" s="1207"/>
      <c r="N80" s="1207"/>
      <c r="O80" s="1207"/>
      <c r="P80" s="1207"/>
      <c r="Q80" s="1207"/>
      <c r="R80" s="1207"/>
      <c r="S80" s="1207"/>
      <c r="T80" s="1207"/>
      <c r="U80" s="1207"/>
      <c r="V80" s="1207"/>
      <c r="W80" s="1207"/>
      <c r="X80" s="1207"/>
      <c r="Y80" s="1207"/>
      <c r="Z80" s="1207"/>
      <c r="AA80" s="1207"/>
      <c r="AB80" s="1207"/>
      <c r="AC80" s="1207"/>
      <c r="AD80" s="1207"/>
      <c r="AE80" s="1207"/>
      <c r="AF80" s="1207"/>
      <c r="AG80" s="1207"/>
      <c r="AH80" s="1207"/>
      <c r="AI80" s="1207"/>
      <c r="AJ80" s="1207"/>
      <c r="AK80" s="1207"/>
      <c r="AL80" s="1207"/>
      <c r="AM80" s="1207"/>
      <c r="AN80" s="1207"/>
      <c r="AO80" s="1207"/>
      <c r="AP80" s="1207"/>
      <c r="AQ80" s="1207"/>
      <c r="AR80" s="1207"/>
      <c r="AS80" s="1207"/>
      <c r="AT80" s="1207"/>
      <c r="AU80" s="1207"/>
      <c r="AV80" s="1207"/>
      <c r="AW80" s="1207"/>
      <c r="AX80" s="1207"/>
      <c r="AY80" s="1207"/>
      <c r="AZ80" s="1207"/>
      <c r="BA80" s="1207"/>
      <c r="BB80" s="1207"/>
      <c r="BC80" s="1207"/>
      <c r="BD80" s="1207"/>
      <c r="BE80" s="1214"/>
      <c r="CK80" s="1205"/>
      <c r="CL80" s="1205"/>
      <c r="CM80" s="1205"/>
      <c r="CN80" s="1205"/>
      <c r="CO80" s="1205"/>
      <c r="CP80" s="1205"/>
    </row>
    <row r="81" spans="1:94" ht="15.75" customHeight="1">
      <c r="A81" s="1207"/>
      <c r="B81" s="2099" t="s">
        <v>2315</v>
      </c>
      <c r="C81" s="2100"/>
      <c r="D81" s="2100"/>
      <c r="E81" s="2100"/>
      <c r="F81" s="2100"/>
      <c r="G81" s="2100"/>
      <c r="H81" s="2100"/>
      <c r="I81" s="2100"/>
      <c r="J81" s="2100"/>
      <c r="K81" s="2100"/>
      <c r="L81" s="2100"/>
      <c r="M81" s="2100"/>
      <c r="N81" s="2100"/>
      <c r="O81" s="2100"/>
      <c r="P81" s="2100"/>
      <c r="Q81" s="2100"/>
      <c r="R81" s="2100"/>
      <c r="S81" s="2100"/>
      <c r="T81" s="2100"/>
      <c r="U81" s="2100"/>
      <c r="V81" s="2100"/>
      <c r="W81" s="2100"/>
      <c r="X81" s="2100"/>
      <c r="Y81" s="2100"/>
      <c r="Z81" s="2100"/>
      <c r="AA81" s="2100"/>
      <c r="AB81" s="2100"/>
      <c r="AC81" s="2100"/>
      <c r="AD81" s="2100"/>
      <c r="AE81" s="2100"/>
      <c r="AF81" s="2100"/>
      <c r="AG81" s="2100"/>
      <c r="AH81" s="2101"/>
      <c r="AI81" s="1207"/>
      <c r="AJ81" s="2102" t="s">
        <v>2621</v>
      </c>
      <c r="AK81" s="2103"/>
      <c r="AL81" s="2103"/>
      <c r="AM81" s="2103"/>
      <c r="AN81" s="2103"/>
      <c r="AO81" s="2103"/>
      <c r="AP81" s="2103"/>
      <c r="AQ81" s="2103"/>
      <c r="AR81" s="2103"/>
      <c r="AS81" s="2103"/>
      <c r="AT81" s="2103"/>
      <c r="AU81" s="2103"/>
      <c r="AV81" s="2103"/>
      <c r="AW81" s="2103"/>
      <c r="AX81" s="2103"/>
      <c r="AY81" s="2106" t="s">
        <v>543</v>
      </c>
      <c r="AZ81" s="2106"/>
      <c r="BA81" s="2106"/>
      <c r="BB81" s="2107"/>
      <c r="BC81" s="1207"/>
      <c r="BD81" s="1207"/>
      <c r="BE81" s="1214"/>
      <c r="CK81" s="1205"/>
      <c r="CL81" s="1205"/>
      <c r="CM81" s="1205"/>
      <c r="CN81" s="1205"/>
      <c r="CO81" s="1205"/>
      <c r="CP81" s="1205"/>
    </row>
    <row r="82" spans="1:94" ht="15.75" customHeight="1">
      <c r="A82" s="1207"/>
      <c r="B82" s="2037"/>
      <c r="C82" s="2038"/>
      <c r="D82" s="2038"/>
      <c r="E82" s="2038"/>
      <c r="F82" s="2038"/>
      <c r="G82" s="2038"/>
      <c r="H82" s="2038"/>
      <c r="I82" s="2038" t="s">
        <v>2309</v>
      </c>
      <c r="J82" s="2038"/>
      <c r="K82" s="2038"/>
      <c r="L82" s="2038"/>
      <c r="M82" s="2038"/>
      <c r="N82" s="2038"/>
      <c r="O82" s="2038" t="s">
        <v>2286</v>
      </c>
      <c r="P82" s="2038"/>
      <c r="Q82" s="2038"/>
      <c r="R82" s="2038"/>
      <c r="S82" s="2038"/>
      <c r="T82" s="2038"/>
      <c r="U82" s="2038"/>
      <c r="V82" s="2110" t="s">
        <v>2285</v>
      </c>
      <c r="W82" s="2110"/>
      <c r="X82" s="2110"/>
      <c r="Y82" s="2110"/>
      <c r="Z82" s="2110"/>
      <c r="AA82" s="2110"/>
      <c r="AB82" s="2111" t="s">
        <v>2308</v>
      </c>
      <c r="AC82" s="2111"/>
      <c r="AD82" s="2111"/>
      <c r="AE82" s="2111"/>
      <c r="AF82" s="2111"/>
      <c r="AG82" s="2111"/>
      <c r="AH82" s="2112"/>
      <c r="AI82" s="1207"/>
      <c r="AJ82" s="2104"/>
      <c r="AK82" s="2105"/>
      <c r="AL82" s="2105"/>
      <c r="AM82" s="2105"/>
      <c r="AN82" s="2105"/>
      <c r="AO82" s="2105"/>
      <c r="AP82" s="2105"/>
      <c r="AQ82" s="2105"/>
      <c r="AR82" s="2105"/>
      <c r="AS82" s="2105"/>
      <c r="AT82" s="2105"/>
      <c r="AU82" s="2105"/>
      <c r="AV82" s="2105"/>
      <c r="AW82" s="2105"/>
      <c r="AX82" s="2105"/>
      <c r="AY82" s="2108"/>
      <c r="AZ82" s="2108"/>
      <c r="BA82" s="2108"/>
      <c r="BB82" s="2109"/>
      <c r="BC82" s="1207"/>
      <c r="BD82" s="1207"/>
      <c r="BE82" s="1214"/>
      <c r="CK82" s="1205"/>
      <c r="CL82" s="1205"/>
      <c r="CM82" s="1205"/>
      <c r="CN82" s="1205"/>
      <c r="CO82" s="1205"/>
      <c r="CP82" s="1205"/>
    </row>
    <row r="83" spans="1:94" ht="15.75" customHeight="1">
      <c r="A83" s="1207"/>
      <c r="B83" s="2037"/>
      <c r="C83" s="2038"/>
      <c r="D83" s="2038"/>
      <c r="E83" s="2038"/>
      <c r="F83" s="2038"/>
      <c r="G83" s="2038"/>
      <c r="H83" s="2038"/>
      <c r="I83" s="2038"/>
      <c r="J83" s="2038"/>
      <c r="K83" s="2038"/>
      <c r="L83" s="2038"/>
      <c r="M83" s="2038"/>
      <c r="N83" s="2038"/>
      <c r="O83" s="2038"/>
      <c r="P83" s="2038"/>
      <c r="Q83" s="2038"/>
      <c r="R83" s="2038"/>
      <c r="S83" s="2038"/>
      <c r="T83" s="2038"/>
      <c r="U83" s="2038"/>
      <c r="V83" s="2110"/>
      <c r="W83" s="2110"/>
      <c r="X83" s="2110"/>
      <c r="Y83" s="2110"/>
      <c r="Z83" s="2110"/>
      <c r="AA83" s="2110"/>
      <c r="AB83" s="2111"/>
      <c r="AC83" s="2111"/>
      <c r="AD83" s="2111"/>
      <c r="AE83" s="2111"/>
      <c r="AF83" s="2111"/>
      <c r="AG83" s="2111"/>
      <c r="AH83" s="2112"/>
      <c r="AI83" s="1207"/>
      <c r="AJ83" s="2104"/>
      <c r="AK83" s="2105"/>
      <c r="AL83" s="2105"/>
      <c r="AM83" s="2105"/>
      <c r="AN83" s="2105"/>
      <c r="AO83" s="2105"/>
      <c r="AP83" s="2105"/>
      <c r="AQ83" s="2105"/>
      <c r="AR83" s="2105"/>
      <c r="AS83" s="2105"/>
      <c r="AT83" s="2105"/>
      <c r="AU83" s="2105"/>
      <c r="AV83" s="2105"/>
      <c r="AW83" s="2105"/>
      <c r="AX83" s="2105"/>
      <c r="AY83" s="2108"/>
      <c r="AZ83" s="2108"/>
      <c r="BA83" s="2108"/>
      <c r="BB83" s="2109"/>
      <c r="BC83" s="1207"/>
      <c r="BD83" s="1207"/>
      <c r="BE83" s="1214"/>
      <c r="CK83" s="1205"/>
      <c r="CL83" s="1205"/>
      <c r="CM83" s="1205"/>
      <c r="CN83" s="1205"/>
      <c r="CO83" s="1205"/>
      <c r="CP83" s="1205"/>
    </row>
    <row r="84" spans="1:94" ht="15.75" customHeight="1">
      <c r="A84" s="1207"/>
      <c r="B84" s="2037" t="s">
        <v>2307</v>
      </c>
      <c r="C84" s="2038"/>
      <c r="D84" s="2038"/>
      <c r="E84" s="2038"/>
      <c r="F84" s="2038"/>
      <c r="G84" s="2038"/>
      <c r="H84" s="2038"/>
      <c r="I84" s="2115">
        <v>0</v>
      </c>
      <c r="J84" s="2115"/>
      <c r="K84" s="2115"/>
      <c r="L84" s="2115"/>
      <c r="M84" s="2115"/>
      <c r="N84" s="2115"/>
      <c r="O84" s="2115">
        <v>0</v>
      </c>
      <c r="P84" s="2115"/>
      <c r="Q84" s="2115"/>
      <c r="R84" s="2115"/>
      <c r="S84" s="2115"/>
      <c r="T84" s="2115"/>
      <c r="U84" s="2115"/>
      <c r="V84" s="2115">
        <v>0</v>
      </c>
      <c r="W84" s="2115"/>
      <c r="X84" s="2115"/>
      <c r="Y84" s="2115"/>
      <c r="Z84" s="2115"/>
      <c r="AA84" s="2115"/>
      <c r="AB84" s="2115">
        <v>0</v>
      </c>
      <c r="AC84" s="2115"/>
      <c r="AD84" s="2115"/>
      <c r="AE84" s="2115"/>
      <c r="AF84" s="2115"/>
      <c r="AG84" s="2115"/>
      <c r="AH84" s="2116"/>
      <c r="AI84" s="1207"/>
      <c r="AJ84" s="2104"/>
      <c r="AK84" s="2105"/>
      <c r="AL84" s="2105"/>
      <c r="AM84" s="2105"/>
      <c r="AN84" s="2105"/>
      <c r="AO84" s="2105"/>
      <c r="AP84" s="2105"/>
      <c r="AQ84" s="2105"/>
      <c r="AR84" s="2105"/>
      <c r="AS84" s="2105"/>
      <c r="AT84" s="2105"/>
      <c r="AU84" s="2105"/>
      <c r="AV84" s="2105"/>
      <c r="AW84" s="2105"/>
      <c r="AX84" s="2105"/>
      <c r="AY84" s="2108"/>
      <c r="AZ84" s="2108"/>
      <c r="BA84" s="2108"/>
      <c r="BB84" s="2109"/>
      <c r="BC84" s="1207"/>
      <c r="BD84" s="1207"/>
      <c r="BE84" s="1214"/>
      <c r="CK84" s="1205"/>
      <c r="CL84" s="1205"/>
      <c r="CM84" s="1205"/>
      <c r="CN84" s="1205"/>
      <c r="CO84" s="1205"/>
      <c r="CP84" s="1205"/>
    </row>
    <row r="85" spans="1:94" ht="15.75" customHeight="1">
      <c r="A85" s="1207"/>
      <c r="B85" s="2037" t="s">
        <v>2306</v>
      </c>
      <c r="C85" s="2038"/>
      <c r="D85" s="2038"/>
      <c r="E85" s="2038"/>
      <c r="F85" s="2038"/>
      <c r="G85" s="2038"/>
      <c r="H85" s="2038"/>
      <c r="I85" s="2115">
        <v>0</v>
      </c>
      <c r="J85" s="2115"/>
      <c r="K85" s="2115"/>
      <c r="L85" s="2115"/>
      <c r="M85" s="2115"/>
      <c r="N85" s="2115"/>
      <c r="O85" s="2115">
        <v>0</v>
      </c>
      <c r="P85" s="2115"/>
      <c r="Q85" s="2115"/>
      <c r="R85" s="2115"/>
      <c r="S85" s="2115"/>
      <c r="T85" s="2115"/>
      <c r="U85" s="2115"/>
      <c r="V85" s="2115">
        <v>0</v>
      </c>
      <c r="W85" s="2115"/>
      <c r="X85" s="2115"/>
      <c r="Y85" s="2115"/>
      <c r="Z85" s="2115"/>
      <c r="AA85" s="2115"/>
      <c r="AB85" s="2115">
        <v>0</v>
      </c>
      <c r="AC85" s="2115"/>
      <c r="AD85" s="2115"/>
      <c r="AE85" s="2115"/>
      <c r="AF85" s="2115"/>
      <c r="AG85" s="2115"/>
      <c r="AH85" s="2116"/>
      <c r="AI85" s="1207"/>
      <c r="AJ85" s="2085" t="s">
        <v>2312</v>
      </c>
      <c r="AK85" s="2086"/>
      <c r="AL85" s="2086"/>
      <c r="AM85" s="2086"/>
      <c r="AN85" s="2086"/>
      <c r="AO85" s="2086"/>
      <c r="AP85" s="2086"/>
      <c r="AQ85" s="2086"/>
      <c r="AR85" s="2086"/>
      <c r="AS85" s="2086"/>
      <c r="AT85" s="2086"/>
      <c r="AU85" s="2086"/>
      <c r="AV85" s="2086"/>
      <c r="AW85" s="2086"/>
      <c r="AX85" s="2086"/>
      <c r="AY85" s="2086"/>
      <c r="AZ85" s="2086"/>
      <c r="BA85" s="2086"/>
      <c r="BB85" s="2087"/>
      <c r="BC85" s="1207"/>
      <c r="BD85" s="1207"/>
      <c r="BE85" s="1214"/>
      <c r="CK85" s="1205"/>
      <c r="CL85" s="1205"/>
      <c r="CM85" s="1205"/>
      <c r="CN85" s="1205"/>
      <c r="CO85" s="1205"/>
      <c r="CP85" s="1205"/>
    </row>
    <row r="86" spans="1:94" ht="15.75" customHeight="1" thickBot="1">
      <c r="A86" s="1207"/>
      <c r="B86" s="2055" t="s">
        <v>2305</v>
      </c>
      <c r="C86" s="2056"/>
      <c r="D86" s="2056"/>
      <c r="E86" s="2056"/>
      <c r="F86" s="2056"/>
      <c r="G86" s="2056"/>
      <c r="H86" s="2056"/>
      <c r="I86" s="2113">
        <v>0</v>
      </c>
      <c r="J86" s="2113"/>
      <c r="K86" s="2113"/>
      <c r="L86" s="2113"/>
      <c r="M86" s="2113"/>
      <c r="N86" s="2113"/>
      <c r="O86" s="2113">
        <v>0</v>
      </c>
      <c r="P86" s="2113"/>
      <c r="Q86" s="2113"/>
      <c r="R86" s="2113"/>
      <c r="S86" s="2113"/>
      <c r="T86" s="2113"/>
      <c r="U86" s="2113"/>
      <c r="V86" s="2113">
        <v>0</v>
      </c>
      <c r="W86" s="2113"/>
      <c r="X86" s="2113"/>
      <c r="Y86" s="2113"/>
      <c r="Z86" s="2113"/>
      <c r="AA86" s="2113"/>
      <c r="AB86" s="2113">
        <v>0</v>
      </c>
      <c r="AC86" s="2113"/>
      <c r="AD86" s="2113"/>
      <c r="AE86" s="2113"/>
      <c r="AF86" s="2113"/>
      <c r="AG86" s="2113"/>
      <c r="AH86" s="2114"/>
      <c r="AI86" s="1207"/>
      <c r="AJ86" s="2088"/>
      <c r="AK86" s="2089"/>
      <c r="AL86" s="2089"/>
      <c r="AM86" s="2089"/>
      <c r="AN86" s="2089"/>
      <c r="AO86" s="2089"/>
      <c r="AP86" s="2089"/>
      <c r="AQ86" s="2089"/>
      <c r="AR86" s="2089"/>
      <c r="AS86" s="2089"/>
      <c r="AT86" s="2089"/>
      <c r="AU86" s="2089"/>
      <c r="AV86" s="2089"/>
      <c r="AW86" s="2089"/>
      <c r="AX86" s="2089"/>
      <c r="AY86" s="2089"/>
      <c r="AZ86" s="2089"/>
      <c r="BA86" s="2089"/>
      <c r="BB86" s="2090"/>
      <c r="BC86" s="1207"/>
      <c r="BD86" s="1207"/>
      <c r="BE86" s="1214"/>
      <c r="CK86" s="1205"/>
      <c r="CL86" s="1205"/>
      <c r="CM86" s="1205"/>
      <c r="CN86" s="1205"/>
      <c r="CO86" s="1205"/>
      <c r="CP86" s="1205"/>
    </row>
    <row r="87" spans="1:94" ht="15.75" customHeight="1">
      <c r="A87" s="1207"/>
      <c r="B87" s="1207"/>
      <c r="C87" s="1207"/>
      <c r="D87" s="1207"/>
      <c r="E87" s="1207"/>
      <c r="F87" s="1207"/>
      <c r="G87" s="1207"/>
      <c r="H87" s="1207"/>
      <c r="I87" s="1207"/>
      <c r="J87" s="1207"/>
      <c r="K87" s="1207"/>
      <c r="L87" s="1207"/>
      <c r="M87" s="1207"/>
      <c r="N87" s="1207"/>
      <c r="O87" s="1207"/>
      <c r="P87" s="1207"/>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4"/>
      <c r="CM87" s="1205"/>
      <c r="CN87" s="1205"/>
      <c r="CO87" s="1205"/>
      <c r="CP87" s="1205"/>
    </row>
    <row r="88" spans="1:94" ht="15.75" customHeight="1" thickBot="1">
      <c r="A88" s="1207"/>
      <c r="B88" s="1207"/>
      <c r="C88" s="1207"/>
      <c r="D88" s="1207"/>
      <c r="E88" s="1207"/>
      <c r="F88" s="1207"/>
      <c r="G88" s="1207"/>
      <c r="H88" s="1207"/>
      <c r="I88" s="1207"/>
      <c r="J88" s="1207"/>
      <c r="K88" s="1207"/>
      <c r="L88" s="1207"/>
      <c r="M88" s="1207"/>
      <c r="N88" s="1207"/>
      <c r="O88" s="1207"/>
      <c r="P88" s="1207"/>
      <c r="Q88" s="1207"/>
      <c r="R88" s="1207"/>
      <c r="S88" s="1207"/>
      <c r="T88" s="1207"/>
      <c r="U88" s="1207"/>
      <c r="V88" s="1207"/>
      <c r="W88" s="1207"/>
      <c r="X88" s="1207"/>
      <c r="Y88" s="1207"/>
      <c r="Z88" s="1207"/>
      <c r="AA88" s="1207"/>
      <c r="AB88" s="1207"/>
      <c r="AC88" s="1207"/>
      <c r="AD88" s="1207"/>
      <c r="AE88" s="1207"/>
      <c r="AF88" s="1207"/>
      <c r="AG88" s="1207"/>
      <c r="AH88" s="1207"/>
      <c r="AI88" s="1207"/>
      <c r="AJ88" s="1207"/>
      <c r="AK88" s="1207"/>
      <c r="AL88" s="1207"/>
      <c r="AM88" s="1207"/>
      <c r="AN88" s="1207"/>
      <c r="AO88" s="1207"/>
      <c r="AP88" s="1207"/>
      <c r="AQ88" s="1207"/>
      <c r="AR88" s="1207"/>
      <c r="AS88" s="1207"/>
      <c r="AT88" s="1207"/>
      <c r="AU88" s="1207"/>
      <c r="AV88" s="1207"/>
      <c r="AW88" s="1207"/>
      <c r="AX88" s="1207"/>
      <c r="AY88" s="1207"/>
      <c r="AZ88" s="1207"/>
      <c r="BA88" s="1207"/>
      <c r="BB88" s="1207"/>
      <c r="BC88" s="1207"/>
      <c r="BD88" s="1207"/>
      <c r="BE88" s="1214"/>
      <c r="CM88" s="1205"/>
      <c r="CN88" s="1205"/>
      <c r="CO88" s="1205"/>
      <c r="CP88" s="1205"/>
    </row>
    <row r="89" spans="1:94" ht="15.75" customHeight="1" thickBot="1">
      <c r="A89" s="1207"/>
      <c r="B89" s="1223" t="s">
        <v>2314</v>
      </c>
      <c r="C89" s="1229"/>
      <c r="D89" s="1230"/>
      <c r="E89" s="1231"/>
      <c r="F89" s="1231"/>
      <c r="G89" s="1231"/>
      <c r="H89" s="1231"/>
      <c r="I89" s="1231"/>
      <c r="J89" s="1231"/>
      <c r="K89" s="1231"/>
      <c r="L89" s="1231"/>
      <c r="M89" s="1231"/>
      <c r="N89" s="1231"/>
      <c r="O89" s="1231"/>
      <c r="P89" s="1231"/>
      <c r="Q89" s="1231"/>
      <c r="R89" s="1231"/>
      <c r="S89" s="1231"/>
      <c r="T89" s="1232"/>
      <c r="U89" s="1207"/>
      <c r="V89" s="1207"/>
      <c r="W89" s="1207"/>
      <c r="X89" s="1207"/>
      <c r="Y89" s="1207"/>
      <c r="Z89" s="1207"/>
      <c r="AA89" s="1207"/>
      <c r="AB89" s="1207"/>
      <c r="AC89" s="1207"/>
      <c r="AD89" s="1207"/>
      <c r="AE89" s="1207"/>
      <c r="AF89" s="1207"/>
      <c r="AG89" s="1207"/>
      <c r="AH89" s="1207"/>
      <c r="AI89" s="1207"/>
      <c r="AJ89" s="1207"/>
      <c r="AK89" s="1207"/>
      <c r="AL89" s="1207"/>
      <c r="AM89" s="1207"/>
      <c r="AN89" s="1207"/>
      <c r="AO89" s="1207"/>
      <c r="AP89" s="1207"/>
      <c r="AQ89" s="1207"/>
      <c r="AR89" s="1207"/>
      <c r="AS89" s="1207"/>
      <c r="AT89" s="1207"/>
      <c r="AU89" s="1207"/>
      <c r="AV89" s="1207"/>
      <c r="AW89" s="1207"/>
      <c r="AX89" s="1207"/>
      <c r="AY89" s="1207"/>
      <c r="AZ89" s="1207"/>
      <c r="BA89" s="1207"/>
      <c r="BB89" s="1207"/>
      <c r="BC89" s="1207"/>
      <c r="BD89" s="1207"/>
      <c r="BE89" s="1214"/>
      <c r="BQ89" s="1189"/>
      <c r="CM89" s="1205"/>
      <c r="CN89" s="1205"/>
      <c r="CO89" s="1205"/>
      <c r="CP89" s="1205"/>
    </row>
    <row r="90" spans="1:94" ht="15.75" customHeight="1">
      <c r="A90" s="1207"/>
      <c r="B90" s="1233" t="s">
        <v>2223</v>
      </c>
      <c r="C90" s="1233"/>
      <c r="D90" s="1234"/>
      <c r="E90" s="1235"/>
      <c r="F90" s="2096"/>
      <c r="G90" s="2097"/>
      <c r="H90" s="2097"/>
      <c r="I90" s="2097"/>
      <c r="J90" s="2097"/>
      <c r="K90" s="2097"/>
      <c r="L90" s="2097"/>
      <c r="M90" s="2097"/>
      <c r="N90" s="2097"/>
      <c r="O90" s="2097"/>
      <c r="P90" s="2097"/>
      <c r="Q90" s="2097"/>
      <c r="R90" s="2097"/>
      <c r="S90" s="2097"/>
      <c r="T90" s="2098"/>
      <c r="U90" s="1207"/>
      <c r="V90" s="1207"/>
      <c r="W90" s="1207"/>
      <c r="X90" s="1207"/>
      <c r="Y90" s="1207"/>
      <c r="Z90" s="1207"/>
      <c r="AA90" s="1207"/>
      <c r="AB90" s="1207"/>
      <c r="AC90" s="1207"/>
      <c r="AD90" s="1207"/>
      <c r="AE90" s="1207"/>
      <c r="AF90" s="1207"/>
      <c r="AG90" s="1207"/>
      <c r="AH90" s="1207"/>
      <c r="AI90" s="1207"/>
      <c r="AJ90" s="1207"/>
      <c r="AK90" s="1207"/>
      <c r="AL90" s="1207"/>
      <c r="AM90" s="1207"/>
      <c r="AN90" s="1207"/>
      <c r="AO90" s="1207"/>
      <c r="AP90" s="1207"/>
      <c r="AQ90" s="1207"/>
      <c r="AR90" s="1207"/>
      <c r="AS90" s="1207"/>
      <c r="AT90" s="1207"/>
      <c r="AU90" s="1207"/>
      <c r="AV90" s="1207"/>
      <c r="AW90" s="1207"/>
      <c r="AX90" s="1207"/>
      <c r="AY90" s="1207"/>
      <c r="AZ90" s="1207"/>
      <c r="BA90" s="1207"/>
      <c r="BB90" s="1207"/>
      <c r="BC90" s="1207"/>
      <c r="BD90" s="1207"/>
      <c r="BE90" s="1214"/>
      <c r="CM90" s="1205"/>
      <c r="CN90" s="1205"/>
      <c r="CO90" s="1205"/>
      <c r="CP90" s="1205"/>
    </row>
    <row r="91" spans="1:94" ht="15.75" customHeight="1" thickBot="1">
      <c r="A91" s="1207"/>
      <c r="B91" s="1207"/>
      <c r="C91" s="1207"/>
      <c r="D91" s="1207"/>
      <c r="E91" s="1207"/>
      <c r="F91" s="1207"/>
      <c r="G91" s="1207"/>
      <c r="H91" s="1207"/>
      <c r="I91" s="1207"/>
      <c r="J91" s="1207"/>
      <c r="K91" s="1207"/>
      <c r="L91" s="1207"/>
      <c r="M91" s="1207"/>
      <c r="N91" s="1207"/>
      <c r="O91" s="1207"/>
      <c r="P91" s="1207"/>
      <c r="Q91" s="1207"/>
      <c r="R91" s="1207"/>
      <c r="S91" s="1207"/>
      <c r="T91" s="1207"/>
      <c r="U91" s="1207"/>
      <c r="V91" s="1207"/>
      <c r="W91" s="1207"/>
      <c r="X91" s="1207"/>
      <c r="Y91" s="1207"/>
      <c r="Z91" s="1207"/>
      <c r="AA91" s="1207"/>
      <c r="AB91" s="1207"/>
      <c r="AC91" s="1207"/>
      <c r="AD91" s="1207"/>
      <c r="AE91" s="1207"/>
      <c r="AF91" s="1207"/>
      <c r="AG91" s="1207"/>
      <c r="AH91" s="1207"/>
      <c r="AI91" s="1207"/>
      <c r="AJ91" s="1207"/>
      <c r="AK91" s="1207"/>
      <c r="AL91" s="1207"/>
      <c r="AM91" s="1207"/>
      <c r="AN91" s="1207"/>
      <c r="AO91" s="1207"/>
      <c r="AP91" s="1207"/>
      <c r="AQ91" s="1207"/>
      <c r="AR91" s="1207"/>
      <c r="AS91" s="1207"/>
      <c r="AT91" s="1207"/>
      <c r="AU91" s="1207"/>
      <c r="AV91" s="1207"/>
      <c r="AW91" s="1207"/>
      <c r="AX91" s="1207"/>
      <c r="AY91" s="1207"/>
      <c r="AZ91" s="1207"/>
      <c r="BA91" s="1207"/>
      <c r="BB91" s="1207"/>
      <c r="BC91" s="1207"/>
      <c r="BD91" s="1207"/>
      <c r="BE91" s="1214"/>
      <c r="BH91" s="1236"/>
      <c r="BI91" s="1236"/>
      <c r="BJ91" s="1236"/>
      <c r="BK91" s="1236"/>
      <c r="BL91" s="1236"/>
      <c r="BM91" s="1236"/>
      <c r="BN91" s="1236"/>
      <c r="BO91" s="1236"/>
      <c r="BP91" s="1236"/>
      <c r="BQ91" s="1236"/>
      <c r="BR91" s="1236"/>
      <c r="BS91" s="1236"/>
      <c r="CM91" s="1205"/>
      <c r="CN91" s="1205"/>
      <c r="CO91" s="1205"/>
      <c r="CP91" s="1205"/>
    </row>
    <row r="92" spans="1:94" ht="15.75" customHeight="1">
      <c r="A92" s="1207"/>
      <c r="B92" s="2099" t="s">
        <v>2313</v>
      </c>
      <c r="C92" s="2100"/>
      <c r="D92" s="2100"/>
      <c r="E92" s="2100"/>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c r="AC92" s="2100"/>
      <c r="AD92" s="2100"/>
      <c r="AE92" s="2100"/>
      <c r="AF92" s="2100"/>
      <c r="AG92" s="2100"/>
      <c r="AH92" s="2101"/>
      <c r="AI92" s="1207"/>
      <c r="AJ92" s="2102" t="s">
        <v>2622</v>
      </c>
      <c r="AK92" s="2103"/>
      <c r="AL92" s="2103"/>
      <c r="AM92" s="2103"/>
      <c r="AN92" s="2103"/>
      <c r="AO92" s="2103"/>
      <c r="AP92" s="2103"/>
      <c r="AQ92" s="2103"/>
      <c r="AR92" s="2103"/>
      <c r="AS92" s="2103"/>
      <c r="AT92" s="2103"/>
      <c r="AU92" s="2103"/>
      <c r="AV92" s="2103"/>
      <c r="AW92" s="2103"/>
      <c r="AX92" s="2103"/>
      <c r="AY92" s="2106" t="s">
        <v>543</v>
      </c>
      <c r="AZ92" s="2106"/>
      <c r="BA92" s="2106"/>
      <c r="BB92" s="2107"/>
      <c r="BC92" s="1207"/>
      <c r="BD92" s="1207"/>
      <c r="BE92" s="1214"/>
      <c r="BH92" s="1236"/>
      <c r="BI92" s="1236"/>
      <c r="BJ92" s="1236"/>
      <c r="BK92" s="1236"/>
      <c r="BL92" s="1236"/>
      <c r="BM92" s="1236"/>
      <c r="BN92" s="1236"/>
      <c r="BO92" s="1236"/>
      <c r="BP92" s="1236"/>
      <c r="BQ92" s="1236"/>
      <c r="BR92" s="1237"/>
      <c r="BS92" s="1236"/>
      <c r="CM92" s="1205"/>
      <c r="CN92" s="1205"/>
      <c r="CO92" s="1205"/>
      <c r="CP92" s="1205"/>
    </row>
    <row r="93" spans="1:94" ht="15.75" customHeight="1">
      <c r="A93" s="1207"/>
      <c r="B93" s="2037"/>
      <c r="C93" s="2038"/>
      <c r="D93" s="2038"/>
      <c r="E93" s="2038"/>
      <c r="F93" s="2038"/>
      <c r="G93" s="2038"/>
      <c r="H93" s="2038"/>
      <c r="I93" s="2038" t="s">
        <v>2309</v>
      </c>
      <c r="J93" s="2038"/>
      <c r="K93" s="2038"/>
      <c r="L93" s="2038"/>
      <c r="M93" s="2038"/>
      <c r="N93" s="2038"/>
      <c r="O93" s="2038" t="s">
        <v>2286</v>
      </c>
      <c r="P93" s="2038"/>
      <c r="Q93" s="2038"/>
      <c r="R93" s="2038"/>
      <c r="S93" s="2038"/>
      <c r="T93" s="2038"/>
      <c r="U93" s="2038"/>
      <c r="V93" s="2110" t="s">
        <v>2285</v>
      </c>
      <c r="W93" s="2110"/>
      <c r="X93" s="2110"/>
      <c r="Y93" s="2110"/>
      <c r="Z93" s="2110"/>
      <c r="AA93" s="2110"/>
      <c r="AB93" s="2111" t="s">
        <v>2308</v>
      </c>
      <c r="AC93" s="2111"/>
      <c r="AD93" s="2111"/>
      <c r="AE93" s="2111"/>
      <c r="AF93" s="2111"/>
      <c r="AG93" s="2111"/>
      <c r="AH93" s="2112"/>
      <c r="AI93" s="1207"/>
      <c r="AJ93" s="2104"/>
      <c r="AK93" s="2105"/>
      <c r="AL93" s="2105"/>
      <c r="AM93" s="2105"/>
      <c r="AN93" s="2105"/>
      <c r="AO93" s="2105"/>
      <c r="AP93" s="2105"/>
      <c r="AQ93" s="2105"/>
      <c r="AR93" s="2105"/>
      <c r="AS93" s="2105"/>
      <c r="AT93" s="2105"/>
      <c r="AU93" s="2105"/>
      <c r="AV93" s="2105"/>
      <c r="AW93" s="2105"/>
      <c r="AX93" s="2105"/>
      <c r="AY93" s="2108"/>
      <c r="AZ93" s="2108"/>
      <c r="BA93" s="2108"/>
      <c r="BB93" s="2109"/>
      <c r="BC93" s="1207"/>
      <c r="BD93" s="1207"/>
      <c r="BE93" s="1214"/>
      <c r="BH93" s="1236"/>
      <c r="BI93" s="1236"/>
      <c r="BJ93" s="1236"/>
      <c r="BK93" s="1236"/>
      <c r="BL93" s="1236"/>
      <c r="BM93" s="1236"/>
      <c r="BN93" s="1236"/>
      <c r="BO93" s="1236"/>
      <c r="BP93" s="1236"/>
      <c r="BQ93" s="1236"/>
      <c r="BR93" s="1237"/>
      <c r="BS93" s="1236"/>
      <c r="CM93" s="1205"/>
      <c r="CN93" s="1205"/>
      <c r="CO93" s="1205"/>
      <c r="CP93" s="1205"/>
    </row>
    <row r="94" spans="1:94" ht="15.75" customHeight="1">
      <c r="A94" s="1207"/>
      <c r="B94" s="2037"/>
      <c r="C94" s="2038"/>
      <c r="D94" s="2038"/>
      <c r="E94" s="2038"/>
      <c r="F94" s="2038"/>
      <c r="G94" s="2038"/>
      <c r="H94" s="2038"/>
      <c r="I94" s="2038"/>
      <c r="J94" s="2038"/>
      <c r="K94" s="2038"/>
      <c r="L94" s="2038"/>
      <c r="M94" s="2038"/>
      <c r="N94" s="2038"/>
      <c r="O94" s="2038"/>
      <c r="P94" s="2038"/>
      <c r="Q94" s="2038"/>
      <c r="R94" s="2038"/>
      <c r="S94" s="2038"/>
      <c r="T94" s="2038"/>
      <c r="U94" s="2038"/>
      <c r="V94" s="2110"/>
      <c r="W94" s="2110"/>
      <c r="X94" s="2110"/>
      <c r="Y94" s="2110"/>
      <c r="Z94" s="2110"/>
      <c r="AA94" s="2110"/>
      <c r="AB94" s="2111"/>
      <c r="AC94" s="2111"/>
      <c r="AD94" s="2111"/>
      <c r="AE94" s="2111"/>
      <c r="AF94" s="2111"/>
      <c r="AG94" s="2111"/>
      <c r="AH94" s="2112"/>
      <c r="AI94" s="1207"/>
      <c r="AJ94" s="2104"/>
      <c r="AK94" s="2105"/>
      <c r="AL94" s="2105"/>
      <c r="AM94" s="2105"/>
      <c r="AN94" s="2105"/>
      <c r="AO94" s="2105"/>
      <c r="AP94" s="2105"/>
      <c r="AQ94" s="2105"/>
      <c r="AR94" s="2105"/>
      <c r="AS94" s="2105"/>
      <c r="AT94" s="2105"/>
      <c r="AU94" s="2105"/>
      <c r="AV94" s="2105"/>
      <c r="AW94" s="2105"/>
      <c r="AX94" s="2105"/>
      <c r="AY94" s="2108"/>
      <c r="AZ94" s="2108"/>
      <c r="BA94" s="2108"/>
      <c r="BB94" s="2109"/>
      <c r="BC94" s="1207"/>
      <c r="BD94" s="1207"/>
      <c r="BE94" s="1214"/>
      <c r="BH94" s="1236"/>
      <c r="BI94" s="1236"/>
      <c r="BJ94" s="1236"/>
      <c r="BK94" s="1236"/>
      <c r="BL94" s="1236"/>
      <c r="BM94" s="1236"/>
      <c r="BN94" s="1236"/>
      <c r="BO94" s="1236"/>
      <c r="BP94" s="1236"/>
      <c r="BQ94" s="1236"/>
      <c r="BR94" s="1237"/>
      <c r="BS94" s="1236"/>
      <c r="CM94" s="1205"/>
      <c r="CN94" s="1205"/>
      <c r="CO94" s="1205"/>
      <c r="CP94" s="1205"/>
    </row>
    <row r="95" spans="1:94" ht="15.75" customHeight="1">
      <c r="A95" s="1207"/>
      <c r="B95" s="2037" t="s">
        <v>2307</v>
      </c>
      <c r="C95" s="2038"/>
      <c r="D95" s="2038"/>
      <c r="E95" s="2038"/>
      <c r="F95" s="2038"/>
      <c r="G95" s="2038"/>
      <c r="H95" s="2038"/>
      <c r="I95" s="2115">
        <v>0</v>
      </c>
      <c r="J95" s="2115"/>
      <c r="K95" s="2115"/>
      <c r="L95" s="2115"/>
      <c r="M95" s="2115"/>
      <c r="N95" s="2115"/>
      <c r="O95" s="2115">
        <v>0</v>
      </c>
      <c r="P95" s="2115"/>
      <c r="Q95" s="2115"/>
      <c r="R95" s="2115"/>
      <c r="S95" s="2115"/>
      <c r="T95" s="2115"/>
      <c r="U95" s="2115"/>
      <c r="V95" s="2115">
        <v>0</v>
      </c>
      <c r="W95" s="2115"/>
      <c r="X95" s="2115"/>
      <c r="Y95" s="2115"/>
      <c r="Z95" s="2115"/>
      <c r="AA95" s="2115"/>
      <c r="AB95" s="2115">
        <v>0</v>
      </c>
      <c r="AC95" s="2115"/>
      <c r="AD95" s="2115"/>
      <c r="AE95" s="2115"/>
      <c r="AF95" s="2115"/>
      <c r="AG95" s="2115"/>
      <c r="AH95" s="2116"/>
      <c r="AI95" s="1207"/>
      <c r="AJ95" s="2104"/>
      <c r="AK95" s="2105"/>
      <c r="AL95" s="2105"/>
      <c r="AM95" s="2105"/>
      <c r="AN95" s="2105"/>
      <c r="AO95" s="2105"/>
      <c r="AP95" s="2105"/>
      <c r="AQ95" s="2105"/>
      <c r="AR95" s="2105"/>
      <c r="AS95" s="2105"/>
      <c r="AT95" s="2105"/>
      <c r="AU95" s="2105"/>
      <c r="AV95" s="2105"/>
      <c r="AW95" s="2105"/>
      <c r="AX95" s="2105"/>
      <c r="AY95" s="2108"/>
      <c r="AZ95" s="2108"/>
      <c r="BA95" s="2108"/>
      <c r="BB95" s="2109"/>
      <c r="BC95" s="1207"/>
      <c r="BD95" s="1207"/>
      <c r="BE95" s="1214"/>
      <c r="BH95" s="1236"/>
      <c r="BI95" s="1236"/>
      <c r="BJ95" s="1236"/>
      <c r="BK95" s="1236"/>
      <c r="BL95" s="1236"/>
      <c r="BM95" s="1236"/>
      <c r="BN95" s="1236"/>
      <c r="BO95" s="1236"/>
      <c r="BP95" s="1236"/>
      <c r="BQ95" s="1236"/>
      <c r="BR95" s="1236"/>
      <c r="BS95" s="1236"/>
      <c r="CM95" s="1205"/>
      <c r="CN95" s="1205"/>
      <c r="CO95" s="1205"/>
      <c r="CP95" s="1205"/>
    </row>
    <row r="96" spans="1:94" ht="15.75" customHeight="1">
      <c r="A96" s="1207"/>
      <c r="B96" s="2037" t="s">
        <v>2306</v>
      </c>
      <c r="C96" s="2038"/>
      <c r="D96" s="2038"/>
      <c r="E96" s="2038"/>
      <c r="F96" s="2038"/>
      <c r="G96" s="2038"/>
      <c r="H96" s="2038"/>
      <c r="I96" s="2115">
        <v>0</v>
      </c>
      <c r="J96" s="2115"/>
      <c r="K96" s="2115"/>
      <c r="L96" s="2115"/>
      <c r="M96" s="2115"/>
      <c r="N96" s="2115"/>
      <c r="O96" s="2115">
        <v>0</v>
      </c>
      <c r="P96" s="2115"/>
      <c r="Q96" s="2115"/>
      <c r="R96" s="2115"/>
      <c r="S96" s="2115"/>
      <c r="T96" s="2115"/>
      <c r="U96" s="2115"/>
      <c r="V96" s="2115">
        <v>0</v>
      </c>
      <c r="W96" s="2115"/>
      <c r="X96" s="2115"/>
      <c r="Y96" s="2115"/>
      <c r="Z96" s="2115"/>
      <c r="AA96" s="2115"/>
      <c r="AB96" s="2115">
        <v>0</v>
      </c>
      <c r="AC96" s="2115"/>
      <c r="AD96" s="2115"/>
      <c r="AE96" s="2115"/>
      <c r="AF96" s="2115"/>
      <c r="AG96" s="2115"/>
      <c r="AH96" s="2116"/>
      <c r="AI96" s="1207"/>
      <c r="AJ96" s="2085" t="s">
        <v>2312</v>
      </c>
      <c r="AK96" s="2086"/>
      <c r="AL96" s="2086"/>
      <c r="AM96" s="2086"/>
      <c r="AN96" s="2086"/>
      <c r="AO96" s="2086"/>
      <c r="AP96" s="2086"/>
      <c r="AQ96" s="2086"/>
      <c r="AR96" s="2086"/>
      <c r="AS96" s="2086"/>
      <c r="AT96" s="2086"/>
      <c r="AU96" s="2086"/>
      <c r="AV96" s="2086"/>
      <c r="AW96" s="2086"/>
      <c r="AX96" s="2086"/>
      <c r="AY96" s="2086"/>
      <c r="AZ96" s="2086"/>
      <c r="BA96" s="2086"/>
      <c r="BB96" s="2087"/>
      <c r="BC96" s="1207"/>
      <c r="BD96" s="1207"/>
      <c r="BE96" s="1214"/>
      <c r="BH96" s="1236"/>
      <c r="BI96" s="1236"/>
      <c r="BJ96" s="1236"/>
      <c r="BK96" s="1236"/>
      <c r="BL96" s="1236"/>
      <c r="BM96" s="1236"/>
      <c r="BN96" s="1236"/>
      <c r="BO96" s="1236"/>
      <c r="BP96" s="1236"/>
      <c r="BQ96" s="1236"/>
      <c r="BR96" s="1236"/>
      <c r="BS96" s="1236"/>
      <c r="CM96" s="1205"/>
      <c r="CN96" s="1205"/>
      <c r="CO96" s="1205"/>
      <c r="CP96" s="1205"/>
    </row>
    <row r="97" spans="1:94" ht="15.75" customHeight="1" thickBot="1">
      <c r="A97" s="1207"/>
      <c r="B97" s="2055" t="s">
        <v>2305</v>
      </c>
      <c r="C97" s="2056"/>
      <c r="D97" s="2056"/>
      <c r="E97" s="2056"/>
      <c r="F97" s="2056"/>
      <c r="G97" s="2056"/>
      <c r="H97" s="2056"/>
      <c r="I97" s="2113">
        <v>0</v>
      </c>
      <c r="J97" s="2113"/>
      <c r="K97" s="2113"/>
      <c r="L97" s="2113"/>
      <c r="M97" s="2113"/>
      <c r="N97" s="2113"/>
      <c r="O97" s="2113">
        <v>0</v>
      </c>
      <c r="P97" s="2113"/>
      <c r="Q97" s="2113"/>
      <c r="R97" s="2113"/>
      <c r="S97" s="2113"/>
      <c r="T97" s="2113"/>
      <c r="U97" s="2113"/>
      <c r="V97" s="2113">
        <v>0</v>
      </c>
      <c r="W97" s="2113"/>
      <c r="X97" s="2113"/>
      <c r="Y97" s="2113"/>
      <c r="Z97" s="2113"/>
      <c r="AA97" s="2113"/>
      <c r="AB97" s="2113">
        <v>0</v>
      </c>
      <c r="AC97" s="2113"/>
      <c r="AD97" s="2113"/>
      <c r="AE97" s="2113"/>
      <c r="AF97" s="2113"/>
      <c r="AG97" s="2113"/>
      <c r="AH97" s="2114"/>
      <c r="AI97" s="1207"/>
      <c r="AJ97" s="2088"/>
      <c r="AK97" s="2089"/>
      <c r="AL97" s="2089"/>
      <c r="AM97" s="2089"/>
      <c r="AN97" s="2089"/>
      <c r="AO97" s="2089"/>
      <c r="AP97" s="2089"/>
      <c r="AQ97" s="2089"/>
      <c r="AR97" s="2089"/>
      <c r="AS97" s="2089"/>
      <c r="AT97" s="2089"/>
      <c r="AU97" s="2089"/>
      <c r="AV97" s="2089"/>
      <c r="AW97" s="2089"/>
      <c r="AX97" s="2089"/>
      <c r="AY97" s="2089"/>
      <c r="AZ97" s="2089"/>
      <c r="BA97" s="2089"/>
      <c r="BB97" s="2090"/>
      <c r="BC97" s="1207"/>
      <c r="BD97" s="1207"/>
      <c r="BE97" s="1214"/>
      <c r="BH97" s="1236"/>
      <c r="BI97" s="1236"/>
      <c r="BJ97" s="1236"/>
      <c r="BK97" s="1236"/>
      <c r="BL97" s="1236"/>
      <c r="BM97" s="1236"/>
      <c r="BN97" s="1236"/>
      <c r="BO97" s="1236"/>
      <c r="BP97" s="1236"/>
      <c r="BQ97" s="1236"/>
      <c r="BR97" s="1236"/>
      <c r="BS97" s="1236"/>
      <c r="CM97" s="1205"/>
      <c r="CN97" s="1205"/>
      <c r="CO97" s="1205"/>
      <c r="CP97" s="1205"/>
    </row>
    <row r="98" spans="1:94" ht="15.75" customHeight="1" thickBot="1">
      <c r="A98" s="1207"/>
      <c r="B98" s="1207"/>
      <c r="C98" s="1207"/>
      <c r="D98" s="1207"/>
      <c r="E98" s="1207"/>
      <c r="F98" s="1207"/>
      <c r="G98" s="1207"/>
      <c r="H98" s="1207"/>
      <c r="I98" s="1207"/>
      <c r="J98" s="1207"/>
      <c r="K98" s="1207"/>
      <c r="L98" s="1207"/>
      <c r="M98" s="1207"/>
      <c r="N98" s="1207"/>
      <c r="O98" s="1207"/>
      <c r="P98" s="1207"/>
      <c r="Q98" s="1207"/>
      <c r="R98" s="1207"/>
      <c r="S98" s="1207"/>
      <c r="T98" s="1207"/>
      <c r="U98" s="1207"/>
      <c r="V98" s="1207"/>
      <c r="W98" s="1207"/>
      <c r="X98" s="1207"/>
      <c r="Y98" s="1207"/>
      <c r="Z98" s="1207"/>
      <c r="AA98" s="1207"/>
      <c r="AB98" s="1207"/>
      <c r="AC98" s="1207"/>
      <c r="AD98" s="1207"/>
      <c r="AE98" s="1207"/>
      <c r="AF98" s="1207"/>
      <c r="AG98" s="1207"/>
      <c r="AH98" s="1207"/>
      <c r="AI98" s="1207"/>
      <c r="AJ98" s="1207"/>
      <c r="AK98" s="1207"/>
      <c r="AL98" s="1207"/>
      <c r="AM98" s="1207"/>
      <c r="AN98" s="1207"/>
      <c r="AO98" s="1207"/>
      <c r="AP98" s="1207"/>
      <c r="AQ98" s="1207"/>
      <c r="AR98" s="1207"/>
      <c r="AS98" s="1207"/>
      <c r="AT98" s="1207"/>
      <c r="AU98" s="1207"/>
      <c r="AV98" s="1207"/>
      <c r="AW98" s="1207"/>
      <c r="AX98" s="1207"/>
      <c r="AY98" s="1207"/>
      <c r="AZ98" s="1207"/>
      <c r="BA98" s="1207"/>
      <c r="BB98" s="1207"/>
      <c r="BC98" s="1207"/>
      <c r="BD98" s="1207"/>
      <c r="BE98" s="1214"/>
      <c r="BH98" s="1236"/>
      <c r="BI98" s="1236"/>
      <c r="BJ98" s="1236"/>
      <c r="BK98" s="1236"/>
      <c r="BL98" s="1236"/>
      <c r="BM98" s="1236"/>
      <c r="BN98" s="1236"/>
      <c r="BO98" s="1236"/>
      <c r="BP98" s="1236"/>
      <c r="BQ98" s="1236"/>
      <c r="BR98" s="1236"/>
      <c r="BS98" s="1236"/>
      <c r="CM98" s="1205"/>
      <c r="CN98" s="1205"/>
      <c r="CO98" s="1205"/>
      <c r="CP98" s="1205"/>
    </row>
    <row r="99" spans="1:94" ht="15.75" customHeight="1" thickBot="1">
      <c r="A99" s="1207"/>
      <c r="B99" s="1230" t="s">
        <v>2311</v>
      </c>
      <c r="C99" s="1224"/>
      <c r="D99" s="1225"/>
      <c r="E99" s="1225"/>
      <c r="F99" s="1238"/>
      <c r="G99" s="1238"/>
      <c r="H99" s="1238"/>
      <c r="I99" s="1238"/>
      <c r="J99" s="1238"/>
      <c r="K99" s="1238"/>
      <c r="L99" s="1238"/>
      <c r="M99" s="1238"/>
      <c r="N99" s="1238"/>
      <c r="O99" s="1239"/>
      <c r="P99" s="1238"/>
      <c r="Q99" s="1238"/>
      <c r="R99" s="1239"/>
      <c r="S99" s="1207" t="s">
        <v>249</v>
      </c>
      <c r="T99" s="1207"/>
      <c r="U99" s="1207"/>
      <c r="V99" s="1207"/>
      <c r="W99" s="1207"/>
      <c r="X99" s="1207"/>
      <c r="Y99" s="1207"/>
      <c r="Z99" s="1207"/>
      <c r="AA99" s="1207"/>
      <c r="AB99" s="1207"/>
      <c r="AC99" s="1207"/>
      <c r="AD99" s="1207"/>
      <c r="AE99" s="1207"/>
      <c r="AF99" s="1207"/>
      <c r="AG99" s="1207"/>
      <c r="AH99" s="1207"/>
      <c r="AI99" s="1207"/>
      <c r="AJ99" s="1207"/>
      <c r="AK99" s="1207"/>
      <c r="AL99" s="1207"/>
      <c r="AM99" s="1207"/>
      <c r="AN99" s="1207"/>
      <c r="AO99" s="1207"/>
      <c r="AP99" s="1207"/>
      <c r="AQ99" s="1207"/>
      <c r="AR99" s="1207"/>
      <c r="AS99" s="1207"/>
      <c r="AT99" s="1207"/>
      <c r="AU99" s="1207"/>
      <c r="AV99" s="1207"/>
      <c r="AW99" s="1207"/>
      <c r="AX99" s="1207"/>
      <c r="AY99" s="1207"/>
      <c r="AZ99" s="1207"/>
      <c r="BA99" s="1207"/>
      <c r="BB99" s="1207"/>
      <c r="BC99" s="1207"/>
      <c r="BD99" s="1207"/>
      <c r="BE99" s="1214"/>
      <c r="BH99" s="1236"/>
      <c r="BI99" s="1236"/>
      <c r="BJ99" s="1236"/>
      <c r="BK99" s="1236"/>
      <c r="BL99" s="1236"/>
      <c r="BM99" s="1236"/>
      <c r="BN99" s="1236"/>
      <c r="BO99" s="1236"/>
      <c r="BP99" s="1236"/>
      <c r="BQ99" s="1236"/>
      <c r="BR99" s="1236"/>
      <c r="BS99" s="1236"/>
      <c r="CM99" s="1205"/>
      <c r="CN99" s="1205"/>
      <c r="CO99" s="1205"/>
      <c r="CP99" s="1205"/>
    </row>
    <row r="100" spans="1:94" ht="15.75" customHeight="1">
      <c r="A100" s="1207"/>
      <c r="B100" s="1233" t="s">
        <v>2223</v>
      </c>
      <c r="C100" s="1233"/>
      <c r="D100" s="1240"/>
      <c r="E100" s="1241"/>
      <c r="F100" s="2117"/>
      <c r="G100" s="2118"/>
      <c r="H100" s="2118"/>
      <c r="I100" s="2118"/>
      <c r="J100" s="2118"/>
      <c r="K100" s="2118"/>
      <c r="L100" s="2118"/>
      <c r="M100" s="2118"/>
      <c r="N100" s="2118"/>
      <c r="O100" s="2118"/>
      <c r="P100" s="2118"/>
      <c r="Q100" s="2118"/>
      <c r="R100" s="2119"/>
      <c r="S100" s="1207"/>
      <c r="T100" s="1207"/>
      <c r="U100" s="1207"/>
      <c r="V100" s="1207"/>
      <c r="W100" s="1207"/>
      <c r="X100" s="1207"/>
      <c r="Y100" s="1207"/>
      <c r="Z100" s="1207"/>
      <c r="AA100" s="1207"/>
      <c r="AB100" s="1207"/>
      <c r="AC100" s="1207"/>
      <c r="AD100" s="1207"/>
      <c r="AE100" s="1207"/>
      <c r="AF100" s="1207"/>
      <c r="AG100" s="1207"/>
      <c r="AH100" s="1207"/>
      <c r="AI100" s="1207"/>
      <c r="AJ100" s="1207"/>
      <c r="AK100" s="1207"/>
      <c r="AL100" s="1207"/>
      <c r="AM100" s="1207"/>
      <c r="AN100" s="1207"/>
      <c r="AO100" s="1207"/>
      <c r="AP100" s="1207"/>
      <c r="AQ100" s="1207"/>
      <c r="AR100" s="1207"/>
      <c r="AS100" s="1207"/>
      <c r="AT100" s="1207"/>
      <c r="AU100" s="1207"/>
      <c r="AV100" s="1207"/>
      <c r="AW100" s="1207"/>
      <c r="AX100" s="1207"/>
      <c r="AY100" s="1207"/>
      <c r="AZ100" s="1207"/>
      <c r="BA100" s="1207"/>
      <c r="BB100" s="1207"/>
      <c r="BC100" s="1207"/>
      <c r="BD100" s="1207"/>
      <c r="BE100" s="1214"/>
      <c r="CM100" s="1205"/>
      <c r="CN100" s="1205"/>
      <c r="CO100" s="1205"/>
      <c r="CP100" s="1205"/>
    </row>
    <row r="101" spans="1:94" ht="15.75" customHeight="1" thickBot="1">
      <c r="A101" s="1207"/>
      <c r="B101" s="1207"/>
      <c r="C101" s="1207"/>
      <c r="D101" s="1207"/>
      <c r="E101" s="1207"/>
      <c r="F101" s="1207"/>
      <c r="G101" s="1207"/>
      <c r="H101" s="1207"/>
      <c r="I101" s="1207"/>
      <c r="J101" s="1207"/>
      <c r="K101" s="1207"/>
      <c r="L101" s="1207"/>
      <c r="M101" s="1207"/>
      <c r="N101" s="1207"/>
      <c r="O101" s="1207"/>
      <c r="P101" s="1242"/>
      <c r="Q101" s="1207"/>
      <c r="R101" s="1207"/>
      <c r="S101" s="1207"/>
      <c r="T101" s="1207"/>
      <c r="U101" s="1207"/>
      <c r="V101" s="1207"/>
      <c r="W101" s="1207"/>
      <c r="X101" s="1207"/>
      <c r="Y101" s="1207"/>
      <c r="Z101" s="1207"/>
      <c r="AA101" s="1207"/>
      <c r="AB101" s="1207"/>
      <c r="AC101" s="1207"/>
      <c r="AD101" s="1207"/>
      <c r="AE101" s="1207"/>
      <c r="AF101" s="1207"/>
      <c r="AG101" s="1207"/>
      <c r="AH101" s="1207"/>
      <c r="AI101" s="1207"/>
      <c r="AJ101" s="1207"/>
      <c r="AK101" s="1207"/>
      <c r="AL101" s="1207"/>
      <c r="AM101" s="1207"/>
      <c r="AN101" s="1207"/>
      <c r="AO101" s="1207"/>
      <c r="AP101" s="1207"/>
      <c r="AQ101" s="1207"/>
      <c r="AR101" s="1207"/>
      <c r="AS101" s="1207"/>
      <c r="AT101" s="1207"/>
      <c r="AU101" s="1207"/>
      <c r="AV101" s="1207"/>
      <c r="AW101" s="1207"/>
      <c r="AX101" s="1207"/>
      <c r="AY101" s="1207"/>
      <c r="AZ101" s="1207"/>
      <c r="BA101" s="1207"/>
      <c r="BB101" s="1207"/>
      <c r="BC101" s="1207"/>
      <c r="BD101" s="1207"/>
      <c r="BE101" s="1214"/>
      <c r="CM101" s="1205"/>
      <c r="CN101" s="1205"/>
      <c r="CO101" s="1205"/>
      <c r="CP101" s="1205"/>
    </row>
    <row r="102" spans="1:94" ht="15.75" customHeight="1">
      <c r="A102" s="1207"/>
      <c r="B102" s="2081" t="s">
        <v>2310</v>
      </c>
      <c r="C102" s="2082"/>
      <c r="D102" s="2082"/>
      <c r="E102" s="2082"/>
      <c r="F102" s="2082"/>
      <c r="G102" s="2082"/>
      <c r="H102" s="2082"/>
      <c r="I102" s="2082"/>
      <c r="J102" s="2082"/>
      <c r="K102" s="2082"/>
      <c r="L102" s="2082"/>
      <c r="M102" s="2082"/>
      <c r="N102" s="2082"/>
      <c r="O102" s="2082"/>
      <c r="P102" s="2082"/>
      <c r="Q102" s="2082"/>
      <c r="R102" s="2082"/>
      <c r="S102" s="2082"/>
      <c r="T102" s="2082"/>
      <c r="U102" s="2082"/>
      <c r="V102" s="2082"/>
      <c r="W102" s="2082"/>
      <c r="X102" s="2082"/>
      <c r="Y102" s="2082"/>
      <c r="Z102" s="2082"/>
      <c r="AA102" s="2082"/>
      <c r="AB102" s="2082"/>
      <c r="AC102" s="2082"/>
      <c r="AD102" s="2082"/>
      <c r="AE102" s="2082"/>
      <c r="AF102" s="2082"/>
      <c r="AG102" s="2082"/>
      <c r="AH102" s="2120"/>
      <c r="AI102" s="1207"/>
      <c r="AJ102" s="1207"/>
      <c r="AK102" s="1207"/>
      <c r="AL102" s="1207"/>
      <c r="AM102" s="1207"/>
      <c r="AN102" s="1207"/>
      <c r="AO102" s="1207"/>
      <c r="AP102" s="1207"/>
      <c r="AQ102" s="1207"/>
      <c r="AR102" s="1207"/>
      <c r="AS102" s="1207"/>
      <c r="AT102" s="1207"/>
      <c r="AU102" s="1207"/>
      <c r="AV102" s="1207"/>
      <c r="AW102" s="1207"/>
      <c r="AX102" s="1207"/>
      <c r="AY102" s="1207"/>
      <c r="AZ102" s="1207"/>
      <c r="BA102" s="1207"/>
      <c r="BB102" s="1207"/>
      <c r="BC102" s="1207"/>
      <c r="BD102" s="1207"/>
      <c r="BE102" s="1214"/>
      <c r="CM102" s="1205"/>
      <c r="CN102" s="1205"/>
      <c r="CO102" s="1205"/>
      <c r="CP102" s="1205"/>
    </row>
    <row r="103" spans="1:94" ht="16.5" customHeight="1">
      <c r="A103" s="1207"/>
      <c r="B103" s="2037"/>
      <c r="C103" s="2038"/>
      <c r="D103" s="2038"/>
      <c r="E103" s="2038"/>
      <c r="F103" s="2038"/>
      <c r="G103" s="2038"/>
      <c r="H103" s="2038"/>
      <c r="I103" s="2038" t="s">
        <v>2309</v>
      </c>
      <c r="J103" s="2038"/>
      <c r="K103" s="2038"/>
      <c r="L103" s="2038"/>
      <c r="M103" s="2038"/>
      <c r="N103" s="2038"/>
      <c r="O103" s="2038" t="s">
        <v>2286</v>
      </c>
      <c r="P103" s="2038"/>
      <c r="Q103" s="2038"/>
      <c r="R103" s="2038"/>
      <c r="S103" s="2038"/>
      <c r="T103" s="2038"/>
      <c r="U103" s="2038"/>
      <c r="V103" s="2110" t="s">
        <v>2285</v>
      </c>
      <c r="W103" s="2110"/>
      <c r="X103" s="2110"/>
      <c r="Y103" s="2110"/>
      <c r="Z103" s="2110"/>
      <c r="AA103" s="2110"/>
      <c r="AB103" s="2111" t="s">
        <v>2308</v>
      </c>
      <c r="AC103" s="2111"/>
      <c r="AD103" s="2111"/>
      <c r="AE103" s="2111"/>
      <c r="AF103" s="2111"/>
      <c r="AG103" s="2111"/>
      <c r="AH103" s="2112"/>
      <c r="AI103" s="1207"/>
      <c r="AJ103" s="1207"/>
      <c r="AK103" s="1207"/>
      <c r="AL103" s="1207"/>
      <c r="AM103" s="1207"/>
      <c r="AN103" s="1207"/>
      <c r="AO103" s="1207"/>
      <c r="AP103" s="1207"/>
      <c r="AQ103" s="1207"/>
      <c r="AR103" s="1207"/>
      <c r="AS103" s="1207"/>
      <c r="AT103" s="1207"/>
      <c r="AU103" s="1207"/>
      <c r="AV103" s="1207"/>
      <c r="AW103" s="1207"/>
      <c r="AX103" s="1207"/>
      <c r="AY103" s="1207"/>
      <c r="AZ103" s="1207"/>
      <c r="BA103" s="1207"/>
      <c r="BB103" s="1207"/>
      <c r="BC103" s="1207"/>
      <c r="BD103" s="1207"/>
      <c r="BE103" s="1214"/>
      <c r="CM103" s="1205"/>
      <c r="CN103" s="1205"/>
      <c r="CO103" s="1205"/>
      <c r="CP103" s="1205"/>
    </row>
    <row r="104" spans="1:94" ht="16.5" customHeight="1">
      <c r="A104" s="1207"/>
      <c r="B104" s="2037"/>
      <c r="C104" s="2038"/>
      <c r="D104" s="2038"/>
      <c r="E104" s="2038"/>
      <c r="F104" s="2038"/>
      <c r="G104" s="2038"/>
      <c r="H104" s="2038"/>
      <c r="I104" s="2038"/>
      <c r="J104" s="2038"/>
      <c r="K104" s="2038"/>
      <c r="L104" s="2038"/>
      <c r="M104" s="2038"/>
      <c r="N104" s="2038"/>
      <c r="O104" s="2038"/>
      <c r="P104" s="2038"/>
      <c r="Q104" s="2038"/>
      <c r="R104" s="2038"/>
      <c r="S104" s="2038"/>
      <c r="T104" s="2038"/>
      <c r="U104" s="2038"/>
      <c r="V104" s="2110"/>
      <c r="W104" s="2110"/>
      <c r="X104" s="2110"/>
      <c r="Y104" s="2110"/>
      <c r="Z104" s="2110"/>
      <c r="AA104" s="2110"/>
      <c r="AB104" s="2111"/>
      <c r="AC104" s="2111"/>
      <c r="AD104" s="2111"/>
      <c r="AE104" s="2111"/>
      <c r="AF104" s="2111"/>
      <c r="AG104" s="2111"/>
      <c r="AH104" s="2112"/>
      <c r="AI104" s="1207"/>
      <c r="AJ104" s="1207"/>
      <c r="AK104" s="1207"/>
      <c r="AL104" s="1207"/>
      <c r="AM104" s="1207"/>
      <c r="AN104" s="1207"/>
      <c r="AO104" s="1207"/>
      <c r="AP104" s="1207"/>
      <c r="AQ104" s="1207"/>
      <c r="AR104" s="1207"/>
      <c r="AS104" s="1207"/>
      <c r="AT104" s="1207"/>
      <c r="AU104" s="1207"/>
      <c r="AV104" s="1207"/>
      <c r="AW104" s="1207"/>
      <c r="AX104" s="1207"/>
      <c r="AY104" s="1207"/>
      <c r="AZ104" s="1207"/>
      <c r="BA104" s="1207"/>
      <c r="BB104" s="1207"/>
      <c r="BC104" s="1207"/>
      <c r="BD104" s="1207"/>
      <c r="BE104" s="1214"/>
      <c r="CM104" s="1205"/>
      <c r="CN104" s="1205"/>
      <c r="CO104" s="1205"/>
      <c r="CP104" s="1205"/>
    </row>
    <row r="105" spans="1:94" ht="15.75" customHeight="1">
      <c r="A105" s="1207"/>
      <c r="B105" s="2037" t="s">
        <v>2307</v>
      </c>
      <c r="C105" s="2038"/>
      <c r="D105" s="2038"/>
      <c r="E105" s="2038"/>
      <c r="F105" s="2038"/>
      <c r="G105" s="2038"/>
      <c r="H105" s="2038"/>
      <c r="I105" s="2115">
        <v>0</v>
      </c>
      <c r="J105" s="2115"/>
      <c r="K105" s="2115"/>
      <c r="L105" s="2115"/>
      <c r="M105" s="2115"/>
      <c r="N105" s="2115"/>
      <c r="O105" s="2115">
        <v>0</v>
      </c>
      <c r="P105" s="2115"/>
      <c r="Q105" s="2115"/>
      <c r="R105" s="2115"/>
      <c r="S105" s="2115"/>
      <c r="T105" s="2115"/>
      <c r="U105" s="2115"/>
      <c r="V105" s="2115">
        <v>0</v>
      </c>
      <c r="W105" s="2115"/>
      <c r="X105" s="2115"/>
      <c r="Y105" s="2115"/>
      <c r="Z105" s="2115"/>
      <c r="AA105" s="2115"/>
      <c r="AB105" s="2115">
        <v>0</v>
      </c>
      <c r="AC105" s="2115"/>
      <c r="AD105" s="2115"/>
      <c r="AE105" s="2115"/>
      <c r="AF105" s="2115"/>
      <c r="AG105" s="2115"/>
      <c r="AH105" s="2116"/>
      <c r="AI105" s="1207"/>
      <c r="AJ105" s="1207"/>
      <c r="AK105" s="1207"/>
      <c r="AL105" s="1207"/>
      <c r="AM105" s="1207"/>
      <c r="AN105" s="1207"/>
      <c r="AO105" s="1207"/>
      <c r="AP105" s="1207"/>
      <c r="AQ105" s="1207"/>
      <c r="AR105" s="1207"/>
      <c r="AS105" s="1207"/>
      <c r="AT105" s="1207"/>
      <c r="AU105" s="1207"/>
      <c r="AV105" s="1207"/>
      <c r="AW105" s="1207"/>
      <c r="AX105" s="1207"/>
      <c r="AY105" s="1207"/>
      <c r="AZ105" s="1207"/>
      <c r="BA105" s="1207"/>
      <c r="BB105" s="1207"/>
      <c r="BC105" s="1207"/>
      <c r="BD105" s="1207"/>
      <c r="BE105" s="1214"/>
      <c r="CM105" s="1205"/>
      <c r="CN105" s="1205"/>
      <c r="CO105" s="1205"/>
      <c r="CP105" s="1205"/>
    </row>
    <row r="106" spans="1:94" ht="15.75" customHeight="1">
      <c r="A106" s="1207"/>
      <c r="B106" s="2037" t="s">
        <v>2306</v>
      </c>
      <c r="C106" s="2038"/>
      <c r="D106" s="2038"/>
      <c r="E106" s="2038"/>
      <c r="F106" s="2038"/>
      <c r="G106" s="2038"/>
      <c r="H106" s="2038"/>
      <c r="I106" s="2115">
        <v>0</v>
      </c>
      <c r="J106" s="2115"/>
      <c r="K106" s="2115"/>
      <c r="L106" s="2115"/>
      <c r="M106" s="2115"/>
      <c r="N106" s="2115"/>
      <c r="O106" s="2115">
        <v>0</v>
      </c>
      <c r="P106" s="2115"/>
      <c r="Q106" s="2115"/>
      <c r="R106" s="2115"/>
      <c r="S106" s="2115"/>
      <c r="T106" s="2115"/>
      <c r="U106" s="2115"/>
      <c r="V106" s="2115">
        <v>0</v>
      </c>
      <c r="W106" s="2115"/>
      <c r="X106" s="2115"/>
      <c r="Y106" s="2115"/>
      <c r="Z106" s="2115"/>
      <c r="AA106" s="2115"/>
      <c r="AB106" s="2115">
        <v>0</v>
      </c>
      <c r="AC106" s="2115"/>
      <c r="AD106" s="2115"/>
      <c r="AE106" s="2115"/>
      <c r="AF106" s="2115"/>
      <c r="AG106" s="2115"/>
      <c r="AH106" s="2116"/>
      <c r="AI106" s="1207"/>
      <c r="AJ106" s="1207"/>
      <c r="AK106" s="1207"/>
      <c r="AL106" s="1207"/>
      <c r="AM106" s="1207"/>
      <c r="AN106" s="1207"/>
      <c r="AO106" s="1207"/>
      <c r="AP106" s="1207"/>
      <c r="AQ106" s="1207"/>
      <c r="AR106" s="1207"/>
      <c r="AS106" s="1207"/>
      <c r="AT106" s="1207"/>
      <c r="AU106" s="1207"/>
      <c r="AV106" s="1207"/>
      <c r="AW106" s="1207"/>
      <c r="AX106" s="1207"/>
      <c r="AY106" s="1207"/>
      <c r="AZ106" s="1207"/>
      <c r="BA106" s="1207"/>
      <c r="BB106" s="1207"/>
      <c r="BC106" s="1207"/>
      <c r="BD106" s="1207"/>
      <c r="BE106" s="1214"/>
      <c r="CM106" s="1205"/>
      <c r="CN106" s="1205"/>
      <c r="CO106" s="1205"/>
      <c r="CP106" s="1205"/>
    </row>
    <row r="107" spans="1:94" ht="15.75" customHeight="1" thickBot="1">
      <c r="A107" s="1207"/>
      <c r="B107" s="2055" t="s">
        <v>2305</v>
      </c>
      <c r="C107" s="2056"/>
      <c r="D107" s="2056"/>
      <c r="E107" s="2056"/>
      <c r="F107" s="2056"/>
      <c r="G107" s="2056"/>
      <c r="H107" s="2056"/>
      <c r="I107" s="2113">
        <v>0</v>
      </c>
      <c r="J107" s="2113"/>
      <c r="K107" s="2113"/>
      <c r="L107" s="2113"/>
      <c r="M107" s="2113"/>
      <c r="N107" s="2113"/>
      <c r="O107" s="2113">
        <v>0</v>
      </c>
      <c r="P107" s="2113"/>
      <c r="Q107" s="2113"/>
      <c r="R107" s="2113"/>
      <c r="S107" s="2113"/>
      <c r="T107" s="2113"/>
      <c r="U107" s="2113"/>
      <c r="V107" s="2113">
        <v>0</v>
      </c>
      <c r="W107" s="2113"/>
      <c r="X107" s="2113"/>
      <c r="Y107" s="2113"/>
      <c r="Z107" s="2113"/>
      <c r="AA107" s="2113"/>
      <c r="AB107" s="2113">
        <v>0</v>
      </c>
      <c r="AC107" s="2113"/>
      <c r="AD107" s="2113"/>
      <c r="AE107" s="2113"/>
      <c r="AF107" s="2113"/>
      <c r="AG107" s="2113"/>
      <c r="AH107" s="2114"/>
      <c r="AI107" s="1207"/>
      <c r="AJ107" s="1207"/>
      <c r="AK107" s="1207"/>
      <c r="AL107" s="1207"/>
      <c r="AM107" s="1207"/>
      <c r="AN107" s="1207"/>
      <c r="AO107" s="1207"/>
      <c r="AP107" s="1207"/>
      <c r="AQ107" s="1207"/>
      <c r="AR107" s="1207"/>
      <c r="AS107" s="1207"/>
      <c r="AT107" s="1207"/>
      <c r="AU107" s="1207"/>
      <c r="AV107" s="1207"/>
      <c r="AW107" s="1207"/>
      <c r="AX107" s="1207"/>
      <c r="AY107" s="1207"/>
      <c r="AZ107" s="1207"/>
      <c r="BA107" s="1207"/>
      <c r="BB107" s="1207"/>
      <c r="BC107" s="1207"/>
      <c r="BD107" s="1207"/>
      <c r="BE107" s="1214"/>
      <c r="CM107" s="1205"/>
      <c r="CN107" s="1205"/>
      <c r="CO107" s="1205"/>
      <c r="CP107" s="1205"/>
    </row>
    <row r="108" spans="1:94" ht="15.75" customHeight="1" thickBot="1">
      <c r="A108" s="1207"/>
      <c r="B108" s="1207"/>
      <c r="C108" s="1207"/>
      <c r="D108" s="1207"/>
      <c r="E108" s="1207"/>
      <c r="F108" s="1207"/>
      <c r="G108" s="1207"/>
      <c r="H108" s="1207"/>
      <c r="I108" s="1207"/>
      <c r="J108" s="1207"/>
      <c r="K108" s="1207"/>
      <c r="L108" s="1207"/>
      <c r="M108" s="1207"/>
      <c r="N108" s="1207"/>
      <c r="O108" s="1207"/>
      <c r="P108" s="1207"/>
      <c r="Q108" s="1207"/>
      <c r="R108" s="1207"/>
      <c r="S108" s="1207"/>
      <c r="T108" s="1207"/>
      <c r="U108" s="1207" t="s">
        <v>249</v>
      </c>
      <c r="V108" s="1207"/>
      <c r="W108" s="1207"/>
      <c r="X108" s="1207"/>
      <c r="Y108" s="1207"/>
      <c r="Z108" s="1207"/>
      <c r="AA108" s="1207"/>
      <c r="AB108" s="1207"/>
      <c r="AC108" s="1207"/>
      <c r="AD108" s="1207"/>
      <c r="AE108" s="1207"/>
      <c r="AF108" s="1207"/>
      <c r="AG108" s="1207"/>
      <c r="AH108" s="1207"/>
      <c r="AI108" s="1207"/>
      <c r="AJ108" s="1207"/>
      <c r="AK108" s="1207"/>
      <c r="AL108" s="1207"/>
      <c r="AM108" s="1207"/>
      <c r="AN108" s="1207"/>
      <c r="AO108" s="1207"/>
      <c r="AP108" s="1207"/>
      <c r="AQ108" s="1207"/>
      <c r="AR108" s="1207"/>
      <c r="AS108" s="1207"/>
      <c r="AT108" s="1207"/>
      <c r="AU108" s="1207"/>
      <c r="AV108" s="1207"/>
      <c r="AW108" s="1207"/>
      <c r="AX108" s="1207"/>
      <c r="AY108" s="1207"/>
      <c r="AZ108" s="1207"/>
      <c r="BA108" s="1207"/>
      <c r="BB108" s="1207"/>
      <c r="BC108" s="1207"/>
      <c r="BD108" s="1207"/>
      <c r="BE108" s="1214"/>
    </row>
    <row r="109" spans="1:94" ht="15.75" customHeight="1" thickBot="1">
      <c r="A109" s="1207"/>
      <c r="B109" s="1223" t="s">
        <v>2304</v>
      </c>
      <c r="C109" s="1229"/>
      <c r="D109" s="1229"/>
      <c r="E109" s="1229"/>
      <c r="F109" s="1229"/>
      <c r="G109" s="1229"/>
      <c r="H109" s="1229"/>
      <c r="I109" s="1229"/>
      <c r="J109" s="1229"/>
      <c r="K109" s="1229"/>
      <c r="L109" s="1229"/>
      <c r="M109" s="1229"/>
      <c r="N109" s="1229"/>
      <c r="O109" s="1229"/>
      <c r="P109" s="1229"/>
      <c r="Q109" s="1229"/>
      <c r="R109" s="1243"/>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4"/>
    </row>
    <row r="110" spans="1:94" ht="15.75" customHeight="1">
      <c r="A110" s="1207"/>
      <c r="B110" s="1233" t="s">
        <v>2223</v>
      </c>
      <c r="C110" s="1233"/>
      <c r="D110" s="1240"/>
      <c r="E110" s="1241"/>
      <c r="F110" s="2117"/>
      <c r="G110" s="2118"/>
      <c r="H110" s="2118"/>
      <c r="I110" s="2118"/>
      <c r="J110" s="2118"/>
      <c r="K110" s="2118"/>
      <c r="L110" s="2118"/>
      <c r="M110" s="2118"/>
      <c r="N110" s="2118"/>
      <c r="O110" s="2118"/>
      <c r="P110" s="2118"/>
      <c r="Q110" s="2118"/>
      <c r="R110" s="2119"/>
      <c r="S110" s="1207"/>
      <c r="T110" s="1207"/>
      <c r="U110" s="1207"/>
      <c r="V110" s="1207"/>
      <c r="W110" s="1207"/>
      <c r="X110" s="1207"/>
      <c r="Y110" s="1207"/>
      <c r="Z110" s="1207"/>
      <c r="AA110" s="1207"/>
      <c r="AB110" s="1207"/>
      <c r="AC110" s="1207"/>
      <c r="AD110" s="1207"/>
      <c r="AE110" s="1207"/>
      <c r="AF110" s="1207"/>
      <c r="AG110" s="1207"/>
      <c r="AH110" s="1207"/>
      <c r="AI110" s="1207"/>
      <c r="AJ110" s="1207"/>
      <c r="AK110" s="1207"/>
      <c r="AL110" s="1207"/>
      <c r="AM110" s="1207"/>
      <c r="AN110" s="1207"/>
      <c r="AO110" s="1207"/>
      <c r="AP110" s="1207"/>
      <c r="AQ110" s="1207"/>
      <c r="AR110" s="1207"/>
      <c r="AS110" s="1207"/>
      <c r="AT110" s="1207"/>
      <c r="AU110" s="1207"/>
      <c r="AV110" s="1207"/>
      <c r="AW110" s="1207"/>
      <c r="AX110" s="1207"/>
      <c r="AY110" s="1207"/>
      <c r="AZ110" s="1207"/>
      <c r="BA110" s="1207"/>
      <c r="BB110" s="1207"/>
      <c r="BC110" s="1207"/>
      <c r="BD110" s="1207"/>
      <c r="BE110" s="1214"/>
    </row>
    <row r="111" spans="1:94" ht="15.75" customHeight="1" thickBot="1">
      <c r="A111" s="1207"/>
      <c r="B111" s="1207"/>
      <c r="C111" s="1207"/>
      <c r="D111" s="1207"/>
      <c r="E111" s="1207"/>
      <c r="F111" s="1207"/>
      <c r="G111" s="1207"/>
      <c r="H111" s="1207"/>
      <c r="I111" s="1207"/>
      <c r="J111" s="1207"/>
      <c r="K111" s="1207"/>
      <c r="L111" s="1207"/>
      <c r="M111" s="1207"/>
      <c r="N111" s="1207"/>
      <c r="O111" s="1207"/>
      <c r="P111" s="1207"/>
      <c r="Q111" s="1207"/>
      <c r="R111" s="1207"/>
      <c r="S111" s="1207"/>
      <c r="T111" s="1207"/>
      <c r="U111" s="1207"/>
      <c r="V111" s="1207"/>
      <c r="W111" s="1207"/>
      <c r="X111" s="1207"/>
      <c r="Y111" s="1207"/>
      <c r="Z111" s="1207"/>
      <c r="AA111" s="1207"/>
      <c r="AB111" s="1207"/>
      <c r="AC111" s="1207"/>
      <c r="AD111" s="1207"/>
      <c r="AE111" s="1207"/>
      <c r="AF111" s="1207"/>
      <c r="AG111" s="1207"/>
      <c r="AH111" s="1207"/>
      <c r="AI111" s="1207"/>
      <c r="AJ111" s="1207"/>
      <c r="AK111" s="1207"/>
      <c r="AL111" s="1207"/>
      <c r="AM111" s="1207"/>
      <c r="AN111" s="1207"/>
      <c r="AO111" s="1207"/>
      <c r="AP111" s="1207"/>
      <c r="AQ111" s="1207"/>
      <c r="AR111" s="1207"/>
      <c r="AS111" s="1207"/>
      <c r="AT111" s="1207"/>
      <c r="AU111" s="1207"/>
      <c r="AV111" s="1207"/>
      <c r="AW111" s="1207"/>
      <c r="AX111" s="1207"/>
      <c r="AY111" s="1207"/>
      <c r="AZ111" s="1207"/>
      <c r="BA111" s="1207"/>
      <c r="BB111" s="1207"/>
      <c r="BC111" s="1207"/>
      <c r="BD111" s="1207"/>
      <c r="BE111" s="1214"/>
    </row>
    <row r="112" spans="1:94" ht="15.75" customHeight="1">
      <c r="A112" s="1207"/>
      <c r="B112" s="2121" t="s">
        <v>2623</v>
      </c>
      <c r="C112" s="2122"/>
      <c r="D112" s="2122"/>
      <c r="E112" s="2122"/>
      <c r="F112" s="2122"/>
      <c r="G112" s="2122"/>
      <c r="H112" s="2122"/>
      <c r="I112" s="2122"/>
      <c r="J112" s="2122"/>
      <c r="K112" s="2122"/>
      <c r="L112" s="2122"/>
      <c r="M112" s="2122"/>
      <c r="N112" s="2122"/>
      <c r="O112" s="2122"/>
      <c r="P112" s="2122"/>
      <c r="Q112" s="2122"/>
      <c r="R112" s="2122"/>
      <c r="S112" s="2122"/>
      <c r="T112" s="2122"/>
      <c r="U112" s="2125" t="s">
        <v>543</v>
      </c>
      <c r="V112" s="2125"/>
      <c r="W112" s="2125"/>
      <c r="X112" s="2126"/>
      <c r="Y112" s="1207"/>
      <c r="Z112" s="1207"/>
      <c r="AA112" s="1207"/>
      <c r="AB112" s="1207"/>
      <c r="AC112" s="1207"/>
      <c r="AD112" s="1207"/>
      <c r="AE112" s="1207"/>
      <c r="AF112" s="1207"/>
      <c r="AG112" s="1207"/>
      <c r="AH112" s="1207"/>
      <c r="AI112" s="1207"/>
      <c r="AJ112" s="1207"/>
      <c r="AK112" s="1207"/>
      <c r="AL112" s="1207"/>
      <c r="AM112" s="1207"/>
      <c r="AN112" s="1207"/>
      <c r="AO112" s="1207"/>
      <c r="AP112" s="1207"/>
      <c r="AQ112" s="1207"/>
      <c r="AR112" s="1207"/>
      <c r="AS112" s="1207"/>
      <c r="AT112" s="1207"/>
      <c r="AU112" s="1207"/>
      <c r="AV112" s="1207"/>
      <c r="AW112" s="1207"/>
      <c r="AX112" s="1207"/>
      <c r="AY112" s="1207"/>
      <c r="AZ112" s="1207"/>
      <c r="BA112" s="1207"/>
      <c r="BB112" s="1207"/>
      <c r="BC112" s="1207"/>
      <c r="BD112" s="1207"/>
      <c r="BE112" s="1214"/>
    </row>
    <row r="113" spans="1:57" ht="15.75" customHeight="1">
      <c r="A113" s="1207"/>
      <c r="B113" s="2123"/>
      <c r="C113" s="2124"/>
      <c r="D113" s="2124"/>
      <c r="E113" s="2124"/>
      <c r="F113" s="2124"/>
      <c r="G113" s="2124"/>
      <c r="H113" s="2124"/>
      <c r="I113" s="2124"/>
      <c r="J113" s="2124"/>
      <c r="K113" s="2124"/>
      <c r="L113" s="2124"/>
      <c r="M113" s="2124"/>
      <c r="N113" s="2124"/>
      <c r="O113" s="2124"/>
      <c r="P113" s="2124"/>
      <c r="Q113" s="2124"/>
      <c r="R113" s="2124"/>
      <c r="S113" s="2124"/>
      <c r="T113" s="2124"/>
      <c r="U113" s="2127"/>
      <c r="V113" s="2127"/>
      <c r="W113" s="2127"/>
      <c r="X113" s="2128"/>
      <c r="Y113" s="1207"/>
      <c r="Z113" s="1207"/>
      <c r="AA113" s="1207"/>
      <c r="AB113" s="1207"/>
      <c r="AC113" s="1207"/>
      <c r="AD113" s="1207"/>
      <c r="AE113" s="1207"/>
      <c r="AF113" s="1207"/>
      <c r="AG113" s="1207"/>
      <c r="AH113" s="1207"/>
      <c r="AI113" s="1207"/>
      <c r="AJ113" s="1207"/>
      <c r="AK113" s="1207"/>
      <c r="AL113" s="1207"/>
      <c r="AM113" s="1207"/>
      <c r="AN113" s="1207"/>
      <c r="AO113" s="1207"/>
      <c r="AP113" s="1207"/>
      <c r="AQ113" s="1207"/>
      <c r="AR113" s="1207"/>
      <c r="AS113" s="1207"/>
      <c r="AT113" s="1207"/>
      <c r="AU113" s="1207"/>
      <c r="AV113" s="1207"/>
      <c r="AW113" s="1207"/>
      <c r="AX113" s="1207"/>
      <c r="AY113" s="1207"/>
      <c r="AZ113" s="1207"/>
      <c r="BA113" s="1207"/>
      <c r="BB113" s="1207"/>
      <c r="BC113" s="1207"/>
      <c r="BD113" s="1207"/>
      <c r="BE113" s="1214"/>
    </row>
    <row r="114" spans="1:57" ht="15.75" customHeight="1">
      <c r="A114" s="1207"/>
      <c r="B114" s="2123"/>
      <c r="C114" s="2124"/>
      <c r="D114" s="2124"/>
      <c r="E114" s="2124"/>
      <c r="F114" s="2124"/>
      <c r="G114" s="2124"/>
      <c r="H114" s="2124"/>
      <c r="I114" s="2124"/>
      <c r="J114" s="2124"/>
      <c r="K114" s="2124"/>
      <c r="L114" s="2124"/>
      <c r="M114" s="2124"/>
      <c r="N114" s="2124"/>
      <c r="O114" s="2124"/>
      <c r="P114" s="2124"/>
      <c r="Q114" s="2124"/>
      <c r="R114" s="2124"/>
      <c r="S114" s="2124"/>
      <c r="T114" s="2124"/>
      <c r="U114" s="2127"/>
      <c r="V114" s="2127"/>
      <c r="W114" s="2127"/>
      <c r="X114" s="2128"/>
      <c r="Y114" s="1207"/>
      <c r="Z114" s="1207"/>
      <c r="AA114" s="1207"/>
      <c r="AB114" s="1207"/>
      <c r="AC114" s="1207"/>
      <c r="AD114" s="1207"/>
      <c r="AE114" s="1207"/>
      <c r="AF114" s="1207"/>
      <c r="AG114" s="1207"/>
      <c r="AH114" s="1207"/>
      <c r="AI114" s="1207"/>
      <c r="AJ114" s="1207"/>
      <c r="AK114" s="1207"/>
      <c r="AL114" s="1207"/>
      <c r="AM114" s="1207"/>
      <c r="AN114" s="1207"/>
      <c r="AO114" s="1207"/>
      <c r="AP114" s="1207"/>
      <c r="AQ114" s="1207"/>
      <c r="AR114" s="1207"/>
      <c r="AS114" s="1207"/>
      <c r="AT114" s="1207"/>
      <c r="AU114" s="1207"/>
      <c r="AV114" s="1207"/>
      <c r="AW114" s="1207"/>
      <c r="AX114" s="1207"/>
      <c r="AY114" s="1207"/>
      <c r="AZ114" s="1207"/>
      <c r="BA114" s="1207"/>
      <c r="BB114" s="1207"/>
      <c r="BC114" s="1207"/>
      <c r="BD114" s="1207"/>
      <c r="BE114" s="1214"/>
    </row>
    <row r="115" spans="1:57" ht="15.75" customHeight="1">
      <c r="A115" s="1207"/>
      <c r="B115" s="2123"/>
      <c r="C115" s="2124"/>
      <c r="D115" s="2124"/>
      <c r="E115" s="2124"/>
      <c r="F115" s="2124"/>
      <c r="G115" s="2124"/>
      <c r="H115" s="2124"/>
      <c r="I115" s="2124"/>
      <c r="J115" s="2124"/>
      <c r="K115" s="2124"/>
      <c r="L115" s="2124"/>
      <c r="M115" s="2124"/>
      <c r="N115" s="2124"/>
      <c r="O115" s="2124"/>
      <c r="P115" s="2124"/>
      <c r="Q115" s="2124"/>
      <c r="R115" s="2124"/>
      <c r="S115" s="2124"/>
      <c r="T115" s="2124"/>
      <c r="U115" s="2127"/>
      <c r="V115" s="2127"/>
      <c r="W115" s="2127"/>
      <c r="X115" s="2128"/>
      <c r="Y115" s="1207"/>
      <c r="Z115" s="1207"/>
      <c r="AA115" s="1207"/>
      <c r="AB115" s="1207"/>
      <c r="AC115" s="1207"/>
      <c r="AD115" s="1207"/>
      <c r="AE115" s="1207"/>
      <c r="AF115" s="1207"/>
      <c r="AG115" s="1207"/>
      <c r="AH115" s="1207"/>
      <c r="AI115" s="1207"/>
      <c r="AJ115" s="1207"/>
      <c r="AK115" s="1207"/>
      <c r="AL115" s="1207"/>
      <c r="AM115" s="1207"/>
      <c r="AN115" s="1207"/>
      <c r="AO115" s="1207"/>
      <c r="AP115" s="1207"/>
      <c r="AQ115" s="1207"/>
      <c r="AR115" s="1207"/>
      <c r="AS115" s="1207"/>
      <c r="AT115" s="1207"/>
      <c r="AU115" s="1207"/>
      <c r="AV115" s="1207"/>
      <c r="AW115" s="1207"/>
      <c r="AX115" s="1207"/>
      <c r="AY115" s="1207"/>
      <c r="AZ115" s="1207"/>
      <c r="BA115" s="1207"/>
      <c r="BB115" s="1207"/>
      <c r="BC115" s="1207"/>
      <c r="BD115" s="1207"/>
      <c r="BE115" s="1214"/>
    </row>
    <row r="116" spans="1:57" ht="15.75" customHeight="1">
      <c r="A116" s="1207"/>
      <c r="B116" s="2129" t="s">
        <v>2623</v>
      </c>
      <c r="C116" s="2130"/>
      <c r="D116" s="2130"/>
      <c r="E116" s="2130"/>
      <c r="F116" s="2130"/>
      <c r="G116" s="2130"/>
      <c r="H116" s="2130"/>
      <c r="I116" s="2130"/>
      <c r="J116" s="2130"/>
      <c r="K116" s="2130"/>
      <c r="L116" s="2130"/>
      <c r="M116" s="2130"/>
      <c r="N116" s="2130"/>
      <c r="O116" s="2130"/>
      <c r="P116" s="2130"/>
      <c r="Q116" s="2130"/>
      <c r="R116" s="2130"/>
      <c r="S116" s="2130"/>
      <c r="T116" s="2130"/>
      <c r="U116" s="2133" t="s">
        <v>543</v>
      </c>
      <c r="V116" s="2133"/>
      <c r="W116" s="2133"/>
      <c r="X116" s="2134"/>
      <c r="Y116" s="1207"/>
      <c r="Z116" s="1207"/>
      <c r="AA116" s="1207"/>
      <c r="AB116" s="1207"/>
      <c r="AC116" s="1207"/>
      <c r="AD116" s="1207"/>
      <c r="AE116" s="1207"/>
      <c r="AF116" s="1207"/>
      <c r="AG116" s="1207"/>
      <c r="AH116" s="1207"/>
      <c r="AI116" s="1207"/>
      <c r="AJ116" s="1207"/>
      <c r="AK116" s="1207"/>
      <c r="AL116" s="1207"/>
      <c r="AM116" s="1207"/>
      <c r="AN116" s="1207"/>
      <c r="AO116" s="1207"/>
      <c r="AP116" s="1207"/>
      <c r="AQ116" s="1207"/>
      <c r="AR116" s="1207"/>
      <c r="AS116" s="1207"/>
      <c r="AT116" s="1207"/>
      <c r="AU116" s="1207"/>
      <c r="AV116" s="1207"/>
      <c r="AW116" s="1207"/>
      <c r="AX116" s="1207"/>
      <c r="AY116" s="1207"/>
      <c r="AZ116" s="1207"/>
      <c r="BA116" s="1207"/>
      <c r="BB116" s="1207"/>
      <c r="BC116" s="1207"/>
      <c r="BD116" s="1207"/>
      <c r="BE116" s="1214"/>
    </row>
    <row r="117" spans="1:57" ht="15.75" customHeight="1" thickBot="1">
      <c r="A117" s="1207"/>
      <c r="B117" s="2131"/>
      <c r="C117" s="2132"/>
      <c r="D117" s="2132"/>
      <c r="E117" s="2132"/>
      <c r="F117" s="2132"/>
      <c r="G117" s="2132"/>
      <c r="H117" s="2132"/>
      <c r="I117" s="2132"/>
      <c r="J117" s="2132"/>
      <c r="K117" s="2132"/>
      <c r="L117" s="2132"/>
      <c r="M117" s="2132"/>
      <c r="N117" s="2132"/>
      <c r="O117" s="2132"/>
      <c r="P117" s="2132"/>
      <c r="Q117" s="2132"/>
      <c r="R117" s="2132"/>
      <c r="S117" s="2132"/>
      <c r="T117" s="2132"/>
      <c r="U117" s="2135"/>
      <c r="V117" s="2135"/>
      <c r="W117" s="2135"/>
      <c r="X117" s="2136"/>
      <c r="Y117" s="1207"/>
      <c r="Z117" s="1207"/>
      <c r="AA117" s="1207"/>
      <c r="AB117" s="1207"/>
      <c r="AC117" s="1207"/>
      <c r="AD117" s="1207"/>
      <c r="AE117" s="1207"/>
      <c r="AF117" s="1207"/>
      <c r="AG117" s="1207"/>
      <c r="AH117" s="1207"/>
      <c r="AI117" s="1207"/>
      <c r="AJ117" s="1207"/>
      <c r="AK117" s="1207"/>
      <c r="AL117" s="1207"/>
      <c r="AM117" s="1207"/>
      <c r="AN117" s="1207"/>
      <c r="AO117" s="1207"/>
      <c r="AP117" s="1207"/>
      <c r="AQ117" s="1207"/>
      <c r="AR117" s="1207"/>
      <c r="AS117" s="1207"/>
      <c r="AT117" s="1207"/>
      <c r="AU117" s="1207"/>
      <c r="AV117" s="1207"/>
      <c r="AW117" s="1207"/>
      <c r="AX117" s="1207"/>
      <c r="AY117" s="1207"/>
      <c r="AZ117" s="1207"/>
      <c r="BA117" s="1207"/>
      <c r="BB117" s="1207"/>
      <c r="BC117" s="1207"/>
      <c r="BD117" s="1207"/>
      <c r="BE117" s="1214"/>
    </row>
    <row r="118" spans="1:57" ht="15.75" customHeight="1" thickBot="1">
      <c r="A118" s="1207"/>
      <c r="B118" s="1207"/>
      <c r="C118" s="1207"/>
      <c r="D118" s="1207"/>
      <c r="E118" s="1207"/>
      <c r="F118" s="1207"/>
      <c r="G118" s="1207"/>
      <c r="H118" s="1207"/>
      <c r="I118" s="1207"/>
      <c r="J118" s="1207"/>
      <c r="K118" s="1207"/>
      <c r="L118" s="1207"/>
      <c r="M118" s="1207"/>
      <c r="N118" s="1207"/>
      <c r="O118" s="1207"/>
      <c r="P118" s="1207"/>
      <c r="Q118" s="1207"/>
      <c r="R118" s="1207"/>
      <c r="S118" s="1207"/>
      <c r="T118" s="1207"/>
      <c r="U118" s="1207"/>
      <c r="V118" s="1207"/>
      <c r="W118" s="1207"/>
      <c r="X118" s="1207"/>
      <c r="Y118" s="1207"/>
      <c r="Z118" s="1207"/>
      <c r="AA118" s="1207"/>
      <c r="AB118" s="1207"/>
      <c r="AC118" s="1207"/>
      <c r="AD118" s="1207"/>
      <c r="AE118" s="1207"/>
      <c r="AF118" s="1207"/>
      <c r="AG118" s="1207"/>
      <c r="AH118" s="1207"/>
      <c r="AI118" s="1207"/>
      <c r="AJ118" s="1207"/>
      <c r="AK118" s="1207"/>
      <c r="AL118" s="1207"/>
      <c r="AM118" s="1207"/>
      <c r="AN118" s="1207"/>
      <c r="AO118" s="1207"/>
      <c r="AP118" s="1207"/>
      <c r="AQ118" s="1207"/>
      <c r="AR118" s="1207"/>
      <c r="AS118" s="1207"/>
      <c r="AT118" s="1207"/>
      <c r="AU118" s="1207"/>
      <c r="AV118" s="1207"/>
      <c r="AW118" s="1207"/>
      <c r="AX118" s="1207"/>
      <c r="AY118" s="1207"/>
      <c r="AZ118" s="1207"/>
      <c r="BA118" s="1207"/>
      <c r="BB118" s="1207"/>
      <c r="BC118" s="1207"/>
      <c r="BD118" s="1207"/>
      <c r="BE118" s="1214"/>
    </row>
    <row r="119" spans="1:57" ht="15.75" customHeight="1" thickBot="1">
      <c r="A119" s="1207"/>
      <c r="B119" s="1230" t="s">
        <v>2303</v>
      </c>
      <c r="C119" s="1225"/>
      <c r="D119" s="1225"/>
      <c r="E119" s="1225"/>
      <c r="F119" s="1225"/>
      <c r="G119" s="1225"/>
      <c r="H119" s="1225"/>
      <c r="I119" s="1225"/>
      <c r="J119" s="1225"/>
      <c r="K119" s="1225"/>
      <c r="L119" s="1225"/>
      <c r="M119" s="1225"/>
      <c r="N119" s="1225"/>
      <c r="O119" s="1225"/>
      <c r="P119" s="1225"/>
      <c r="Q119" s="1225"/>
      <c r="R119" s="1226"/>
      <c r="S119" s="1207"/>
      <c r="T119" s="1207"/>
      <c r="U119" s="1207"/>
      <c r="V119" s="1207"/>
      <c r="W119" s="1207"/>
      <c r="X119" s="1207"/>
      <c r="Y119" s="1207"/>
      <c r="Z119" s="1207"/>
      <c r="AA119" s="1207"/>
      <c r="AB119" s="1207"/>
      <c r="AC119" s="1207"/>
      <c r="AD119" s="1207"/>
      <c r="AE119" s="1207"/>
      <c r="AF119" s="1207"/>
      <c r="AG119" s="1207"/>
      <c r="AH119" s="1207"/>
      <c r="AI119" s="1207"/>
      <c r="AJ119" s="1207"/>
      <c r="AK119" s="1207"/>
      <c r="AL119" s="1207"/>
      <c r="AM119" s="1207"/>
      <c r="AN119" s="1207"/>
      <c r="AO119" s="1207"/>
      <c r="AP119" s="1207"/>
      <c r="AQ119" s="1207"/>
      <c r="AR119" s="1207"/>
      <c r="AS119" s="1207"/>
      <c r="AT119" s="1207"/>
      <c r="AU119" s="1207"/>
      <c r="AV119" s="1207"/>
      <c r="AW119" s="1207"/>
      <c r="AX119" s="1207"/>
      <c r="AY119" s="1207"/>
      <c r="AZ119" s="1207"/>
      <c r="BA119" s="1207"/>
      <c r="BB119" s="1207"/>
      <c r="BC119" s="1207"/>
      <c r="BD119" s="1207"/>
      <c r="BE119" s="1214"/>
    </row>
    <row r="120" spans="1:57" ht="15.75" customHeight="1" thickBot="1">
      <c r="A120" s="1207"/>
      <c r="B120" s="1207"/>
      <c r="C120" s="1207"/>
      <c r="D120" s="1207"/>
      <c r="E120" s="1207"/>
      <c r="F120" s="1207"/>
      <c r="G120" s="1207"/>
      <c r="H120" s="1207"/>
      <c r="I120" s="1207"/>
      <c r="J120" s="1207"/>
      <c r="K120" s="1207"/>
      <c r="L120" s="1207"/>
      <c r="M120" s="1207"/>
      <c r="N120" s="1207"/>
      <c r="O120" s="1207"/>
      <c r="P120" s="1242"/>
      <c r="Q120" s="1207"/>
      <c r="R120" s="1207"/>
      <c r="S120" s="1207"/>
      <c r="T120" s="1207"/>
      <c r="U120" s="1207"/>
      <c r="V120" s="1207"/>
      <c r="W120" s="1207"/>
      <c r="X120" s="2102" t="s">
        <v>2302</v>
      </c>
      <c r="Y120" s="2103"/>
      <c r="Z120" s="2103"/>
      <c r="AA120" s="2103"/>
      <c r="AB120" s="2103"/>
      <c r="AC120" s="2103"/>
      <c r="AD120" s="2103"/>
      <c r="AE120" s="2103"/>
      <c r="AF120" s="2103"/>
      <c r="AG120" s="2103"/>
      <c r="AH120" s="2103"/>
      <c r="AI120" s="2103"/>
      <c r="AJ120" s="2103"/>
      <c r="AK120" s="2103"/>
      <c r="AL120" s="2103"/>
      <c r="AM120" s="2103"/>
      <c r="AN120" s="2103"/>
      <c r="AO120" s="2103"/>
      <c r="AP120" s="2103"/>
      <c r="AQ120" s="2103"/>
      <c r="AR120" s="2103"/>
      <c r="AS120" s="2103"/>
      <c r="AT120" s="2103"/>
      <c r="AU120" s="2103"/>
      <c r="AV120" s="2103"/>
      <c r="AW120" s="2103"/>
      <c r="AX120" s="2103"/>
      <c r="AY120" s="2103"/>
      <c r="AZ120" s="2103"/>
      <c r="BA120" s="2103"/>
      <c r="BB120" s="2103"/>
      <c r="BC120" s="2103"/>
      <c r="BD120" s="2143"/>
      <c r="BE120" s="1214"/>
    </row>
    <row r="121" spans="1:57" ht="15.75" customHeight="1">
      <c r="A121" s="1207"/>
      <c r="B121" s="2145" t="s">
        <v>1564</v>
      </c>
      <c r="C121" s="2146"/>
      <c r="D121" s="2146"/>
      <c r="E121" s="2146"/>
      <c r="F121" s="2146"/>
      <c r="G121" s="2146"/>
      <c r="H121" s="2146"/>
      <c r="I121" s="2146"/>
      <c r="J121" s="2146"/>
      <c r="K121" s="2146"/>
      <c r="L121" s="2146"/>
      <c r="M121" s="2146"/>
      <c r="N121" s="2146"/>
      <c r="O121" s="2146"/>
      <c r="P121" s="2146"/>
      <c r="Q121" s="2146"/>
      <c r="R121" s="2146"/>
      <c r="S121" s="2146"/>
      <c r="T121" s="2146"/>
      <c r="U121" s="2147"/>
      <c r="V121" s="1207"/>
      <c r="W121" s="1207"/>
      <c r="X121" s="2104"/>
      <c r="Y121" s="2105"/>
      <c r="Z121" s="2105"/>
      <c r="AA121" s="2105"/>
      <c r="AB121" s="2105"/>
      <c r="AC121" s="2105"/>
      <c r="AD121" s="2105"/>
      <c r="AE121" s="2105"/>
      <c r="AF121" s="2105"/>
      <c r="AG121" s="2105"/>
      <c r="AH121" s="2105"/>
      <c r="AI121" s="2105"/>
      <c r="AJ121" s="2105"/>
      <c r="AK121" s="2105"/>
      <c r="AL121" s="2105"/>
      <c r="AM121" s="2105"/>
      <c r="AN121" s="2105"/>
      <c r="AO121" s="2105"/>
      <c r="AP121" s="2105"/>
      <c r="AQ121" s="2105"/>
      <c r="AR121" s="2105"/>
      <c r="AS121" s="2105"/>
      <c r="AT121" s="2105"/>
      <c r="AU121" s="2105"/>
      <c r="AV121" s="2105"/>
      <c r="AW121" s="2105"/>
      <c r="AX121" s="2105"/>
      <c r="AY121" s="2105"/>
      <c r="AZ121" s="2105"/>
      <c r="BA121" s="2105"/>
      <c r="BB121" s="2105"/>
      <c r="BC121" s="2105"/>
      <c r="BD121" s="2144"/>
      <c r="BE121" s="1214"/>
    </row>
    <row r="122" spans="1:57" ht="15.75" customHeight="1">
      <c r="A122" s="1207"/>
      <c r="B122" s="2163"/>
      <c r="C122" s="2164"/>
      <c r="D122" s="2164"/>
      <c r="E122" s="2164"/>
      <c r="F122" s="2164"/>
      <c r="G122" s="2164"/>
      <c r="H122" s="2164"/>
      <c r="I122" s="2038" t="s">
        <v>2301</v>
      </c>
      <c r="J122" s="2038"/>
      <c r="K122" s="2038"/>
      <c r="L122" s="2038"/>
      <c r="M122" s="2038"/>
      <c r="N122" s="2038"/>
      <c r="O122" s="2167" t="s">
        <v>2300</v>
      </c>
      <c r="P122" s="2167"/>
      <c r="Q122" s="2167"/>
      <c r="R122" s="2167"/>
      <c r="S122" s="2167"/>
      <c r="T122" s="2167"/>
      <c r="U122" s="2168"/>
      <c r="V122" s="1207"/>
      <c r="W122" s="1207"/>
      <c r="X122" s="2085" t="s">
        <v>2270</v>
      </c>
      <c r="Y122" s="2086"/>
      <c r="Z122" s="2086"/>
      <c r="AA122" s="2086"/>
      <c r="AB122" s="2086"/>
      <c r="AC122" s="2086"/>
      <c r="AD122" s="2086"/>
      <c r="AE122" s="2086"/>
      <c r="AF122" s="2086"/>
      <c r="AG122" s="2086"/>
      <c r="AH122" s="2086"/>
      <c r="AI122" s="2086"/>
      <c r="AJ122" s="2086"/>
      <c r="AK122" s="2086"/>
      <c r="AL122" s="2086"/>
      <c r="AM122" s="2086"/>
      <c r="AN122" s="2086"/>
      <c r="AO122" s="2086"/>
      <c r="AP122" s="2086"/>
      <c r="AQ122" s="2086"/>
      <c r="AR122" s="2086"/>
      <c r="AS122" s="2086"/>
      <c r="AT122" s="2086"/>
      <c r="AU122" s="2086"/>
      <c r="AV122" s="2086"/>
      <c r="AW122" s="2086"/>
      <c r="AX122" s="2086"/>
      <c r="AY122" s="2086"/>
      <c r="AZ122" s="2086"/>
      <c r="BA122" s="2086"/>
      <c r="BB122" s="2086"/>
      <c r="BC122" s="2086"/>
      <c r="BD122" s="2087"/>
      <c r="BE122" s="1214"/>
    </row>
    <row r="123" spans="1:57" ht="15.75" customHeight="1">
      <c r="A123" s="1207"/>
      <c r="B123" s="2137" t="s">
        <v>2284</v>
      </c>
      <c r="C123" s="2138"/>
      <c r="D123" s="2138"/>
      <c r="E123" s="2138"/>
      <c r="F123" s="2138"/>
      <c r="G123" s="2138"/>
      <c r="H123" s="2138"/>
      <c r="I123" s="2115">
        <v>0</v>
      </c>
      <c r="J123" s="2115"/>
      <c r="K123" s="2115"/>
      <c r="L123" s="2115"/>
      <c r="M123" s="2115"/>
      <c r="N123" s="2115"/>
      <c r="O123" s="2115">
        <v>0</v>
      </c>
      <c r="P123" s="2115"/>
      <c r="Q123" s="2115"/>
      <c r="R123" s="2115"/>
      <c r="S123" s="2115"/>
      <c r="T123" s="2115"/>
      <c r="U123" s="2116"/>
      <c r="V123" s="1207"/>
      <c r="W123" s="1207"/>
      <c r="X123" s="2085"/>
      <c r="Y123" s="2086"/>
      <c r="Z123" s="2086"/>
      <c r="AA123" s="2086"/>
      <c r="AB123" s="2086"/>
      <c r="AC123" s="2086"/>
      <c r="AD123" s="2086"/>
      <c r="AE123" s="2086"/>
      <c r="AF123" s="2086"/>
      <c r="AG123" s="2086"/>
      <c r="AH123" s="2086"/>
      <c r="AI123" s="2086"/>
      <c r="AJ123" s="2086"/>
      <c r="AK123" s="2086"/>
      <c r="AL123" s="2086"/>
      <c r="AM123" s="2086"/>
      <c r="AN123" s="2086"/>
      <c r="AO123" s="2086"/>
      <c r="AP123" s="2086"/>
      <c r="AQ123" s="2086"/>
      <c r="AR123" s="2086"/>
      <c r="AS123" s="2086"/>
      <c r="AT123" s="2086"/>
      <c r="AU123" s="2086"/>
      <c r="AV123" s="2086"/>
      <c r="AW123" s="2086"/>
      <c r="AX123" s="2086"/>
      <c r="AY123" s="2086"/>
      <c r="AZ123" s="2086"/>
      <c r="BA123" s="2086"/>
      <c r="BB123" s="2086"/>
      <c r="BC123" s="2086"/>
      <c r="BD123" s="2087"/>
      <c r="BE123" s="1214"/>
    </row>
    <row r="124" spans="1:57" ht="15.75" customHeight="1" thickBot="1">
      <c r="A124" s="1207"/>
      <c r="B124" s="2139" t="s">
        <v>2283</v>
      </c>
      <c r="C124" s="2140"/>
      <c r="D124" s="2140"/>
      <c r="E124" s="2140"/>
      <c r="F124" s="2140"/>
      <c r="G124" s="2140"/>
      <c r="H124" s="2140"/>
      <c r="I124" s="2113">
        <v>0</v>
      </c>
      <c r="J124" s="2113"/>
      <c r="K124" s="2113"/>
      <c r="L124" s="2113"/>
      <c r="M124" s="2113"/>
      <c r="N124" s="2113"/>
      <c r="O124" s="2141"/>
      <c r="P124" s="2141"/>
      <c r="Q124" s="2141"/>
      <c r="R124" s="2141"/>
      <c r="S124" s="2141"/>
      <c r="T124" s="2141"/>
      <c r="U124" s="2142"/>
      <c r="V124" s="1207"/>
      <c r="W124" s="1207"/>
      <c r="X124" s="2085"/>
      <c r="Y124" s="2086"/>
      <c r="Z124" s="2086"/>
      <c r="AA124" s="2086"/>
      <c r="AB124" s="2086"/>
      <c r="AC124" s="2086"/>
      <c r="AD124" s="2086"/>
      <c r="AE124" s="2086"/>
      <c r="AF124" s="2086"/>
      <c r="AG124" s="2086"/>
      <c r="AH124" s="2086"/>
      <c r="AI124" s="2086"/>
      <c r="AJ124" s="2086"/>
      <c r="AK124" s="2086"/>
      <c r="AL124" s="2086"/>
      <c r="AM124" s="2086"/>
      <c r="AN124" s="2086"/>
      <c r="AO124" s="2086"/>
      <c r="AP124" s="2086"/>
      <c r="AQ124" s="2086"/>
      <c r="AR124" s="2086"/>
      <c r="AS124" s="2086"/>
      <c r="AT124" s="2086"/>
      <c r="AU124" s="2086"/>
      <c r="AV124" s="2086"/>
      <c r="AW124" s="2086"/>
      <c r="AX124" s="2086"/>
      <c r="AY124" s="2086"/>
      <c r="AZ124" s="2086"/>
      <c r="BA124" s="2086"/>
      <c r="BB124" s="2086"/>
      <c r="BC124" s="2086"/>
      <c r="BD124" s="2087"/>
      <c r="BE124" s="1214"/>
    </row>
    <row r="125" spans="1:57" ht="15.75" customHeight="1" thickBot="1">
      <c r="A125" s="1207"/>
      <c r="B125" s="1207"/>
      <c r="C125" s="1207"/>
      <c r="D125" s="1207"/>
      <c r="E125" s="1207"/>
      <c r="F125" s="1207"/>
      <c r="G125" s="1207"/>
      <c r="H125" s="1207"/>
      <c r="I125" s="1207"/>
      <c r="J125" s="1207"/>
      <c r="K125" s="1207"/>
      <c r="L125" s="1207"/>
      <c r="M125" s="1207"/>
      <c r="N125" s="1207"/>
      <c r="O125" s="1207"/>
      <c r="P125" s="1207"/>
      <c r="Q125" s="1207"/>
      <c r="R125" s="1207"/>
      <c r="S125" s="1207"/>
      <c r="T125" s="1207"/>
      <c r="U125" s="1207"/>
      <c r="V125" s="1207"/>
      <c r="W125" s="1207"/>
      <c r="X125" s="2085"/>
      <c r="Y125" s="2086"/>
      <c r="Z125" s="2086"/>
      <c r="AA125" s="2086"/>
      <c r="AB125" s="2086"/>
      <c r="AC125" s="2086"/>
      <c r="AD125" s="2086"/>
      <c r="AE125" s="2086"/>
      <c r="AF125" s="2086"/>
      <c r="AG125" s="2086"/>
      <c r="AH125" s="2086"/>
      <c r="AI125" s="2086"/>
      <c r="AJ125" s="2086"/>
      <c r="AK125" s="2086"/>
      <c r="AL125" s="2086"/>
      <c r="AM125" s="2086"/>
      <c r="AN125" s="2086"/>
      <c r="AO125" s="2086"/>
      <c r="AP125" s="2086"/>
      <c r="AQ125" s="2086"/>
      <c r="AR125" s="2086"/>
      <c r="AS125" s="2086"/>
      <c r="AT125" s="2086"/>
      <c r="AU125" s="2086"/>
      <c r="AV125" s="2086"/>
      <c r="AW125" s="2086"/>
      <c r="AX125" s="2086"/>
      <c r="AY125" s="2086"/>
      <c r="AZ125" s="2086"/>
      <c r="BA125" s="2086"/>
      <c r="BB125" s="2086"/>
      <c r="BC125" s="2086"/>
      <c r="BD125" s="2087"/>
      <c r="BE125" s="1214"/>
    </row>
    <row r="126" spans="1:57" ht="15.75" customHeight="1" thickBot="1">
      <c r="A126" s="1207"/>
      <c r="B126" s="1230" t="s">
        <v>2299</v>
      </c>
      <c r="C126" s="1231"/>
      <c r="D126" s="1231"/>
      <c r="E126" s="1231"/>
      <c r="F126" s="1231"/>
      <c r="G126" s="1231"/>
      <c r="H126" s="1231"/>
      <c r="I126" s="1231"/>
      <c r="J126" s="1231"/>
      <c r="K126" s="1231"/>
      <c r="L126" s="1231"/>
      <c r="M126" s="1231"/>
      <c r="N126" s="1231"/>
      <c r="O126" s="1231"/>
      <c r="P126" s="1232"/>
      <c r="Q126" s="1215" t="s">
        <v>249</v>
      </c>
      <c r="R126" s="1215" t="s">
        <v>249</v>
      </c>
      <c r="S126" s="1207"/>
      <c r="T126" s="1207"/>
      <c r="U126" s="1207"/>
      <c r="V126" s="1207" t="s">
        <v>249</v>
      </c>
      <c r="W126" s="1207"/>
      <c r="X126" s="2085"/>
      <c r="Y126" s="2086"/>
      <c r="Z126" s="2086"/>
      <c r="AA126" s="2086"/>
      <c r="AB126" s="2086"/>
      <c r="AC126" s="2086"/>
      <c r="AD126" s="2086"/>
      <c r="AE126" s="2086"/>
      <c r="AF126" s="2086"/>
      <c r="AG126" s="2086"/>
      <c r="AH126" s="2086"/>
      <c r="AI126" s="2086"/>
      <c r="AJ126" s="2086"/>
      <c r="AK126" s="2086"/>
      <c r="AL126" s="2086"/>
      <c r="AM126" s="2086"/>
      <c r="AN126" s="2086"/>
      <c r="AO126" s="2086"/>
      <c r="AP126" s="2086"/>
      <c r="AQ126" s="2086"/>
      <c r="AR126" s="2086"/>
      <c r="AS126" s="2086"/>
      <c r="AT126" s="2086"/>
      <c r="AU126" s="2086"/>
      <c r="AV126" s="2086"/>
      <c r="AW126" s="2086"/>
      <c r="AX126" s="2086"/>
      <c r="AY126" s="2086"/>
      <c r="AZ126" s="2086"/>
      <c r="BA126" s="2086"/>
      <c r="BB126" s="2086"/>
      <c r="BC126" s="2086"/>
      <c r="BD126" s="2087"/>
      <c r="BE126" s="1214"/>
    </row>
    <row r="127" spans="1:57" ht="15.75" customHeight="1" thickBot="1">
      <c r="A127" s="1207"/>
      <c r="B127" s="1207"/>
      <c r="C127" s="1207"/>
      <c r="D127" s="1207"/>
      <c r="E127" s="1207"/>
      <c r="F127" s="1207"/>
      <c r="G127" s="1207"/>
      <c r="H127" s="1207"/>
      <c r="I127" s="1207"/>
      <c r="J127" s="1207"/>
      <c r="K127" s="1207"/>
      <c r="L127" s="1207"/>
      <c r="M127" s="1207"/>
      <c r="N127" s="1207"/>
      <c r="O127" s="1207"/>
      <c r="P127" s="1207"/>
      <c r="Q127" s="1207"/>
      <c r="R127" s="1207"/>
      <c r="S127" s="1207"/>
      <c r="T127" s="1207"/>
      <c r="U127" s="1207"/>
      <c r="V127" s="1207"/>
      <c r="W127" s="1207"/>
      <c r="X127" s="2085"/>
      <c r="Y127" s="2086"/>
      <c r="Z127" s="2086"/>
      <c r="AA127" s="2086"/>
      <c r="AB127" s="2086"/>
      <c r="AC127" s="2086"/>
      <c r="AD127" s="2086"/>
      <c r="AE127" s="2086"/>
      <c r="AF127" s="2086"/>
      <c r="AG127" s="2086"/>
      <c r="AH127" s="2086"/>
      <c r="AI127" s="2086"/>
      <c r="AJ127" s="2086"/>
      <c r="AK127" s="2086"/>
      <c r="AL127" s="2086"/>
      <c r="AM127" s="2086"/>
      <c r="AN127" s="2086"/>
      <c r="AO127" s="2086"/>
      <c r="AP127" s="2086"/>
      <c r="AQ127" s="2086"/>
      <c r="AR127" s="2086"/>
      <c r="AS127" s="2086"/>
      <c r="AT127" s="2086"/>
      <c r="AU127" s="2086"/>
      <c r="AV127" s="2086"/>
      <c r="AW127" s="2086"/>
      <c r="AX127" s="2086"/>
      <c r="AY127" s="2086"/>
      <c r="AZ127" s="2086"/>
      <c r="BA127" s="2086"/>
      <c r="BB127" s="2086"/>
      <c r="BC127" s="2086"/>
      <c r="BD127" s="2087"/>
      <c r="BE127" s="1214"/>
    </row>
    <row r="128" spans="1:57" ht="15.75" customHeight="1">
      <c r="A128" s="1207"/>
      <c r="B128" s="1939" t="s">
        <v>2298</v>
      </c>
      <c r="C128" s="1940"/>
      <c r="D128" s="1940"/>
      <c r="E128" s="1940"/>
      <c r="F128" s="1940"/>
      <c r="G128" s="1940"/>
      <c r="H128" s="1940"/>
      <c r="I128" s="1940"/>
      <c r="J128" s="1940"/>
      <c r="K128" s="1940"/>
      <c r="L128" s="1940"/>
      <c r="M128" s="1940"/>
      <c r="N128" s="1940"/>
      <c r="O128" s="1940"/>
      <c r="P128" s="1940"/>
      <c r="Q128" s="1940"/>
      <c r="R128" s="1940"/>
      <c r="S128" s="1940"/>
      <c r="T128" s="1940"/>
      <c r="U128" s="1941"/>
      <c r="V128" s="1207"/>
      <c r="W128" s="1207"/>
      <c r="X128" s="2085"/>
      <c r="Y128" s="2086"/>
      <c r="Z128" s="2086"/>
      <c r="AA128" s="2086"/>
      <c r="AB128" s="2086"/>
      <c r="AC128" s="2086"/>
      <c r="AD128" s="2086"/>
      <c r="AE128" s="2086"/>
      <c r="AF128" s="2086"/>
      <c r="AG128" s="2086"/>
      <c r="AH128" s="2086"/>
      <c r="AI128" s="2086"/>
      <c r="AJ128" s="2086"/>
      <c r="AK128" s="2086"/>
      <c r="AL128" s="2086"/>
      <c r="AM128" s="2086"/>
      <c r="AN128" s="2086"/>
      <c r="AO128" s="2086"/>
      <c r="AP128" s="2086"/>
      <c r="AQ128" s="2086"/>
      <c r="AR128" s="2086"/>
      <c r="AS128" s="2086"/>
      <c r="AT128" s="2086"/>
      <c r="AU128" s="2086"/>
      <c r="AV128" s="2086"/>
      <c r="AW128" s="2086"/>
      <c r="AX128" s="2086"/>
      <c r="AY128" s="2086"/>
      <c r="AZ128" s="2086"/>
      <c r="BA128" s="2086"/>
      <c r="BB128" s="2086"/>
      <c r="BC128" s="2086"/>
      <c r="BD128" s="2087"/>
      <c r="BE128" s="1214"/>
    </row>
    <row r="129" spans="1:57" ht="15.75" customHeight="1">
      <c r="A129" s="1207"/>
      <c r="B129" s="2163"/>
      <c r="C129" s="2164"/>
      <c r="D129" s="2164"/>
      <c r="E129" s="2164"/>
      <c r="F129" s="2164"/>
      <c r="G129" s="2164"/>
      <c r="H129" s="2164"/>
      <c r="I129" s="2165" t="s">
        <v>2286</v>
      </c>
      <c r="J129" s="2165"/>
      <c r="K129" s="2165"/>
      <c r="L129" s="2165"/>
      <c r="M129" s="2165"/>
      <c r="N129" s="2165"/>
      <c r="O129" s="2165"/>
      <c r="P129" s="2165" t="s">
        <v>2285</v>
      </c>
      <c r="Q129" s="2165"/>
      <c r="R129" s="2165"/>
      <c r="S129" s="2165"/>
      <c r="T129" s="2165"/>
      <c r="U129" s="2166"/>
      <c r="V129" s="1207"/>
      <c r="W129" s="1207"/>
      <c r="X129" s="2085"/>
      <c r="Y129" s="2086"/>
      <c r="Z129" s="2086"/>
      <c r="AA129" s="2086"/>
      <c r="AB129" s="2086"/>
      <c r="AC129" s="2086"/>
      <c r="AD129" s="2086"/>
      <c r="AE129" s="2086"/>
      <c r="AF129" s="2086"/>
      <c r="AG129" s="2086"/>
      <c r="AH129" s="2086"/>
      <c r="AI129" s="2086"/>
      <c r="AJ129" s="2086"/>
      <c r="AK129" s="2086"/>
      <c r="AL129" s="2086"/>
      <c r="AM129" s="2086"/>
      <c r="AN129" s="2086"/>
      <c r="AO129" s="2086"/>
      <c r="AP129" s="2086"/>
      <c r="AQ129" s="2086"/>
      <c r="AR129" s="2086"/>
      <c r="AS129" s="2086"/>
      <c r="AT129" s="2086"/>
      <c r="AU129" s="2086"/>
      <c r="AV129" s="2086"/>
      <c r="AW129" s="2086"/>
      <c r="AX129" s="2086"/>
      <c r="AY129" s="2086"/>
      <c r="AZ129" s="2086"/>
      <c r="BA129" s="2086"/>
      <c r="BB129" s="2086"/>
      <c r="BC129" s="2086"/>
      <c r="BD129" s="2087"/>
      <c r="BE129" s="1214"/>
    </row>
    <row r="130" spans="1:57" ht="15.75" customHeight="1">
      <c r="A130" s="1207"/>
      <c r="B130" s="2163"/>
      <c r="C130" s="2164"/>
      <c r="D130" s="2164"/>
      <c r="E130" s="2164"/>
      <c r="F130" s="2164"/>
      <c r="G130" s="2164"/>
      <c r="H130" s="2164"/>
      <c r="I130" s="2165"/>
      <c r="J130" s="2165"/>
      <c r="K130" s="2165"/>
      <c r="L130" s="2165"/>
      <c r="M130" s="2165"/>
      <c r="N130" s="2165"/>
      <c r="O130" s="2165"/>
      <c r="P130" s="2165"/>
      <c r="Q130" s="2165"/>
      <c r="R130" s="2165"/>
      <c r="S130" s="2165"/>
      <c r="T130" s="2165"/>
      <c r="U130" s="2166"/>
      <c r="V130" s="1207"/>
      <c r="W130" s="1207"/>
      <c r="X130" s="2085"/>
      <c r="Y130" s="2086"/>
      <c r="Z130" s="2086"/>
      <c r="AA130" s="2086"/>
      <c r="AB130" s="2086"/>
      <c r="AC130" s="2086"/>
      <c r="AD130" s="2086"/>
      <c r="AE130" s="2086"/>
      <c r="AF130" s="2086"/>
      <c r="AG130" s="2086"/>
      <c r="AH130" s="2086"/>
      <c r="AI130" s="2086"/>
      <c r="AJ130" s="2086"/>
      <c r="AK130" s="2086"/>
      <c r="AL130" s="2086"/>
      <c r="AM130" s="2086"/>
      <c r="AN130" s="2086"/>
      <c r="AO130" s="2086"/>
      <c r="AP130" s="2086"/>
      <c r="AQ130" s="2086"/>
      <c r="AR130" s="2086"/>
      <c r="AS130" s="2086"/>
      <c r="AT130" s="2086"/>
      <c r="AU130" s="2086"/>
      <c r="AV130" s="2086"/>
      <c r="AW130" s="2086"/>
      <c r="AX130" s="2086"/>
      <c r="AY130" s="2086"/>
      <c r="AZ130" s="2086"/>
      <c r="BA130" s="2086"/>
      <c r="BB130" s="2086"/>
      <c r="BC130" s="2086"/>
      <c r="BD130" s="2087"/>
      <c r="BE130" s="1214"/>
    </row>
    <row r="131" spans="1:57" ht="15.75" customHeight="1">
      <c r="A131" s="1207"/>
      <c r="B131" s="2137" t="s">
        <v>2284</v>
      </c>
      <c r="C131" s="2138"/>
      <c r="D131" s="2138"/>
      <c r="E131" s="2138"/>
      <c r="F131" s="2138"/>
      <c r="G131" s="2138"/>
      <c r="H131" s="2138"/>
      <c r="I131" s="2115">
        <v>0</v>
      </c>
      <c r="J131" s="2115"/>
      <c r="K131" s="2115"/>
      <c r="L131" s="2115"/>
      <c r="M131" s="2115"/>
      <c r="N131" s="2115"/>
      <c r="O131" s="2115"/>
      <c r="P131" s="2115">
        <v>0</v>
      </c>
      <c r="Q131" s="2115"/>
      <c r="R131" s="2115"/>
      <c r="S131" s="2115"/>
      <c r="T131" s="2115"/>
      <c r="U131" s="2116"/>
      <c r="V131" s="1207"/>
      <c r="W131" s="1207"/>
      <c r="X131" s="2085"/>
      <c r="Y131" s="2086"/>
      <c r="Z131" s="2086"/>
      <c r="AA131" s="2086"/>
      <c r="AB131" s="2086"/>
      <c r="AC131" s="2086"/>
      <c r="AD131" s="2086"/>
      <c r="AE131" s="2086"/>
      <c r="AF131" s="2086"/>
      <c r="AG131" s="2086"/>
      <c r="AH131" s="2086"/>
      <c r="AI131" s="2086"/>
      <c r="AJ131" s="2086"/>
      <c r="AK131" s="2086"/>
      <c r="AL131" s="2086"/>
      <c r="AM131" s="2086"/>
      <c r="AN131" s="2086"/>
      <c r="AO131" s="2086"/>
      <c r="AP131" s="2086"/>
      <c r="AQ131" s="2086"/>
      <c r="AR131" s="2086"/>
      <c r="AS131" s="2086"/>
      <c r="AT131" s="2086"/>
      <c r="AU131" s="2086"/>
      <c r="AV131" s="2086"/>
      <c r="AW131" s="2086"/>
      <c r="AX131" s="2086"/>
      <c r="AY131" s="2086"/>
      <c r="AZ131" s="2086"/>
      <c r="BA131" s="2086"/>
      <c r="BB131" s="2086"/>
      <c r="BC131" s="2086"/>
      <c r="BD131" s="2087"/>
      <c r="BE131" s="1214"/>
    </row>
    <row r="132" spans="1:57" ht="15.75" customHeight="1" thickBot="1">
      <c r="A132" s="1207"/>
      <c r="B132" s="2139" t="s">
        <v>2283</v>
      </c>
      <c r="C132" s="2140"/>
      <c r="D132" s="2140"/>
      <c r="E132" s="2140"/>
      <c r="F132" s="2140"/>
      <c r="G132" s="2140"/>
      <c r="H132" s="2140"/>
      <c r="I132" s="2113">
        <v>0</v>
      </c>
      <c r="J132" s="2113"/>
      <c r="K132" s="2113"/>
      <c r="L132" s="2113"/>
      <c r="M132" s="2113"/>
      <c r="N132" s="2113"/>
      <c r="O132" s="2113"/>
      <c r="P132" s="2113">
        <v>0</v>
      </c>
      <c r="Q132" s="2113"/>
      <c r="R132" s="2113"/>
      <c r="S132" s="2113"/>
      <c r="T132" s="2113"/>
      <c r="U132" s="2114"/>
      <c r="V132" s="1207"/>
      <c r="W132" s="1207"/>
      <c r="X132" s="2088"/>
      <c r="Y132" s="2089"/>
      <c r="Z132" s="2089"/>
      <c r="AA132" s="2089"/>
      <c r="AB132" s="2089"/>
      <c r="AC132" s="2089"/>
      <c r="AD132" s="2089"/>
      <c r="AE132" s="2089"/>
      <c r="AF132" s="2089"/>
      <c r="AG132" s="2089"/>
      <c r="AH132" s="2089"/>
      <c r="AI132" s="2089"/>
      <c r="AJ132" s="2089"/>
      <c r="AK132" s="2089"/>
      <c r="AL132" s="2089"/>
      <c r="AM132" s="2089"/>
      <c r="AN132" s="2089"/>
      <c r="AO132" s="2089"/>
      <c r="AP132" s="2089"/>
      <c r="AQ132" s="2089"/>
      <c r="AR132" s="2089"/>
      <c r="AS132" s="2089"/>
      <c r="AT132" s="2089"/>
      <c r="AU132" s="2089"/>
      <c r="AV132" s="2089"/>
      <c r="AW132" s="2089"/>
      <c r="AX132" s="2089"/>
      <c r="AY132" s="2089"/>
      <c r="AZ132" s="2089"/>
      <c r="BA132" s="2089"/>
      <c r="BB132" s="2089"/>
      <c r="BC132" s="2089"/>
      <c r="BD132" s="2090"/>
      <c r="BE132" s="1214"/>
    </row>
    <row r="133" spans="1:57" ht="15.75" customHeight="1" thickBot="1">
      <c r="A133" s="1207"/>
      <c r="B133" s="1207"/>
      <c r="C133" s="1207"/>
      <c r="D133" s="1207"/>
      <c r="E133" s="1207"/>
      <c r="F133" s="1207"/>
      <c r="G133" s="1207"/>
      <c r="H133" s="1207"/>
      <c r="I133" s="1207"/>
      <c r="J133" s="1207"/>
      <c r="K133" s="1207"/>
      <c r="L133" s="1207"/>
      <c r="M133" s="1207"/>
      <c r="N133" s="1207"/>
      <c r="O133" s="1207"/>
      <c r="P133" s="1207"/>
      <c r="Q133" s="1244"/>
      <c r="R133" s="1207"/>
      <c r="S133" s="1207"/>
      <c r="T133" s="1207"/>
      <c r="U133" s="1207"/>
      <c r="V133" s="1207"/>
      <c r="W133" s="1207"/>
      <c r="X133" s="1207"/>
      <c r="Y133" s="1207"/>
      <c r="Z133" s="1207"/>
      <c r="AA133" s="1207"/>
      <c r="AB133" s="1207"/>
      <c r="AC133" s="1207"/>
      <c r="AD133" s="1207"/>
      <c r="AE133" s="1207"/>
      <c r="AF133" s="1207"/>
      <c r="AG133" s="1207"/>
      <c r="AH133" s="1207"/>
      <c r="AI133" s="1207"/>
      <c r="AJ133" s="1207"/>
      <c r="AK133" s="1207"/>
      <c r="AL133" s="1207"/>
      <c r="AM133" s="1207"/>
      <c r="AN133" s="1207"/>
      <c r="AO133" s="1207"/>
      <c r="AP133" s="1207"/>
      <c r="AQ133" s="1207"/>
      <c r="AR133" s="1207"/>
      <c r="AS133" s="1207"/>
      <c r="AT133" s="1207"/>
      <c r="AU133" s="1207"/>
      <c r="AV133" s="1207"/>
      <c r="AW133" s="1207"/>
      <c r="AX133" s="1207"/>
      <c r="AY133" s="1207"/>
      <c r="AZ133" s="1207"/>
      <c r="BA133" s="1207"/>
      <c r="BB133" s="1207"/>
      <c r="BC133" s="1207"/>
      <c r="BD133" s="1207"/>
      <c r="BE133" s="1214"/>
    </row>
    <row r="134" spans="1:57" ht="15.75" customHeight="1">
      <c r="A134" s="1207"/>
      <c r="B134" s="2161" t="s">
        <v>2297</v>
      </c>
      <c r="C134" s="2162"/>
      <c r="D134" s="2162"/>
      <c r="E134" s="2162"/>
      <c r="F134" s="2162"/>
      <c r="G134" s="2162"/>
      <c r="H134" s="2162"/>
      <c r="I134" s="2162"/>
      <c r="J134" s="2162"/>
      <c r="K134" s="2162"/>
      <c r="L134" s="2162"/>
      <c r="M134" s="2162"/>
      <c r="N134" s="2162"/>
      <c r="O134" s="2162"/>
      <c r="P134" s="2162"/>
      <c r="Q134" s="2162"/>
      <c r="R134" s="2162"/>
      <c r="S134" s="2162"/>
      <c r="T134" s="2162"/>
      <c r="U134" s="2162"/>
      <c r="V134" s="2162"/>
      <c r="W134" s="2162"/>
      <c r="X134" s="2162"/>
      <c r="Y134" s="2162"/>
      <c r="Z134" s="2162"/>
      <c r="AA134" s="2162"/>
      <c r="AB134" s="2162"/>
      <c r="AC134" s="2162"/>
      <c r="AD134" s="2162"/>
      <c r="AE134" s="2162"/>
      <c r="AF134" s="2162"/>
      <c r="AG134" s="2162"/>
      <c r="AH134" s="2062" t="s">
        <v>543</v>
      </c>
      <c r="AI134" s="2062"/>
      <c r="AJ134" s="2062"/>
      <c r="AK134" s="2062"/>
      <c r="AL134" s="2062"/>
      <c r="AM134" s="2062"/>
      <c r="AN134" s="2062"/>
      <c r="AO134" s="2062"/>
      <c r="AP134" s="2062"/>
      <c r="AQ134" s="2062"/>
      <c r="AR134" s="2062"/>
      <c r="AS134" s="2062"/>
      <c r="AT134" s="2062"/>
      <c r="AU134" s="2062"/>
      <c r="AV134" s="2062"/>
      <c r="AW134" s="2062"/>
      <c r="AX134" s="2063"/>
      <c r="AY134" s="1207"/>
      <c r="AZ134" s="1207"/>
      <c r="BA134" s="1207"/>
      <c r="BB134" s="1207"/>
      <c r="BC134" s="1207"/>
      <c r="BD134" s="1207"/>
      <c r="BE134" s="1214"/>
    </row>
    <row r="135" spans="1:57" ht="15.75" customHeight="1" thickBot="1">
      <c r="A135" s="1207"/>
      <c r="B135" s="2148" t="s">
        <v>2296</v>
      </c>
      <c r="C135" s="2149"/>
      <c r="D135" s="2149"/>
      <c r="E135" s="2149"/>
      <c r="F135" s="2149"/>
      <c r="G135" s="2149"/>
      <c r="H135" s="2149"/>
      <c r="I135" s="2149"/>
      <c r="J135" s="2149"/>
      <c r="K135" s="2149"/>
      <c r="L135" s="2149"/>
      <c r="M135" s="2149"/>
      <c r="N135" s="2149"/>
      <c r="O135" s="2149"/>
      <c r="P135" s="2149"/>
      <c r="Q135" s="2149"/>
      <c r="R135" s="2149"/>
      <c r="S135" s="2149"/>
      <c r="T135" s="2149"/>
      <c r="U135" s="2149"/>
      <c r="V135" s="2149"/>
      <c r="W135" s="2149"/>
      <c r="X135" s="2149"/>
      <c r="Y135" s="2149"/>
      <c r="Z135" s="2149"/>
      <c r="AA135" s="2149"/>
      <c r="AB135" s="2149"/>
      <c r="AC135" s="2149"/>
      <c r="AD135" s="2149"/>
      <c r="AE135" s="2149"/>
      <c r="AF135" s="2149"/>
      <c r="AG135" s="2150"/>
      <c r="AH135" s="2117"/>
      <c r="AI135" s="2118"/>
      <c r="AJ135" s="2118"/>
      <c r="AK135" s="2118"/>
      <c r="AL135" s="2118"/>
      <c r="AM135" s="2118"/>
      <c r="AN135" s="2118"/>
      <c r="AO135" s="2118"/>
      <c r="AP135" s="2118"/>
      <c r="AQ135" s="2118"/>
      <c r="AR135" s="2118"/>
      <c r="AS135" s="2118"/>
      <c r="AT135" s="2118"/>
      <c r="AU135" s="2118"/>
      <c r="AV135" s="2118"/>
      <c r="AW135" s="2118"/>
      <c r="AX135" s="2119"/>
      <c r="AY135" s="1207"/>
      <c r="AZ135" s="1207"/>
      <c r="BA135" s="1207"/>
      <c r="BB135" s="1207"/>
      <c r="BC135" s="1207"/>
      <c r="BD135" s="1207"/>
      <c r="BE135" s="1214"/>
    </row>
    <row r="136" spans="1:57" ht="15.75" customHeight="1">
      <c r="A136" s="1207"/>
      <c r="B136" s="2148" t="s">
        <v>2295</v>
      </c>
      <c r="C136" s="2149"/>
      <c r="D136" s="2149"/>
      <c r="E136" s="2149"/>
      <c r="F136" s="2149"/>
      <c r="G136" s="2149"/>
      <c r="H136" s="2149"/>
      <c r="I136" s="2149"/>
      <c r="J136" s="2149"/>
      <c r="K136" s="2149"/>
      <c r="L136" s="2149"/>
      <c r="M136" s="2149"/>
      <c r="N136" s="2149"/>
      <c r="O136" s="2149"/>
      <c r="P136" s="2149"/>
      <c r="Q136" s="2149"/>
      <c r="R136" s="2149"/>
      <c r="S136" s="2149"/>
      <c r="T136" s="2149"/>
      <c r="U136" s="2149"/>
      <c r="V136" s="2149"/>
      <c r="W136" s="2149"/>
      <c r="X136" s="2149"/>
      <c r="Y136" s="2149"/>
      <c r="Z136" s="2149"/>
      <c r="AA136" s="2149"/>
      <c r="AB136" s="2149"/>
      <c r="AC136" s="2149"/>
      <c r="AD136" s="2149"/>
      <c r="AE136" s="2149"/>
      <c r="AF136" s="2149"/>
      <c r="AG136" s="2150"/>
      <c r="AH136" s="2062" t="s">
        <v>543</v>
      </c>
      <c r="AI136" s="2062"/>
      <c r="AJ136" s="2062"/>
      <c r="AK136" s="2062"/>
      <c r="AL136" s="2062"/>
      <c r="AM136" s="2062"/>
      <c r="AN136" s="2062"/>
      <c r="AO136" s="2062"/>
      <c r="AP136" s="2062"/>
      <c r="AQ136" s="2062"/>
      <c r="AR136" s="2062"/>
      <c r="AS136" s="2062"/>
      <c r="AT136" s="2062"/>
      <c r="AU136" s="2062"/>
      <c r="AV136" s="2062"/>
      <c r="AW136" s="2062"/>
      <c r="AX136" s="2063"/>
      <c r="AY136" s="1207"/>
      <c r="AZ136" s="1207"/>
      <c r="BA136" s="1207"/>
      <c r="BB136" s="1207"/>
      <c r="BC136" s="1207"/>
      <c r="BD136" s="1207"/>
      <c r="BE136" s="1214"/>
    </row>
    <row r="137" spans="1:57" ht="15.75" customHeight="1">
      <c r="A137" s="1207"/>
      <c r="B137" s="2151" t="s">
        <v>2294</v>
      </c>
      <c r="C137" s="2152"/>
      <c r="D137" s="2152"/>
      <c r="E137" s="2152"/>
      <c r="F137" s="2152"/>
      <c r="G137" s="2152"/>
      <c r="H137" s="2152"/>
      <c r="I137" s="2152"/>
      <c r="J137" s="2152"/>
      <c r="K137" s="2152"/>
      <c r="L137" s="2152"/>
      <c r="M137" s="2152"/>
      <c r="N137" s="2152"/>
      <c r="O137" s="2152"/>
      <c r="P137" s="2152"/>
      <c r="Q137" s="2152"/>
      <c r="R137" s="2153" t="s">
        <v>2293</v>
      </c>
      <c r="S137" s="2153"/>
      <c r="T137" s="2153"/>
      <c r="U137" s="2153"/>
      <c r="V137" s="2153"/>
      <c r="W137" s="2153"/>
      <c r="X137" s="2153"/>
      <c r="Y137" s="2153"/>
      <c r="Z137" s="2153"/>
      <c r="AA137" s="2153"/>
      <c r="AB137" s="2153"/>
      <c r="AC137" s="2153"/>
      <c r="AD137" s="2153"/>
      <c r="AE137" s="2153"/>
      <c r="AF137" s="2153"/>
      <c r="AG137" s="2153"/>
      <c r="AH137" s="2153"/>
      <c r="AI137" s="2153"/>
      <c r="AJ137" s="2153"/>
      <c r="AK137" s="2153"/>
      <c r="AL137" s="2153"/>
      <c r="AM137" s="2153"/>
      <c r="AN137" s="2153"/>
      <c r="AO137" s="2153"/>
      <c r="AP137" s="2153"/>
      <c r="AQ137" s="2153"/>
      <c r="AR137" s="2153"/>
      <c r="AS137" s="2153"/>
      <c r="AT137" s="2153"/>
      <c r="AU137" s="2153"/>
      <c r="AV137" s="2153"/>
      <c r="AW137" s="2153"/>
      <c r="AX137" s="2154"/>
      <c r="AY137" s="1207"/>
      <c r="AZ137" s="1207"/>
      <c r="BA137" s="1207"/>
      <c r="BB137" s="1207"/>
      <c r="BC137" s="1207" t="s">
        <v>249</v>
      </c>
      <c r="BD137" s="1207"/>
      <c r="BE137" s="1214"/>
    </row>
    <row r="138" spans="1:57" ht="15.75" customHeight="1">
      <c r="A138" s="1207"/>
      <c r="B138" s="2155" t="s">
        <v>2292</v>
      </c>
      <c r="C138" s="2156"/>
      <c r="D138" s="2156"/>
      <c r="E138" s="2156"/>
      <c r="F138" s="2156"/>
      <c r="G138" s="2156"/>
      <c r="H138" s="2156"/>
      <c r="I138" s="2156"/>
      <c r="J138" s="2156"/>
      <c r="K138" s="2156"/>
      <c r="L138" s="2156"/>
      <c r="M138" s="2156"/>
      <c r="N138" s="2156"/>
      <c r="O138" s="2156"/>
      <c r="P138" s="2156"/>
      <c r="Q138" s="2156"/>
      <c r="R138" s="2156"/>
      <c r="S138" s="2156"/>
      <c r="T138" s="2156"/>
      <c r="U138" s="2156"/>
      <c r="V138" s="2156"/>
      <c r="W138" s="2156"/>
      <c r="X138" s="2156"/>
      <c r="Y138" s="2156"/>
      <c r="Z138" s="2156"/>
      <c r="AA138" s="2156"/>
      <c r="AB138" s="2156"/>
      <c r="AC138" s="2156"/>
      <c r="AD138" s="2156"/>
      <c r="AE138" s="2156"/>
      <c r="AF138" s="2156"/>
      <c r="AG138" s="2156"/>
      <c r="AH138" s="2156"/>
      <c r="AI138" s="2156"/>
      <c r="AJ138" s="2156"/>
      <c r="AK138" s="2156"/>
      <c r="AL138" s="2156"/>
      <c r="AM138" s="2156"/>
      <c r="AN138" s="2156"/>
      <c r="AO138" s="2156"/>
      <c r="AP138" s="2156"/>
      <c r="AQ138" s="2156"/>
      <c r="AR138" s="2156"/>
      <c r="AS138" s="2156"/>
      <c r="AT138" s="2156"/>
      <c r="AU138" s="2156"/>
      <c r="AV138" s="2156"/>
      <c r="AW138" s="2156"/>
      <c r="AX138" s="2157"/>
      <c r="AY138" s="1207"/>
      <c r="AZ138" s="1207"/>
      <c r="BA138" s="1207"/>
      <c r="BB138" s="1207"/>
      <c r="BC138" s="1207"/>
      <c r="BD138" s="1207"/>
      <c r="BE138" s="1214"/>
    </row>
    <row r="139" spans="1:57" ht="15.75" customHeight="1">
      <c r="A139" s="1207"/>
      <c r="B139" s="2155"/>
      <c r="C139" s="2156"/>
      <c r="D139" s="2156"/>
      <c r="E139" s="2156"/>
      <c r="F139" s="2156"/>
      <c r="G139" s="2156"/>
      <c r="H139" s="2156"/>
      <c r="I139" s="2156"/>
      <c r="J139" s="2156"/>
      <c r="K139" s="2156"/>
      <c r="L139" s="2156"/>
      <c r="M139" s="2156"/>
      <c r="N139" s="2156"/>
      <c r="O139" s="2156"/>
      <c r="P139" s="2156"/>
      <c r="Q139" s="2156"/>
      <c r="R139" s="2156"/>
      <c r="S139" s="2156"/>
      <c r="T139" s="2156"/>
      <c r="U139" s="2156"/>
      <c r="V139" s="2156"/>
      <c r="W139" s="2156"/>
      <c r="X139" s="2156"/>
      <c r="Y139" s="2156"/>
      <c r="Z139" s="2156"/>
      <c r="AA139" s="2156"/>
      <c r="AB139" s="2156"/>
      <c r="AC139" s="2156"/>
      <c r="AD139" s="2156"/>
      <c r="AE139" s="2156"/>
      <c r="AF139" s="2156"/>
      <c r="AG139" s="2156"/>
      <c r="AH139" s="2156"/>
      <c r="AI139" s="2156"/>
      <c r="AJ139" s="2156"/>
      <c r="AK139" s="2156"/>
      <c r="AL139" s="2156"/>
      <c r="AM139" s="2156"/>
      <c r="AN139" s="2156"/>
      <c r="AO139" s="2156"/>
      <c r="AP139" s="2156"/>
      <c r="AQ139" s="2156"/>
      <c r="AR139" s="2156"/>
      <c r="AS139" s="2156"/>
      <c r="AT139" s="2156"/>
      <c r="AU139" s="2156"/>
      <c r="AV139" s="2156"/>
      <c r="AW139" s="2156"/>
      <c r="AX139" s="2157"/>
      <c r="AY139" s="1207"/>
      <c r="AZ139" s="1207"/>
      <c r="BA139" s="1207"/>
      <c r="BB139" s="1207"/>
      <c r="BC139" s="1207"/>
      <c r="BD139" s="1207"/>
      <c r="BE139" s="1214"/>
    </row>
    <row r="140" spans="1:57" ht="15.75" customHeight="1">
      <c r="A140" s="1207"/>
      <c r="B140" s="2155"/>
      <c r="C140" s="2156"/>
      <c r="D140" s="2156"/>
      <c r="E140" s="2156"/>
      <c r="F140" s="2156"/>
      <c r="G140" s="2156"/>
      <c r="H140" s="2156"/>
      <c r="I140" s="2156"/>
      <c r="J140" s="2156"/>
      <c r="K140" s="2156"/>
      <c r="L140" s="2156"/>
      <c r="M140" s="2156"/>
      <c r="N140" s="2156"/>
      <c r="O140" s="2156"/>
      <c r="P140" s="2156"/>
      <c r="Q140" s="2156"/>
      <c r="R140" s="2156"/>
      <c r="S140" s="2156"/>
      <c r="T140" s="2156"/>
      <c r="U140" s="2156"/>
      <c r="V140" s="2156"/>
      <c r="W140" s="2156"/>
      <c r="X140" s="2156"/>
      <c r="Y140" s="2156"/>
      <c r="Z140" s="2156"/>
      <c r="AA140" s="2156"/>
      <c r="AB140" s="2156"/>
      <c r="AC140" s="2156"/>
      <c r="AD140" s="2156"/>
      <c r="AE140" s="2156"/>
      <c r="AF140" s="2156"/>
      <c r="AG140" s="2156"/>
      <c r="AH140" s="2156"/>
      <c r="AI140" s="2156"/>
      <c r="AJ140" s="2156"/>
      <c r="AK140" s="2156"/>
      <c r="AL140" s="2156"/>
      <c r="AM140" s="2156"/>
      <c r="AN140" s="2156"/>
      <c r="AO140" s="2156"/>
      <c r="AP140" s="2156"/>
      <c r="AQ140" s="2156"/>
      <c r="AR140" s="2156"/>
      <c r="AS140" s="2156"/>
      <c r="AT140" s="2156"/>
      <c r="AU140" s="2156"/>
      <c r="AV140" s="2156"/>
      <c r="AW140" s="2156"/>
      <c r="AX140" s="2157"/>
      <c r="AY140" s="1207"/>
      <c r="AZ140" s="1207"/>
      <c r="BA140" s="1207"/>
      <c r="BB140" s="1207"/>
      <c r="BC140" s="1207"/>
      <c r="BD140" s="1207"/>
      <c r="BE140" s="1214"/>
    </row>
    <row r="141" spans="1:57" ht="15.75" customHeight="1">
      <c r="A141" s="1207"/>
      <c r="B141" s="2155"/>
      <c r="C141" s="2156"/>
      <c r="D141" s="2156"/>
      <c r="E141" s="2156"/>
      <c r="F141" s="2156"/>
      <c r="G141" s="2156"/>
      <c r="H141" s="2156"/>
      <c r="I141" s="2156"/>
      <c r="J141" s="2156"/>
      <c r="K141" s="2156"/>
      <c r="L141" s="2156"/>
      <c r="M141" s="2156"/>
      <c r="N141" s="2156"/>
      <c r="O141" s="2156"/>
      <c r="P141" s="2156"/>
      <c r="Q141" s="2156"/>
      <c r="R141" s="2156"/>
      <c r="S141" s="2156"/>
      <c r="T141" s="2156"/>
      <c r="U141" s="2156"/>
      <c r="V141" s="2156"/>
      <c r="W141" s="2156"/>
      <c r="X141" s="2156"/>
      <c r="Y141" s="2156"/>
      <c r="Z141" s="2156"/>
      <c r="AA141" s="2156"/>
      <c r="AB141" s="2156"/>
      <c r="AC141" s="2156"/>
      <c r="AD141" s="2156"/>
      <c r="AE141" s="2156"/>
      <c r="AF141" s="2156"/>
      <c r="AG141" s="2156"/>
      <c r="AH141" s="2156"/>
      <c r="AI141" s="2156"/>
      <c r="AJ141" s="2156"/>
      <c r="AK141" s="2156"/>
      <c r="AL141" s="2156"/>
      <c r="AM141" s="2156"/>
      <c r="AN141" s="2156"/>
      <c r="AO141" s="2156"/>
      <c r="AP141" s="2156"/>
      <c r="AQ141" s="2156"/>
      <c r="AR141" s="2156"/>
      <c r="AS141" s="2156"/>
      <c r="AT141" s="2156"/>
      <c r="AU141" s="2156"/>
      <c r="AV141" s="2156"/>
      <c r="AW141" s="2156"/>
      <c r="AX141" s="2157"/>
      <c r="AY141" s="1207"/>
      <c r="AZ141" s="1207"/>
      <c r="BA141" s="1207"/>
      <c r="BB141" s="1207"/>
      <c r="BC141" s="1207"/>
      <c r="BD141" s="1207"/>
      <c r="BE141" s="1214"/>
    </row>
    <row r="142" spans="1:57" ht="15.75" customHeight="1">
      <c r="A142" s="1207"/>
      <c r="B142" s="2155"/>
      <c r="C142" s="2156"/>
      <c r="D142" s="2156"/>
      <c r="E142" s="2156"/>
      <c r="F142" s="2156"/>
      <c r="G142" s="2156"/>
      <c r="H142" s="2156"/>
      <c r="I142" s="2156"/>
      <c r="J142" s="2156"/>
      <c r="K142" s="2156"/>
      <c r="L142" s="2156"/>
      <c r="M142" s="2156"/>
      <c r="N142" s="2156"/>
      <c r="O142" s="2156"/>
      <c r="P142" s="2156"/>
      <c r="Q142" s="2156"/>
      <c r="R142" s="2156"/>
      <c r="S142" s="2156"/>
      <c r="T142" s="2156"/>
      <c r="U142" s="2156"/>
      <c r="V142" s="2156"/>
      <c r="W142" s="2156"/>
      <c r="X142" s="2156"/>
      <c r="Y142" s="2156"/>
      <c r="Z142" s="2156"/>
      <c r="AA142" s="2156"/>
      <c r="AB142" s="2156"/>
      <c r="AC142" s="2156"/>
      <c r="AD142" s="2156"/>
      <c r="AE142" s="2156"/>
      <c r="AF142" s="2156"/>
      <c r="AG142" s="2156"/>
      <c r="AH142" s="2156"/>
      <c r="AI142" s="2156"/>
      <c r="AJ142" s="2156"/>
      <c r="AK142" s="2156"/>
      <c r="AL142" s="2156"/>
      <c r="AM142" s="2156"/>
      <c r="AN142" s="2156"/>
      <c r="AO142" s="2156"/>
      <c r="AP142" s="2156"/>
      <c r="AQ142" s="2156"/>
      <c r="AR142" s="2156"/>
      <c r="AS142" s="2156"/>
      <c r="AT142" s="2156"/>
      <c r="AU142" s="2156"/>
      <c r="AV142" s="2156"/>
      <c r="AW142" s="2156"/>
      <c r="AX142" s="2157"/>
      <c r="AY142" s="1207"/>
      <c r="AZ142" s="1207"/>
      <c r="BA142" s="1207"/>
      <c r="BB142" s="1207"/>
      <c r="BC142" s="1207"/>
      <c r="BD142" s="1207"/>
      <c r="BE142" s="1214"/>
    </row>
    <row r="143" spans="1:57" ht="15.75" customHeight="1">
      <c r="A143" s="1207"/>
      <c r="B143" s="2155"/>
      <c r="C143" s="2156"/>
      <c r="D143" s="2156"/>
      <c r="E143" s="2156"/>
      <c r="F143" s="2156"/>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c r="AJ143" s="2156"/>
      <c r="AK143" s="2156"/>
      <c r="AL143" s="2156"/>
      <c r="AM143" s="2156"/>
      <c r="AN143" s="2156"/>
      <c r="AO143" s="2156"/>
      <c r="AP143" s="2156"/>
      <c r="AQ143" s="2156"/>
      <c r="AR143" s="2156"/>
      <c r="AS143" s="2156"/>
      <c r="AT143" s="2156"/>
      <c r="AU143" s="2156"/>
      <c r="AV143" s="2156"/>
      <c r="AW143" s="2156"/>
      <c r="AX143" s="2157"/>
      <c r="AY143" s="1207"/>
      <c r="AZ143" s="1207"/>
      <c r="BA143" s="1207"/>
      <c r="BB143" s="1207"/>
      <c r="BC143" s="1207"/>
      <c r="BD143" s="1207"/>
      <c r="BE143" s="1214"/>
    </row>
    <row r="144" spans="1:57" ht="15.75" customHeight="1">
      <c r="A144" s="1207"/>
      <c r="B144" s="2155"/>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c r="AJ144" s="2156"/>
      <c r="AK144" s="2156"/>
      <c r="AL144" s="2156"/>
      <c r="AM144" s="2156"/>
      <c r="AN144" s="2156"/>
      <c r="AO144" s="2156"/>
      <c r="AP144" s="2156"/>
      <c r="AQ144" s="2156"/>
      <c r="AR144" s="2156"/>
      <c r="AS144" s="2156"/>
      <c r="AT144" s="2156"/>
      <c r="AU144" s="2156"/>
      <c r="AV144" s="2156"/>
      <c r="AW144" s="2156"/>
      <c r="AX144" s="2157"/>
      <c r="AY144" s="1207"/>
      <c r="AZ144" s="1207"/>
      <c r="BA144" s="1207"/>
      <c r="BB144" s="1207"/>
      <c r="BC144" s="1207"/>
      <c r="BD144" s="1207"/>
      <c r="BE144" s="1214"/>
    </row>
    <row r="145" spans="1:57" ht="15.75" customHeight="1">
      <c r="A145" s="1207"/>
      <c r="B145" s="2155"/>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c r="AJ145" s="2156"/>
      <c r="AK145" s="2156"/>
      <c r="AL145" s="2156"/>
      <c r="AM145" s="2156"/>
      <c r="AN145" s="2156"/>
      <c r="AO145" s="2156"/>
      <c r="AP145" s="2156"/>
      <c r="AQ145" s="2156"/>
      <c r="AR145" s="2156"/>
      <c r="AS145" s="2156"/>
      <c r="AT145" s="2156"/>
      <c r="AU145" s="2156"/>
      <c r="AV145" s="2156"/>
      <c r="AW145" s="2156"/>
      <c r="AX145" s="2157"/>
      <c r="AY145" s="1207"/>
      <c r="AZ145" s="1207"/>
      <c r="BA145" s="1207"/>
      <c r="BB145" s="1207"/>
      <c r="BC145" s="1207"/>
      <c r="BD145" s="1207"/>
      <c r="BE145" s="1214"/>
    </row>
    <row r="146" spans="1:57" ht="15.75" customHeight="1">
      <c r="A146" s="1207"/>
      <c r="B146" s="2155"/>
      <c r="C146" s="2156"/>
      <c r="D146" s="2156"/>
      <c r="E146" s="2156"/>
      <c r="F146" s="2156"/>
      <c r="G146" s="2156"/>
      <c r="H146" s="2156"/>
      <c r="I146" s="2156"/>
      <c r="J146" s="2156"/>
      <c r="K146" s="2156"/>
      <c r="L146" s="2156"/>
      <c r="M146" s="2156"/>
      <c r="N146" s="2156"/>
      <c r="O146" s="2156"/>
      <c r="P146" s="2156"/>
      <c r="Q146" s="2156"/>
      <c r="R146" s="2156"/>
      <c r="S146" s="2156"/>
      <c r="T146" s="2156"/>
      <c r="U146" s="2156"/>
      <c r="V146" s="2156"/>
      <c r="W146" s="2156"/>
      <c r="X146" s="2156"/>
      <c r="Y146" s="2156"/>
      <c r="Z146" s="2156"/>
      <c r="AA146" s="2156"/>
      <c r="AB146" s="2156"/>
      <c r="AC146" s="2156"/>
      <c r="AD146" s="2156"/>
      <c r="AE146" s="2156"/>
      <c r="AF146" s="2156"/>
      <c r="AG146" s="2156"/>
      <c r="AH146" s="2156"/>
      <c r="AI146" s="2156"/>
      <c r="AJ146" s="2156"/>
      <c r="AK146" s="2156"/>
      <c r="AL146" s="2156"/>
      <c r="AM146" s="2156"/>
      <c r="AN146" s="2156"/>
      <c r="AO146" s="2156"/>
      <c r="AP146" s="2156"/>
      <c r="AQ146" s="2156"/>
      <c r="AR146" s="2156"/>
      <c r="AS146" s="2156"/>
      <c r="AT146" s="2156"/>
      <c r="AU146" s="2156"/>
      <c r="AV146" s="2156"/>
      <c r="AW146" s="2156"/>
      <c r="AX146" s="2157"/>
      <c r="AY146" s="1207"/>
      <c r="AZ146" s="1207"/>
      <c r="BA146" s="1207"/>
      <c r="BB146" s="1207"/>
      <c r="BC146" s="1207"/>
      <c r="BD146" s="1207"/>
      <c r="BE146" s="1214"/>
    </row>
    <row r="147" spans="1:57" ht="15.75" customHeight="1" thickBot="1">
      <c r="A147" s="1207"/>
      <c r="B147" s="2158"/>
      <c r="C147" s="2159"/>
      <c r="D147" s="2159"/>
      <c r="E147" s="2159"/>
      <c r="F147" s="2159"/>
      <c r="G147" s="2159"/>
      <c r="H147" s="2159"/>
      <c r="I147" s="2159"/>
      <c r="J147" s="2159"/>
      <c r="K147" s="2159"/>
      <c r="L147" s="2159"/>
      <c r="M147" s="2159"/>
      <c r="N147" s="2159"/>
      <c r="O147" s="2159"/>
      <c r="P147" s="2159"/>
      <c r="Q147" s="2159"/>
      <c r="R147" s="2159"/>
      <c r="S147" s="2159"/>
      <c r="T147" s="2159"/>
      <c r="U147" s="2159"/>
      <c r="V147" s="2159"/>
      <c r="W147" s="2159"/>
      <c r="X147" s="2159"/>
      <c r="Y147" s="2159"/>
      <c r="Z147" s="2159"/>
      <c r="AA147" s="2159"/>
      <c r="AB147" s="2159"/>
      <c r="AC147" s="2159"/>
      <c r="AD147" s="2159"/>
      <c r="AE147" s="2159"/>
      <c r="AF147" s="2159"/>
      <c r="AG147" s="2159"/>
      <c r="AH147" s="2159"/>
      <c r="AI147" s="2159"/>
      <c r="AJ147" s="2159"/>
      <c r="AK147" s="2159"/>
      <c r="AL147" s="2159"/>
      <c r="AM147" s="2159"/>
      <c r="AN147" s="2159"/>
      <c r="AO147" s="2159"/>
      <c r="AP147" s="2159"/>
      <c r="AQ147" s="2159"/>
      <c r="AR147" s="2159"/>
      <c r="AS147" s="2159"/>
      <c r="AT147" s="2159"/>
      <c r="AU147" s="2159"/>
      <c r="AV147" s="2159"/>
      <c r="AW147" s="2159"/>
      <c r="AX147" s="2160"/>
      <c r="AY147" s="1207"/>
      <c r="AZ147" s="1207"/>
      <c r="BA147" s="1207"/>
      <c r="BB147" s="1207"/>
      <c r="BC147" s="1207"/>
      <c r="BD147" s="1207"/>
      <c r="BE147" s="1214"/>
    </row>
    <row r="148" spans="1:57" ht="15.75" customHeight="1" thickBot="1">
      <c r="A148" s="1207"/>
      <c r="B148" s="1207"/>
      <c r="C148" s="1207"/>
      <c r="D148" s="1207"/>
      <c r="E148" s="1207"/>
      <c r="F148" s="1207"/>
      <c r="G148" s="1207"/>
      <c r="H148" s="1207"/>
      <c r="I148" s="1207"/>
      <c r="J148" s="1207"/>
      <c r="K148" s="1207"/>
      <c r="L148" s="1207"/>
      <c r="M148" s="1207"/>
      <c r="N148" s="1207"/>
      <c r="O148" s="1207"/>
      <c r="P148" s="1207"/>
      <c r="Q148" s="1207"/>
      <c r="R148" s="1207"/>
      <c r="S148" s="1207"/>
      <c r="T148" s="1207"/>
      <c r="U148" s="1207"/>
      <c r="V148" s="1207"/>
      <c r="W148" s="1207"/>
      <c r="X148" s="1207"/>
      <c r="Y148" s="1207"/>
      <c r="Z148" s="1207"/>
      <c r="AA148" s="1207"/>
      <c r="AB148" s="1207"/>
      <c r="AC148" s="1207"/>
      <c r="AD148" s="1207"/>
      <c r="AE148" s="1207"/>
      <c r="AF148" s="1207"/>
      <c r="AG148" s="1207"/>
      <c r="AH148" s="1207"/>
      <c r="AI148" s="1207"/>
      <c r="AJ148" s="1207"/>
      <c r="AK148" s="1207"/>
      <c r="AL148" s="1207"/>
      <c r="AM148" s="1207"/>
      <c r="AN148" s="1207"/>
      <c r="AO148" s="1207"/>
      <c r="AP148" s="1207"/>
      <c r="AQ148" s="1207"/>
      <c r="AR148" s="1207"/>
      <c r="AS148" s="1207"/>
      <c r="AT148" s="1207"/>
      <c r="AU148" s="1207"/>
      <c r="AV148" s="1207"/>
      <c r="AW148" s="1207"/>
      <c r="AX148" s="1207"/>
      <c r="AY148" s="1207"/>
      <c r="AZ148" s="1207"/>
      <c r="BA148" s="1207"/>
      <c r="BB148" s="1207"/>
      <c r="BC148" s="1207"/>
      <c r="BD148" s="1207"/>
      <c r="BE148" s="1214"/>
    </row>
    <row r="149" spans="1:57" ht="15.75" customHeight="1" thickBot="1">
      <c r="A149" s="1207"/>
      <c r="B149" s="1230" t="s">
        <v>2291</v>
      </c>
      <c r="C149" s="1231"/>
      <c r="D149" s="1231"/>
      <c r="E149" s="1231"/>
      <c r="F149" s="1231"/>
      <c r="G149" s="1231"/>
      <c r="H149" s="1231"/>
      <c r="I149" s="1231"/>
      <c r="J149" s="1231"/>
      <c r="K149" s="1231"/>
      <c r="L149" s="1231"/>
      <c r="M149" s="1232"/>
      <c r="N149" s="1215"/>
      <c r="O149" s="1215"/>
      <c r="P149" s="1207"/>
      <c r="Q149" s="1207"/>
      <c r="R149" s="1207"/>
      <c r="S149" s="1207"/>
      <c r="T149" s="1207"/>
      <c r="U149" s="1207" t="s">
        <v>249</v>
      </c>
      <c r="V149" s="1207"/>
      <c r="W149" s="1207"/>
      <c r="X149" s="1230" t="s">
        <v>2290</v>
      </c>
      <c r="Y149" s="1231"/>
      <c r="Z149" s="1231"/>
      <c r="AA149" s="1231"/>
      <c r="AB149" s="1231"/>
      <c r="AC149" s="1231"/>
      <c r="AD149" s="1231"/>
      <c r="AE149" s="1231"/>
      <c r="AF149" s="1231"/>
      <c r="AG149" s="1231"/>
      <c r="AH149" s="1231"/>
      <c r="AI149" s="1231"/>
      <c r="AJ149" s="1231"/>
      <c r="AK149" s="1225"/>
      <c r="AL149" s="1225"/>
      <c r="AM149" s="1226"/>
      <c r="AN149" s="1207"/>
      <c r="AO149" s="1207"/>
      <c r="AP149" s="1207"/>
      <c r="AQ149" s="1207"/>
      <c r="AR149" s="1207"/>
      <c r="AS149" s="1207"/>
      <c r="AT149" s="1207"/>
      <c r="AU149" s="1207"/>
      <c r="AV149" s="1207"/>
      <c r="AW149" s="1207"/>
      <c r="AX149" s="1207"/>
      <c r="AY149" s="1207"/>
      <c r="AZ149" s="1207"/>
      <c r="BA149" s="1207"/>
      <c r="BB149" s="1207"/>
      <c r="BC149" s="1207"/>
      <c r="BD149" s="1207"/>
      <c r="BE149" s="1214"/>
    </row>
    <row r="150" spans="1:57" ht="15.75" customHeight="1" thickBot="1">
      <c r="A150" s="1207"/>
      <c r="B150" s="1207"/>
      <c r="C150" s="1207"/>
      <c r="D150" s="1207"/>
      <c r="E150" s="1207"/>
      <c r="F150" s="1207"/>
      <c r="G150" s="1207"/>
      <c r="H150" s="1207"/>
      <c r="I150" s="1207"/>
      <c r="J150" s="1207"/>
      <c r="K150" s="1207"/>
      <c r="L150" s="1207"/>
      <c r="M150" s="1207"/>
      <c r="N150" s="1207"/>
      <c r="O150" s="1207"/>
      <c r="P150" s="1215"/>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4"/>
    </row>
    <row r="151" spans="1:57" ht="15.75" customHeight="1">
      <c r="A151" s="1207"/>
      <c r="B151" s="2034" t="s">
        <v>2289</v>
      </c>
      <c r="C151" s="2035"/>
      <c r="D151" s="2035"/>
      <c r="E151" s="2035"/>
      <c r="F151" s="2035"/>
      <c r="G151" s="2035"/>
      <c r="H151" s="2035"/>
      <c r="I151" s="2035"/>
      <c r="J151" s="2035"/>
      <c r="K151" s="2035"/>
      <c r="L151" s="2035"/>
      <c r="M151" s="2035"/>
      <c r="N151" s="2035"/>
      <c r="O151" s="2035"/>
      <c r="P151" s="2035"/>
      <c r="Q151" s="2035"/>
      <c r="R151" s="2035"/>
      <c r="S151" s="2035"/>
      <c r="T151" s="2035"/>
      <c r="U151" s="2036"/>
      <c r="V151" s="1207"/>
      <c r="W151" s="1208"/>
      <c r="X151" s="2034" t="s">
        <v>2288</v>
      </c>
      <c r="Y151" s="2035"/>
      <c r="Z151" s="2035"/>
      <c r="AA151" s="2035"/>
      <c r="AB151" s="2035"/>
      <c r="AC151" s="2035"/>
      <c r="AD151" s="2035"/>
      <c r="AE151" s="2035"/>
      <c r="AF151" s="2035"/>
      <c r="AG151" s="2035"/>
      <c r="AH151" s="2035"/>
      <c r="AI151" s="2035"/>
      <c r="AJ151" s="2035"/>
      <c r="AK151" s="2035"/>
      <c r="AL151" s="2035"/>
      <c r="AM151" s="2035"/>
      <c r="AN151" s="2035"/>
      <c r="AO151" s="2035"/>
      <c r="AP151" s="2035"/>
      <c r="AQ151" s="2036"/>
      <c r="AR151" s="1207"/>
      <c r="AS151" s="1207"/>
      <c r="AT151" s="1207"/>
      <c r="AU151" s="1207"/>
      <c r="AV151" s="1207"/>
      <c r="AW151" s="1207"/>
      <c r="AX151" s="1207"/>
      <c r="AY151" s="1207"/>
      <c r="AZ151" s="1207"/>
      <c r="BA151" s="1207"/>
      <c r="BB151" s="1207"/>
      <c r="BC151" s="1207"/>
      <c r="BD151" s="1207"/>
      <c r="BE151" s="1214"/>
    </row>
    <row r="152" spans="1:57" ht="15.75" customHeight="1">
      <c r="A152" s="1207"/>
      <c r="B152" s="2163"/>
      <c r="C152" s="2164"/>
      <c r="D152" s="2164"/>
      <c r="E152" s="2164"/>
      <c r="F152" s="2164"/>
      <c r="G152" s="2164"/>
      <c r="H152" s="2164"/>
      <c r="I152" s="2165" t="s">
        <v>2286</v>
      </c>
      <c r="J152" s="2165"/>
      <c r="K152" s="2165"/>
      <c r="L152" s="2165"/>
      <c r="M152" s="2165"/>
      <c r="N152" s="2165"/>
      <c r="O152" s="2165"/>
      <c r="P152" s="2165" t="s">
        <v>2287</v>
      </c>
      <c r="Q152" s="2165"/>
      <c r="R152" s="2165"/>
      <c r="S152" s="2165"/>
      <c r="T152" s="2165"/>
      <c r="U152" s="2166"/>
      <c r="V152" s="1207"/>
      <c r="W152" s="1207"/>
      <c r="X152" s="2163"/>
      <c r="Y152" s="2164"/>
      <c r="Z152" s="2164"/>
      <c r="AA152" s="2164"/>
      <c r="AB152" s="2164"/>
      <c r="AC152" s="2164"/>
      <c r="AD152" s="2164"/>
      <c r="AE152" s="2165" t="s">
        <v>2286</v>
      </c>
      <c r="AF152" s="2165"/>
      <c r="AG152" s="2165"/>
      <c r="AH152" s="2165"/>
      <c r="AI152" s="2165"/>
      <c r="AJ152" s="2165"/>
      <c r="AK152" s="2165"/>
      <c r="AL152" s="2165" t="s">
        <v>2285</v>
      </c>
      <c r="AM152" s="2165"/>
      <c r="AN152" s="2165"/>
      <c r="AO152" s="2165"/>
      <c r="AP152" s="2165"/>
      <c r="AQ152" s="2166"/>
      <c r="AR152" s="1207"/>
      <c r="AS152" s="1207"/>
      <c r="AT152" s="1207"/>
      <c r="AU152" s="1207"/>
      <c r="AV152" s="1207"/>
      <c r="AW152" s="1207"/>
      <c r="AX152" s="1207"/>
      <c r="AY152" s="1207"/>
      <c r="AZ152" s="1207"/>
      <c r="BA152" s="1207"/>
      <c r="BB152" s="1207"/>
      <c r="BC152" s="1207"/>
      <c r="BD152" s="1207"/>
      <c r="BE152" s="1214"/>
    </row>
    <row r="153" spans="1:57" ht="15.75" customHeight="1">
      <c r="A153" s="1207"/>
      <c r="B153" s="2163"/>
      <c r="C153" s="2164"/>
      <c r="D153" s="2164"/>
      <c r="E153" s="2164"/>
      <c r="F153" s="2164"/>
      <c r="G153" s="2164"/>
      <c r="H153" s="2164"/>
      <c r="I153" s="2165"/>
      <c r="J153" s="2165"/>
      <c r="K153" s="2165"/>
      <c r="L153" s="2165"/>
      <c r="M153" s="2165"/>
      <c r="N153" s="2165"/>
      <c r="O153" s="2165"/>
      <c r="P153" s="2165"/>
      <c r="Q153" s="2165"/>
      <c r="R153" s="2165"/>
      <c r="S153" s="2165"/>
      <c r="T153" s="2165"/>
      <c r="U153" s="2166"/>
      <c r="V153" s="1207"/>
      <c r="W153" s="1207"/>
      <c r="X153" s="2163"/>
      <c r="Y153" s="2164"/>
      <c r="Z153" s="2164"/>
      <c r="AA153" s="2164"/>
      <c r="AB153" s="2164"/>
      <c r="AC153" s="2164"/>
      <c r="AD153" s="2164"/>
      <c r="AE153" s="2165"/>
      <c r="AF153" s="2165"/>
      <c r="AG153" s="2165"/>
      <c r="AH153" s="2165"/>
      <c r="AI153" s="2165"/>
      <c r="AJ153" s="2165"/>
      <c r="AK153" s="2165"/>
      <c r="AL153" s="2165"/>
      <c r="AM153" s="2165"/>
      <c r="AN153" s="2165"/>
      <c r="AO153" s="2165"/>
      <c r="AP153" s="2165"/>
      <c r="AQ153" s="2166"/>
      <c r="AR153" s="1207"/>
      <c r="AS153" s="1207"/>
      <c r="AT153" s="1207"/>
      <c r="AU153" s="1207"/>
      <c r="AV153" s="1207"/>
      <c r="AW153" s="1207"/>
      <c r="AX153" s="1207"/>
      <c r="AY153" s="1207"/>
      <c r="AZ153" s="1207"/>
      <c r="BA153" s="1207"/>
      <c r="BB153" s="1207"/>
      <c r="BC153" s="1207"/>
      <c r="BD153" s="1207"/>
      <c r="BE153" s="1214"/>
    </row>
    <row r="154" spans="1:57" ht="15.75" customHeight="1" thickBot="1">
      <c r="A154" s="1207"/>
      <c r="B154" s="2137" t="s">
        <v>2284</v>
      </c>
      <c r="C154" s="2138"/>
      <c r="D154" s="2138"/>
      <c r="E154" s="2138"/>
      <c r="F154" s="2138"/>
      <c r="G154" s="2138"/>
      <c r="H154" s="2138"/>
      <c r="I154" s="2115">
        <v>0</v>
      </c>
      <c r="J154" s="2115"/>
      <c r="K154" s="2115"/>
      <c r="L154" s="2115"/>
      <c r="M154" s="2115"/>
      <c r="N154" s="2115"/>
      <c r="O154" s="2115"/>
      <c r="P154" s="2115">
        <v>0</v>
      </c>
      <c r="Q154" s="2115"/>
      <c r="R154" s="2115"/>
      <c r="S154" s="2115"/>
      <c r="T154" s="2115"/>
      <c r="U154" s="2116"/>
      <c r="V154" s="1207"/>
      <c r="W154" s="1207"/>
      <c r="X154" s="2139" t="s">
        <v>2284</v>
      </c>
      <c r="Y154" s="2140"/>
      <c r="Z154" s="2140"/>
      <c r="AA154" s="2140"/>
      <c r="AB154" s="2140"/>
      <c r="AC154" s="2140"/>
      <c r="AD154" s="2140"/>
      <c r="AE154" s="2113">
        <v>0</v>
      </c>
      <c r="AF154" s="2113"/>
      <c r="AG154" s="2113"/>
      <c r="AH154" s="2113"/>
      <c r="AI154" s="2113"/>
      <c r="AJ154" s="2113"/>
      <c r="AK154" s="2113"/>
      <c r="AL154" s="2113">
        <v>0</v>
      </c>
      <c r="AM154" s="2113"/>
      <c r="AN154" s="2113"/>
      <c r="AO154" s="2113"/>
      <c r="AP154" s="2113"/>
      <c r="AQ154" s="2114"/>
      <c r="AR154" s="1207"/>
      <c r="AS154" s="1207"/>
      <c r="AT154" s="1207"/>
      <c r="AU154" s="1207"/>
      <c r="AV154" s="1207"/>
      <c r="AW154" s="1207"/>
      <c r="AX154" s="1207"/>
      <c r="AY154" s="1207"/>
      <c r="AZ154" s="1207"/>
      <c r="BA154" s="1207"/>
      <c r="BB154" s="1207"/>
      <c r="BC154" s="1207"/>
      <c r="BD154" s="1207"/>
      <c r="BE154" s="1214"/>
    </row>
    <row r="155" spans="1:57" ht="15.75" customHeight="1" thickBot="1">
      <c r="A155" s="1207"/>
      <c r="B155" s="2139" t="s">
        <v>2283</v>
      </c>
      <c r="C155" s="2140"/>
      <c r="D155" s="2140"/>
      <c r="E155" s="2140"/>
      <c r="F155" s="2140"/>
      <c r="G155" s="2140"/>
      <c r="H155" s="2140"/>
      <c r="I155" s="2113">
        <v>0</v>
      </c>
      <c r="J155" s="2113"/>
      <c r="K155" s="2113"/>
      <c r="L155" s="2113"/>
      <c r="M155" s="2113"/>
      <c r="N155" s="2113"/>
      <c r="O155" s="2113"/>
      <c r="P155" s="2113">
        <v>0</v>
      </c>
      <c r="Q155" s="2113"/>
      <c r="R155" s="2113"/>
      <c r="S155" s="2113"/>
      <c r="T155" s="2113"/>
      <c r="U155" s="2114"/>
      <c r="V155" s="1207"/>
      <c r="W155" s="1207"/>
      <c r="X155" s="1207"/>
      <c r="Y155" s="1207"/>
      <c r="Z155" s="1207"/>
      <c r="AA155" s="1207"/>
      <c r="AB155" s="1207"/>
      <c r="AC155" s="1207"/>
      <c r="AD155" s="1207"/>
      <c r="AE155" s="1207"/>
      <c r="AF155" s="1207"/>
      <c r="AG155" s="1207"/>
      <c r="AH155" s="1207"/>
      <c r="AI155" s="1207"/>
      <c r="AJ155" s="1207"/>
      <c r="AK155" s="1207"/>
      <c r="AL155" s="1207"/>
      <c r="AM155" s="1207"/>
      <c r="AN155" s="1207"/>
      <c r="AO155" s="1207"/>
      <c r="AP155" s="1207"/>
      <c r="AQ155" s="1207"/>
      <c r="AR155" s="1207"/>
      <c r="AS155" s="1207"/>
      <c r="AT155" s="1207"/>
      <c r="AU155" s="1207"/>
      <c r="AV155" s="1207"/>
      <c r="AW155" s="1207"/>
      <c r="AX155" s="1207"/>
      <c r="AY155" s="1207"/>
      <c r="AZ155" s="1207"/>
      <c r="BA155" s="1207"/>
      <c r="BB155" s="1207"/>
      <c r="BC155" s="1207"/>
      <c r="BD155" s="1207"/>
      <c r="BE155" s="1214"/>
    </row>
    <row r="156" spans="1:57" ht="15.75" customHeight="1" thickBot="1">
      <c r="A156" s="1207"/>
      <c r="B156" s="1207"/>
      <c r="C156" s="1207"/>
      <c r="D156" s="1207"/>
      <c r="E156" s="1207"/>
      <c r="F156" s="1207"/>
      <c r="G156" s="1207"/>
      <c r="H156" s="1207"/>
      <c r="I156" s="1207"/>
      <c r="J156" s="1207"/>
      <c r="K156" s="1207"/>
      <c r="L156" s="1207"/>
      <c r="M156" s="1207"/>
      <c r="N156" s="1207"/>
      <c r="O156" s="1207"/>
      <c r="P156" s="1207"/>
      <c r="Q156" s="1207"/>
      <c r="R156" s="1207"/>
      <c r="S156" s="1207"/>
      <c r="T156" s="1207"/>
      <c r="U156" s="1207"/>
      <c r="V156" s="1207"/>
      <c r="W156" s="1207"/>
      <c r="X156" s="1207"/>
      <c r="Y156" s="1207"/>
      <c r="Z156" s="1207"/>
      <c r="AA156" s="1207"/>
      <c r="AB156" s="1207"/>
      <c r="AC156" s="1207"/>
      <c r="AD156" s="1207"/>
      <c r="AE156" s="1207"/>
      <c r="AF156" s="1207"/>
      <c r="AG156" s="1207"/>
      <c r="AH156" s="1207"/>
      <c r="AI156" s="1207"/>
      <c r="AJ156" s="1207"/>
      <c r="AK156" s="1207"/>
      <c r="AL156" s="1207"/>
      <c r="AM156" s="1207"/>
      <c r="AN156" s="1207"/>
      <c r="AO156" s="1207"/>
      <c r="AP156" s="1207"/>
      <c r="AQ156" s="1207"/>
      <c r="AR156" s="1207"/>
      <c r="AS156" s="1207"/>
      <c r="AT156" s="1207"/>
      <c r="AU156" s="1207"/>
      <c r="AV156" s="1207"/>
      <c r="AW156" s="1207"/>
      <c r="AX156" s="1207"/>
      <c r="AY156" s="1207"/>
      <c r="AZ156" s="1207"/>
      <c r="BA156" s="1207"/>
      <c r="BB156" s="1207"/>
      <c r="BC156" s="1207"/>
      <c r="BD156" s="1207"/>
      <c r="BE156" s="1214"/>
    </row>
    <row r="157" spans="1:57" ht="15.75" customHeight="1">
      <c r="A157" s="1207"/>
      <c r="B157" s="1207"/>
      <c r="C157" s="2034" t="s">
        <v>2282</v>
      </c>
      <c r="D157" s="2035"/>
      <c r="E157" s="2035"/>
      <c r="F157" s="2035"/>
      <c r="G157" s="2035"/>
      <c r="H157" s="2035"/>
      <c r="I157" s="2035"/>
      <c r="J157" s="2035"/>
      <c r="K157" s="2035"/>
      <c r="L157" s="2035"/>
      <c r="M157" s="2035"/>
      <c r="N157" s="2035"/>
      <c r="O157" s="2035"/>
      <c r="P157" s="2035"/>
      <c r="Q157" s="2035"/>
      <c r="R157" s="2035"/>
      <c r="S157" s="2035"/>
      <c r="T157" s="2035"/>
      <c r="U157" s="2035"/>
      <c r="V157" s="2035"/>
      <c r="W157" s="2035"/>
      <c r="X157" s="2035"/>
      <c r="Y157" s="2035"/>
      <c r="Z157" s="2035"/>
      <c r="AA157" s="2035"/>
      <c r="AB157" s="2035"/>
      <c r="AC157" s="2035"/>
      <c r="AD157" s="2035"/>
      <c r="AE157" s="2035"/>
      <c r="AF157" s="2035"/>
      <c r="AG157" s="2036"/>
      <c r="AH157" s="1207"/>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4"/>
    </row>
    <row r="158" spans="1:57" ht="15.75" customHeight="1">
      <c r="A158" s="1207"/>
      <c r="B158" s="1207"/>
      <c r="C158" s="2163" t="s">
        <v>2267</v>
      </c>
      <c r="D158" s="2164"/>
      <c r="E158" s="2164"/>
      <c r="F158" s="2164"/>
      <c r="G158" s="2164"/>
      <c r="H158" s="2164"/>
      <c r="I158" s="2164"/>
      <c r="J158" s="2164"/>
      <c r="K158" s="2164"/>
      <c r="L158" s="2164"/>
      <c r="M158" s="2164"/>
      <c r="N158" s="2164"/>
      <c r="O158" s="2164"/>
      <c r="P158" s="2164"/>
      <c r="Q158" s="2164" t="s">
        <v>2281</v>
      </c>
      <c r="R158" s="2164"/>
      <c r="S158" s="2164"/>
      <c r="T158" s="2111" t="s">
        <v>2280</v>
      </c>
      <c r="U158" s="2111"/>
      <c r="V158" s="2111"/>
      <c r="W158" s="2111"/>
      <c r="X158" s="2111"/>
      <c r="Y158" s="2111"/>
      <c r="Z158" s="2111"/>
      <c r="AA158" s="2111"/>
      <c r="AB158" s="2164" t="s">
        <v>2279</v>
      </c>
      <c r="AC158" s="2164"/>
      <c r="AD158" s="2164"/>
      <c r="AE158" s="2164"/>
      <c r="AF158" s="2164"/>
      <c r="AG158" s="2174"/>
      <c r="AH158" s="1207"/>
      <c r="AI158" s="1207"/>
      <c r="AJ158" s="1207"/>
      <c r="AK158" s="1207"/>
      <c r="AL158" s="1207"/>
      <c r="AM158" s="1207"/>
      <c r="AN158" s="1207"/>
      <c r="AO158" s="1207"/>
      <c r="AP158" s="1207"/>
      <c r="AQ158" s="1207"/>
      <c r="AR158" s="1207"/>
      <c r="AS158" s="1207"/>
      <c r="AT158" s="1207"/>
      <c r="AU158" s="1207"/>
      <c r="AV158" s="1207"/>
      <c r="AW158" s="1207"/>
      <c r="AX158" s="1207"/>
      <c r="AY158" s="1207"/>
      <c r="AZ158" s="1207"/>
      <c r="BA158" s="1207"/>
      <c r="BB158" s="1207"/>
      <c r="BC158" s="1207"/>
      <c r="BD158" s="1207"/>
      <c r="BE158" s="1214"/>
    </row>
    <row r="159" spans="1:57" ht="15.75" customHeight="1">
      <c r="A159" s="1207"/>
      <c r="B159" s="1207"/>
      <c r="C159" s="2169" t="s">
        <v>2278</v>
      </c>
      <c r="D159" s="2170"/>
      <c r="E159" s="2170"/>
      <c r="F159" s="2170"/>
      <c r="G159" s="2170"/>
      <c r="H159" s="2170"/>
      <c r="I159" s="2170"/>
      <c r="J159" s="2170"/>
      <c r="K159" s="2170"/>
      <c r="L159" s="2170"/>
      <c r="M159" s="2170"/>
      <c r="N159" s="2170"/>
      <c r="O159" s="2170"/>
      <c r="P159" s="2170"/>
      <c r="Q159" s="2171">
        <v>55</v>
      </c>
      <c r="R159" s="2171"/>
      <c r="S159" s="2171"/>
      <c r="T159" s="2172"/>
      <c r="U159" s="2172"/>
      <c r="V159" s="2172"/>
      <c r="W159" s="2172"/>
      <c r="X159" s="2172"/>
      <c r="Y159" s="2172"/>
      <c r="Z159" s="2172"/>
      <c r="AA159" s="2172"/>
      <c r="AB159" s="1245"/>
      <c r="AC159" s="1245"/>
      <c r="AD159" s="1245"/>
      <c r="AE159" s="1245"/>
      <c r="AF159" s="1245"/>
      <c r="AG159" s="1246"/>
      <c r="AH159" s="1207"/>
      <c r="AI159" s="1207"/>
      <c r="AJ159" s="1207"/>
      <c r="AK159" s="1207"/>
      <c r="AL159" s="1207"/>
      <c r="AM159" s="1207"/>
      <c r="AN159" s="1207"/>
      <c r="AO159" s="1207"/>
      <c r="AP159" s="1207" t="s">
        <v>249</v>
      </c>
      <c r="AQ159" s="1207"/>
      <c r="AR159" s="1207"/>
      <c r="AS159" s="1207"/>
      <c r="AT159" s="1207"/>
      <c r="AU159" s="1207"/>
      <c r="AV159" s="1207"/>
      <c r="AW159" s="1207"/>
      <c r="AX159" s="1207"/>
      <c r="AY159" s="1207"/>
      <c r="AZ159" s="1207"/>
      <c r="BA159" s="1207"/>
      <c r="BB159" s="1207"/>
      <c r="BC159" s="1207"/>
      <c r="BD159" s="1207"/>
      <c r="BE159" s="1214"/>
    </row>
    <row r="160" spans="1:57" ht="15.75" customHeight="1">
      <c r="A160" s="1207"/>
      <c r="B160" s="1207"/>
      <c r="C160" s="2169" t="s">
        <v>2277</v>
      </c>
      <c r="D160" s="2170"/>
      <c r="E160" s="2170"/>
      <c r="F160" s="2170"/>
      <c r="G160" s="2170"/>
      <c r="H160" s="2170"/>
      <c r="I160" s="2170"/>
      <c r="J160" s="2170"/>
      <c r="K160" s="2170"/>
      <c r="L160" s="2170"/>
      <c r="M160" s="2170"/>
      <c r="N160" s="2170"/>
      <c r="O160" s="2170"/>
      <c r="P160" s="2170"/>
      <c r="Q160" s="2171">
        <v>55</v>
      </c>
      <c r="R160" s="2171"/>
      <c r="S160" s="2171"/>
      <c r="T160" s="2173"/>
      <c r="U160" s="2173"/>
      <c r="V160" s="2173"/>
      <c r="W160" s="2173"/>
      <c r="X160" s="2173"/>
      <c r="Y160" s="2173"/>
      <c r="Z160" s="2173"/>
      <c r="AA160" s="2173"/>
      <c r="AB160" s="1245"/>
      <c r="AC160" s="1245"/>
      <c r="AD160" s="1245"/>
      <c r="AE160" s="1245"/>
      <c r="AF160" s="1245"/>
      <c r="AG160" s="1246"/>
      <c r="AH160" s="1207"/>
      <c r="AI160" s="1207"/>
      <c r="AJ160" s="1207"/>
      <c r="AK160" s="1207"/>
      <c r="AL160" s="1207"/>
      <c r="AM160" s="1207"/>
      <c r="AN160" s="1207"/>
      <c r="AO160" s="1207"/>
      <c r="AP160" s="1207"/>
      <c r="AQ160" s="1207"/>
      <c r="AR160" s="1207"/>
      <c r="AS160" s="1207"/>
      <c r="AT160" s="1207"/>
      <c r="AU160" s="1207"/>
      <c r="AV160" s="1207"/>
      <c r="AW160" s="1207"/>
      <c r="AX160" s="1207"/>
      <c r="AY160" s="1207"/>
      <c r="AZ160" s="1207"/>
      <c r="BA160" s="1207"/>
      <c r="BB160" s="1207"/>
      <c r="BC160" s="1207"/>
      <c r="BD160" s="1207"/>
      <c r="BE160" s="1214"/>
    </row>
    <row r="161" spans="1:57" ht="15.75" customHeight="1">
      <c r="A161" s="1207"/>
      <c r="B161" s="1207"/>
      <c r="C161" s="2169" t="s">
        <v>2276</v>
      </c>
      <c r="D161" s="2170"/>
      <c r="E161" s="2170"/>
      <c r="F161" s="2170"/>
      <c r="G161" s="2170"/>
      <c r="H161" s="2170"/>
      <c r="I161" s="2170"/>
      <c r="J161" s="2170"/>
      <c r="K161" s="2170"/>
      <c r="L161" s="2170"/>
      <c r="M161" s="2170"/>
      <c r="N161" s="2170"/>
      <c r="O161" s="2170"/>
      <c r="P161" s="2170"/>
      <c r="Q161" s="2171">
        <v>55</v>
      </c>
      <c r="R161" s="2171"/>
      <c r="S161" s="2171"/>
      <c r="T161" s="2172"/>
      <c r="U161" s="2172"/>
      <c r="V161" s="2172"/>
      <c r="W161" s="2172"/>
      <c r="X161" s="2172"/>
      <c r="Y161" s="2172"/>
      <c r="Z161" s="2172"/>
      <c r="AA161" s="2172"/>
      <c r="AB161" s="1245"/>
      <c r="AC161" s="1245"/>
      <c r="AD161" s="1245"/>
      <c r="AE161" s="1245"/>
      <c r="AF161" s="1245"/>
      <c r="AG161" s="1246"/>
      <c r="AH161" s="1207"/>
      <c r="AI161" s="1207"/>
      <c r="AJ161" s="1207"/>
      <c r="AK161" s="1207"/>
      <c r="AL161" s="1207"/>
      <c r="AM161" s="1207"/>
      <c r="AN161" s="1207"/>
      <c r="AO161" s="1207"/>
      <c r="AP161" s="1207"/>
      <c r="AQ161" s="1207"/>
      <c r="AR161" s="1207"/>
      <c r="AS161" s="1207"/>
      <c r="AT161" s="1207"/>
      <c r="AU161" s="1207"/>
      <c r="AV161" s="1207"/>
      <c r="AW161" s="1207"/>
      <c r="AX161" s="1207"/>
      <c r="AY161" s="1207"/>
      <c r="AZ161" s="1207"/>
      <c r="BA161" s="1207"/>
      <c r="BB161" s="1207"/>
      <c r="BC161" s="1207"/>
      <c r="BD161" s="1207"/>
      <c r="BE161" s="1214"/>
    </row>
    <row r="162" spans="1:57" ht="15.75" customHeight="1">
      <c r="A162" s="1207"/>
      <c r="B162" s="1207"/>
      <c r="C162" s="2169" t="s">
        <v>2275</v>
      </c>
      <c r="D162" s="2170"/>
      <c r="E162" s="2170"/>
      <c r="F162" s="2170"/>
      <c r="G162" s="2170"/>
      <c r="H162" s="2170"/>
      <c r="I162" s="2170"/>
      <c r="J162" s="2170"/>
      <c r="K162" s="2170"/>
      <c r="L162" s="2170"/>
      <c r="M162" s="2170"/>
      <c r="N162" s="2170"/>
      <c r="O162" s="2170"/>
      <c r="P162" s="2170"/>
      <c r="Q162" s="2171">
        <v>55</v>
      </c>
      <c r="R162" s="2171"/>
      <c r="S162" s="2171"/>
      <c r="T162" s="2172"/>
      <c r="U162" s="2172"/>
      <c r="V162" s="2172"/>
      <c r="W162" s="2172"/>
      <c r="X162" s="2172"/>
      <c r="Y162" s="2172"/>
      <c r="Z162" s="2172"/>
      <c r="AA162" s="2172"/>
      <c r="AB162" s="2175">
        <v>0</v>
      </c>
      <c r="AC162" s="2175"/>
      <c r="AD162" s="2175"/>
      <c r="AE162" s="2175"/>
      <c r="AF162" s="2175"/>
      <c r="AG162" s="2176"/>
      <c r="AH162" s="1207"/>
      <c r="AI162" s="1207"/>
      <c r="AJ162" s="1207"/>
      <c r="AK162" s="1207"/>
      <c r="AL162" s="1207"/>
      <c r="AM162" s="1207"/>
      <c r="AN162" s="1207"/>
      <c r="AO162" s="1207"/>
      <c r="AP162" s="1207"/>
      <c r="AQ162" s="1207"/>
      <c r="AR162" s="1207"/>
      <c r="AS162" s="1207"/>
      <c r="AT162" s="1207"/>
      <c r="AU162" s="1207"/>
      <c r="AV162" s="1207"/>
      <c r="AW162" s="1207"/>
      <c r="AX162" s="1207"/>
      <c r="AY162" s="1207"/>
      <c r="AZ162" s="1207"/>
      <c r="BA162" s="1207"/>
      <c r="BB162" s="1207"/>
      <c r="BC162" s="1207"/>
      <c r="BD162" s="1207"/>
      <c r="BE162" s="1214"/>
    </row>
    <row r="163" spans="1:57" ht="15.75" customHeight="1">
      <c r="A163" s="1207"/>
      <c r="B163" s="1207"/>
      <c r="C163" s="2169" t="s">
        <v>169</v>
      </c>
      <c r="D163" s="2170"/>
      <c r="E163" s="2170"/>
      <c r="F163" s="2177" t="s">
        <v>2256</v>
      </c>
      <c r="G163" s="2177"/>
      <c r="H163" s="2177"/>
      <c r="I163" s="2177"/>
      <c r="J163" s="2177"/>
      <c r="K163" s="2177"/>
      <c r="L163" s="2177"/>
      <c r="M163" s="2177"/>
      <c r="N163" s="2177"/>
      <c r="O163" s="2177"/>
      <c r="P163" s="2177"/>
      <c r="Q163" s="2171">
        <v>55</v>
      </c>
      <c r="R163" s="2171"/>
      <c r="S163" s="2171"/>
      <c r="T163" s="2173"/>
      <c r="U163" s="2173"/>
      <c r="V163" s="2173"/>
      <c r="W163" s="2173"/>
      <c r="X163" s="2173"/>
      <c r="Y163" s="2173"/>
      <c r="Z163" s="2173"/>
      <c r="AA163" s="2173"/>
      <c r="AB163" s="2175">
        <v>0</v>
      </c>
      <c r="AC163" s="2175"/>
      <c r="AD163" s="2175"/>
      <c r="AE163" s="2175"/>
      <c r="AF163" s="2175"/>
      <c r="AG163" s="2176"/>
      <c r="AH163" s="1207"/>
      <c r="AI163" s="1207"/>
      <c r="AJ163" s="1207"/>
      <c r="AK163" s="1207"/>
      <c r="AL163" s="1207"/>
      <c r="AM163" s="1207"/>
      <c r="AN163" s="1207"/>
      <c r="AO163" s="1207"/>
      <c r="AP163" s="1207"/>
      <c r="AQ163" s="1207"/>
      <c r="AR163" s="1207"/>
      <c r="AS163" s="1207"/>
      <c r="AT163" s="1207"/>
      <c r="AU163" s="1207"/>
      <c r="AV163" s="1207"/>
      <c r="AW163" s="1207"/>
      <c r="AX163" s="1207"/>
      <c r="AY163" s="1207"/>
      <c r="AZ163" s="1207"/>
      <c r="BA163" s="1207"/>
      <c r="BB163" s="1207"/>
      <c r="BC163" s="1207"/>
      <c r="BD163" s="1207"/>
      <c r="BE163" s="1214"/>
    </row>
    <row r="164" spans="1:57" ht="15.75" customHeight="1">
      <c r="A164" s="1207"/>
      <c r="B164" s="1207"/>
      <c r="C164" s="2169" t="s">
        <v>169</v>
      </c>
      <c r="D164" s="2170"/>
      <c r="E164" s="2170"/>
      <c r="F164" s="2177" t="s">
        <v>2256</v>
      </c>
      <c r="G164" s="2177"/>
      <c r="H164" s="2177"/>
      <c r="I164" s="2177"/>
      <c r="J164" s="2177"/>
      <c r="K164" s="2177"/>
      <c r="L164" s="2177"/>
      <c r="M164" s="2177"/>
      <c r="N164" s="2177"/>
      <c r="O164" s="2177"/>
      <c r="P164" s="2177"/>
      <c r="Q164" s="2171">
        <v>55</v>
      </c>
      <c r="R164" s="2171"/>
      <c r="S164" s="2171"/>
      <c r="T164" s="2173"/>
      <c r="U164" s="2173"/>
      <c r="V164" s="2173"/>
      <c r="W164" s="2173"/>
      <c r="X164" s="2173"/>
      <c r="Y164" s="2173"/>
      <c r="Z164" s="2173"/>
      <c r="AA164" s="2173"/>
      <c r="AB164" s="2175">
        <v>0</v>
      </c>
      <c r="AC164" s="2175"/>
      <c r="AD164" s="2175"/>
      <c r="AE164" s="2175"/>
      <c r="AF164" s="2175"/>
      <c r="AG164" s="2176"/>
      <c r="AH164" s="1207"/>
      <c r="AI164" s="1207"/>
      <c r="AJ164" s="1207"/>
      <c r="AK164" s="1207" t="s">
        <v>249</v>
      </c>
      <c r="AL164" s="1207"/>
      <c r="AM164" s="1207"/>
      <c r="AN164" s="1207"/>
      <c r="AO164" s="1207"/>
      <c r="AP164" s="1207"/>
      <c r="AQ164" s="1207"/>
      <c r="AR164" s="1207"/>
      <c r="AS164" s="1207"/>
      <c r="AT164" s="1207"/>
      <c r="AU164" s="1207"/>
      <c r="AV164" s="1207"/>
      <c r="AW164" s="1207"/>
      <c r="AX164" s="1207"/>
      <c r="AY164" s="1207"/>
      <c r="AZ164" s="1207"/>
      <c r="BA164" s="1207"/>
      <c r="BB164" s="1207"/>
      <c r="BC164" s="1207"/>
      <c r="BD164" s="1207"/>
      <c r="BE164" s="1214"/>
    </row>
    <row r="165" spans="1:57" ht="15.75" customHeight="1" thickBot="1">
      <c r="A165" s="1207"/>
      <c r="B165" s="1207"/>
      <c r="C165" s="2178" t="s">
        <v>169</v>
      </c>
      <c r="D165" s="2179"/>
      <c r="E165" s="2179"/>
      <c r="F165" s="2180" t="s">
        <v>2256</v>
      </c>
      <c r="G165" s="2180"/>
      <c r="H165" s="2180"/>
      <c r="I165" s="2180"/>
      <c r="J165" s="2180"/>
      <c r="K165" s="2180"/>
      <c r="L165" s="2180"/>
      <c r="M165" s="2180"/>
      <c r="N165" s="2180"/>
      <c r="O165" s="2180"/>
      <c r="P165" s="2180"/>
      <c r="Q165" s="2181">
        <v>55</v>
      </c>
      <c r="R165" s="2181"/>
      <c r="S165" s="2181"/>
      <c r="T165" s="2182"/>
      <c r="U165" s="2182"/>
      <c r="V165" s="2182"/>
      <c r="W165" s="2182"/>
      <c r="X165" s="2182"/>
      <c r="Y165" s="2182"/>
      <c r="Z165" s="2182"/>
      <c r="AA165" s="2182"/>
      <c r="AB165" s="2183">
        <v>0</v>
      </c>
      <c r="AC165" s="2183"/>
      <c r="AD165" s="2183"/>
      <c r="AE165" s="2183"/>
      <c r="AF165" s="2183"/>
      <c r="AG165" s="2184"/>
      <c r="AH165" s="1207"/>
      <c r="AI165" s="1207"/>
      <c r="AJ165" s="1207"/>
      <c r="AK165" s="1207"/>
      <c r="AL165" s="1207"/>
      <c r="AM165" s="1207"/>
      <c r="AN165" s="1207"/>
      <c r="AO165" s="1207"/>
      <c r="AP165" s="1207"/>
      <c r="AQ165" s="1207"/>
      <c r="AR165" s="1207"/>
      <c r="AS165" s="1207"/>
      <c r="AT165" s="1207"/>
      <c r="AU165" s="1207"/>
      <c r="AV165" s="1207"/>
      <c r="AW165" s="1207"/>
      <c r="AX165" s="1207"/>
      <c r="AY165" s="1207"/>
      <c r="AZ165" s="1207"/>
      <c r="BA165" s="1207"/>
      <c r="BB165" s="1207"/>
      <c r="BC165" s="1207"/>
      <c r="BD165" s="1207"/>
      <c r="BE165" s="1214"/>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1207"/>
      <c r="AI166" s="1207"/>
      <c r="AJ166" s="1207"/>
      <c r="AK166" s="1207"/>
      <c r="AL166" s="1207"/>
      <c r="AM166" s="1207"/>
      <c r="AN166" s="1207"/>
      <c r="AO166" s="1207"/>
      <c r="AP166" s="1207"/>
      <c r="AQ166" s="1207"/>
      <c r="AR166" s="1207"/>
      <c r="AS166" s="1207"/>
      <c r="AT166" s="1207"/>
      <c r="AU166" s="1207"/>
      <c r="AV166" s="1207"/>
      <c r="AW166" s="1207"/>
      <c r="AX166" s="1207"/>
      <c r="AY166" s="1207"/>
      <c r="AZ166" s="1207"/>
      <c r="BA166" s="1207"/>
      <c r="BB166" s="1207"/>
      <c r="BC166" s="1207"/>
      <c r="BD166" s="1207"/>
      <c r="BE166" s="1214"/>
    </row>
    <row r="167" spans="1:57" ht="15.75" customHeight="1">
      <c r="A167" s="1207"/>
      <c r="B167" s="1207"/>
      <c r="C167" s="2081" t="s">
        <v>2274</v>
      </c>
      <c r="D167" s="2082"/>
      <c r="E167" s="2082"/>
      <c r="F167" s="2082"/>
      <c r="G167" s="2082"/>
      <c r="H167" s="2082"/>
      <c r="I167" s="2082"/>
      <c r="J167" s="2082"/>
      <c r="K167" s="2082"/>
      <c r="L167" s="2082"/>
      <c r="M167" s="2082"/>
      <c r="N167" s="2120"/>
      <c r="O167" s="1207"/>
      <c r="P167" s="2185" t="s">
        <v>2273</v>
      </c>
      <c r="Q167" s="2186"/>
      <c r="R167" s="2186"/>
      <c r="S167" s="2186"/>
      <c r="T167" s="2186"/>
      <c r="U167" s="2186"/>
      <c r="V167" s="2186"/>
      <c r="W167" s="2186"/>
      <c r="X167" s="2186"/>
      <c r="Y167" s="2186"/>
      <c r="Z167" s="2186"/>
      <c r="AA167" s="2186"/>
      <c r="AB167" s="2186"/>
      <c r="AC167" s="2186"/>
      <c r="AD167" s="2186"/>
      <c r="AE167" s="2186"/>
      <c r="AF167" s="2186"/>
      <c r="AG167" s="2186"/>
      <c r="AH167" s="2186"/>
      <c r="AI167" s="2186"/>
      <c r="AJ167" s="2186"/>
      <c r="AK167" s="2186"/>
      <c r="AL167" s="2186"/>
      <c r="AM167" s="2186"/>
      <c r="AN167" s="2186"/>
      <c r="AO167" s="2187"/>
      <c r="AP167" s="1207"/>
      <c r="AQ167" s="1207"/>
      <c r="AR167" s="1207"/>
      <c r="AS167" s="1207"/>
      <c r="AT167" s="1207"/>
      <c r="AU167" s="1207"/>
      <c r="AV167" s="1207"/>
      <c r="AW167" s="1207"/>
      <c r="AX167" s="1207"/>
      <c r="AY167" s="1207"/>
      <c r="AZ167" s="1207"/>
      <c r="BA167" s="1207"/>
      <c r="BB167" s="1207"/>
      <c r="BC167" s="1207"/>
      <c r="BD167" s="1207"/>
      <c r="BE167" s="1214"/>
    </row>
    <row r="168" spans="1:57" ht="15.75" customHeight="1">
      <c r="A168" s="1207"/>
      <c r="B168" s="1207"/>
      <c r="C168" s="2163" t="s">
        <v>2272</v>
      </c>
      <c r="D168" s="2164"/>
      <c r="E168" s="2164"/>
      <c r="F168" s="2164"/>
      <c r="G168" s="2164"/>
      <c r="H168" s="2164"/>
      <c r="I168" s="2164" t="s">
        <v>2271</v>
      </c>
      <c r="J168" s="2164"/>
      <c r="K168" s="2164"/>
      <c r="L168" s="2164"/>
      <c r="M168" s="2164"/>
      <c r="N168" s="2174"/>
      <c r="O168" s="1207"/>
      <c r="P168" s="2085" t="s">
        <v>2270</v>
      </c>
      <c r="Q168" s="2086"/>
      <c r="R168" s="2086"/>
      <c r="S168" s="2086"/>
      <c r="T168" s="2086"/>
      <c r="U168" s="2086"/>
      <c r="V168" s="2086"/>
      <c r="W168" s="2086"/>
      <c r="X168" s="2086"/>
      <c r="Y168" s="2086"/>
      <c r="Z168" s="2086"/>
      <c r="AA168" s="2086"/>
      <c r="AB168" s="2086"/>
      <c r="AC168" s="2086"/>
      <c r="AD168" s="2086"/>
      <c r="AE168" s="2086"/>
      <c r="AF168" s="2086"/>
      <c r="AG168" s="2086"/>
      <c r="AH168" s="2086"/>
      <c r="AI168" s="2086"/>
      <c r="AJ168" s="2086"/>
      <c r="AK168" s="2086"/>
      <c r="AL168" s="2086"/>
      <c r="AM168" s="2086"/>
      <c r="AN168" s="2086"/>
      <c r="AO168" s="2087"/>
      <c r="AP168" s="1207"/>
      <c r="AQ168" s="1207"/>
      <c r="AR168" s="1207"/>
      <c r="AS168" s="1207"/>
      <c r="AT168" s="1207"/>
      <c r="AU168" s="1207"/>
      <c r="AV168" s="1207"/>
      <c r="AW168" s="1207"/>
      <c r="AX168" s="1207"/>
      <c r="AY168" s="1207"/>
      <c r="AZ168" s="1207"/>
      <c r="BA168" s="1207"/>
      <c r="BB168" s="1207"/>
      <c r="BC168" s="1207"/>
      <c r="BD168" s="1207"/>
      <c r="BE168" s="1214"/>
    </row>
    <row r="169" spans="1:57" ht="15.75" customHeight="1">
      <c r="A169" s="1207"/>
      <c r="B169" s="1207"/>
      <c r="C169" s="2091"/>
      <c r="D169" s="2041"/>
      <c r="E169" s="2041"/>
      <c r="F169" s="2041"/>
      <c r="G169" s="2041"/>
      <c r="H169" s="2041"/>
      <c r="I169" s="2172"/>
      <c r="J169" s="2172"/>
      <c r="K169" s="2172"/>
      <c r="L169" s="2172"/>
      <c r="M169" s="2172"/>
      <c r="N169" s="2188"/>
      <c r="O169" s="1207"/>
      <c r="P169" s="2085"/>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2086"/>
      <c r="AN169" s="2086"/>
      <c r="AO169" s="2087"/>
      <c r="AP169" s="1207"/>
      <c r="AQ169" s="1207"/>
      <c r="AR169" s="1207"/>
      <c r="AS169" s="1207"/>
      <c r="AT169" s="1207"/>
      <c r="AU169" s="1207"/>
      <c r="AV169" s="1207"/>
      <c r="AW169" s="1207"/>
      <c r="AX169" s="1207"/>
      <c r="AY169" s="1207"/>
      <c r="AZ169" s="1207"/>
      <c r="BA169" s="1207"/>
      <c r="BB169" s="1207"/>
      <c r="BC169" s="1207"/>
      <c r="BD169" s="1207"/>
      <c r="BE169" s="1214"/>
    </row>
    <row r="170" spans="1:57" ht="15.75" customHeight="1">
      <c r="A170" s="1207"/>
      <c r="B170" s="1207"/>
      <c r="C170" s="2091"/>
      <c r="D170" s="2041"/>
      <c r="E170" s="2041"/>
      <c r="F170" s="2041"/>
      <c r="G170" s="2041"/>
      <c r="H170" s="2041"/>
      <c r="I170" s="2172"/>
      <c r="J170" s="2172"/>
      <c r="K170" s="2172"/>
      <c r="L170" s="2172"/>
      <c r="M170" s="2172"/>
      <c r="N170" s="2188"/>
      <c r="O170" s="1207"/>
      <c r="P170" s="2085"/>
      <c r="Q170" s="2086"/>
      <c r="R170" s="2086"/>
      <c r="S170" s="2086"/>
      <c r="T170" s="2086"/>
      <c r="U170" s="2086"/>
      <c r="V170" s="2086"/>
      <c r="W170" s="2086"/>
      <c r="X170" s="2086"/>
      <c r="Y170" s="2086"/>
      <c r="Z170" s="2086"/>
      <c r="AA170" s="2086"/>
      <c r="AB170" s="2086"/>
      <c r="AC170" s="2086"/>
      <c r="AD170" s="2086"/>
      <c r="AE170" s="2086"/>
      <c r="AF170" s="2086"/>
      <c r="AG170" s="2086"/>
      <c r="AH170" s="2086"/>
      <c r="AI170" s="2086"/>
      <c r="AJ170" s="2086"/>
      <c r="AK170" s="2086"/>
      <c r="AL170" s="2086"/>
      <c r="AM170" s="2086"/>
      <c r="AN170" s="2086"/>
      <c r="AO170" s="2087"/>
      <c r="AP170" s="1207"/>
      <c r="AQ170" s="1207"/>
      <c r="AR170" s="1207"/>
      <c r="AS170" s="1207"/>
      <c r="AT170" s="1207"/>
      <c r="AU170" s="1207"/>
      <c r="AV170" s="1207"/>
      <c r="AW170" s="1207"/>
      <c r="AX170" s="1207"/>
      <c r="AY170" s="1207"/>
      <c r="AZ170" s="1207"/>
      <c r="BA170" s="1207"/>
      <c r="BB170" s="1207"/>
      <c r="BC170" s="1207"/>
      <c r="BD170" s="1207"/>
      <c r="BE170" s="1214"/>
    </row>
    <row r="171" spans="1:57" ht="15.75" customHeight="1">
      <c r="A171" s="1207"/>
      <c r="B171" s="1207"/>
      <c r="C171" s="2091"/>
      <c r="D171" s="2041"/>
      <c r="E171" s="2041"/>
      <c r="F171" s="2041"/>
      <c r="G171" s="2041"/>
      <c r="H171" s="2041"/>
      <c r="I171" s="2172"/>
      <c r="J171" s="2172"/>
      <c r="K171" s="2172"/>
      <c r="L171" s="2172"/>
      <c r="M171" s="2172"/>
      <c r="N171" s="2188"/>
      <c r="O171" s="1207"/>
      <c r="P171" s="2085"/>
      <c r="Q171" s="2086"/>
      <c r="R171" s="2086"/>
      <c r="S171" s="2086"/>
      <c r="T171" s="2086"/>
      <c r="U171" s="2086"/>
      <c r="V171" s="2086"/>
      <c r="W171" s="2086"/>
      <c r="X171" s="2086"/>
      <c r="Y171" s="2086"/>
      <c r="Z171" s="2086"/>
      <c r="AA171" s="2086"/>
      <c r="AB171" s="2086"/>
      <c r="AC171" s="2086"/>
      <c r="AD171" s="2086"/>
      <c r="AE171" s="2086"/>
      <c r="AF171" s="2086"/>
      <c r="AG171" s="2086"/>
      <c r="AH171" s="2086"/>
      <c r="AI171" s="2086"/>
      <c r="AJ171" s="2086"/>
      <c r="AK171" s="2086"/>
      <c r="AL171" s="2086"/>
      <c r="AM171" s="2086"/>
      <c r="AN171" s="2086"/>
      <c r="AO171" s="2087"/>
      <c r="AP171" s="1207"/>
      <c r="AQ171" s="1207"/>
      <c r="AR171" s="1207"/>
      <c r="AS171" s="1207"/>
      <c r="AT171" s="1207"/>
      <c r="AU171" s="1207"/>
      <c r="AV171" s="1207"/>
      <c r="AW171" s="1207"/>
      <c r="AX171" s="1207"/>
      <c r="AY171" s="1207"/>
      <c r="AZ171" s="1207"/>
      <c r="BA171" s="1207"/>
      <c r="BB171" s="1207"/>
      <c r="BC171" s="1207"/>
      <c r="BD171" s="1207"/>
      <c r="BE171" s="1214"/>
    </row>
    <row r="172" spans="1:57" ht="15.75" customHeight="1">
      <c r="A172" s="1207"/>
      <c r="B172" s="1207"/>
      <c r="C172" s="2091"/>
      <c r="D172" s="2041"/>
      <c r="E172" s="2041"/>
      <c r="F172" s="2041"/>
      <c r="G172" s="2041"/>
      <c r="H172" s="2041"/>
      <c r="I172" s="2172"/>
      <c r="J172" s="2172"/>
      <c r="K172" s="2172"/>
      <c r="L172" s="2172"/>
      <c r="M172" s="2172"/>
      <c r="N172" s="2188"/>
      <c r="O172" s="1207"/>
      <c r="P172" s="2085"/>
      <c r="Q172" s="2086"/>
      <c r="R172" s="2086"/>
      <c r="S172" s="2086"/>
      <c r="T172" s="2086"/>
      <c r="U172" s="2086"/>
      <c r="V172" s="2086"/>
      <c r="W172" s="2086"/>
      <c r="X172" s="2086"/>
      <c r="Y172" s="2086"/>
      <c r="Z172" s="2086"/>
      <c r="AA172" s="2086"/>
      <c r="AB172" s="2086"/>
      <c r="AC172" s="2086"/>
      <c r="AD172" s="2086"/>
      <c r="AE172" s="2086"/>
      <c r="AF172" s="2086"/>
      <c r="AG172" s="2086"/>
      <c r="AH172" s="2086"/>
      <c r="AI172" s="2086"/>
      <c r="AJ172" s="2086"/>
      <c r="AK172" s="2086"/>
      <c r="AL172" s="2086"/>
      <c r="AM172" s="2086"/>
      <c r="AN172" s="2086"/>
      <c r="AO172" s="2087"/>
      <c r="AP172" s="1207"/>
      <c r="AQ172" s="1207"/>
      <c r="AR172" s="1207"/>
      <c r="AS172" s="1207"/>
      <c r="AT172" s="1207"/>
      <c r="AU172" s="1207"/>
      <c r="AV172" s="1207"/>
      <c r="AW172" s="1207"/>
      <c r="AX172" s="1207"/>
      <c r="AY172" s="1207"/>
      <c r="AZ172" s="1207"/>
      <c r="BA172" s="1207"/>
      <c r="BB172" s="1207"/>
      <c r="BC172" s="1207"/>
      <c r="BD172" s="1207"/>
      <c r="BE172" s="1214"/>
    </row>
    <row r="173" spans="1:57" ht="15.75" customHeight="1">
      <c r="A173" s="1207"/>
      <c r="B173" s="1207"/>
      <c r="C173" s="2091"/>
      <c r="D173" s="2041"/>
      <c r="E173" s="2041"/>
      <c r="F173" s="2041"/>
      <c r="G173" s="2041"/>
      <c r="H173" s="2041"/>
      <c r="I173" s="2172"/>
      <c r="J173" s="2172"/>
      <c r="K173" s="2172"/>
      <c r="L173" s="2172"/>
      <c r="M173" s="2172"/>
      <c r="N173" s="2188"/>
      <c r="O173" s="1207"/>
      <c r="P173" s="2085"/>
      <c r="Q173" s="2086"/>
      <c r="R173" s="2086"/>
      <c r="S173" s="2086"/>
      <c r="T173" s="2086"/>
      <c r="U173" s="2086"/>
      <c r="V173" s="2086"/>
      <c r="W173" s="2086"/>
      <c r="X173" s="2086"/>
      <c r="Y173" s="2086"/>
      <c r="Z173" s="2086"/>
      <c r="AA173" s="2086"/>
      <c r="AB173" s="2086"/>
      <c r="AC173" s="2086"/>
      <c r="AD173" s="2086"/>
      <c r="AE173" s="2086"/>
      <c r="AF173" s="2086"/>
      <c r="AG173" s="2086"/>
      <c r="AH173" s="2086"/>
      <c r="AI173" s="2086"/>
      <c r="AJ173" s="2086"/>
      <c r="AK173" s="2086"/>
      <c r="AL173" s="2086"/>
      <c r="AM173" s="2086"/>
      <c r="AN173" s="2086"/>
      <c r="AO173" s="2087"/>
      <c r="AP173" s="1207"/>
      <c r="AQ173" s="1207"/>
      <c r="AR173" s="1207"/>
      <c r="AS173" s="1207"/>
      <c r="AT173" s="1207"/>
      <c r="AU173" s="1207"/>
      <c r="AV173" s="1207"/>
      <c r="AW173" s="1207"/>
      <c r="AX173" s="1207"/>
      <c r="AY173" s="1207"/>
      <c r="AZ173" s="1207"/>
      <c r="BA173" s="1207"/>
      <c r="BB173" s="1207"/>
      <c r="BC173" s="1207"/>
      <c r="BD173" s="1207"/>
      <c r="BE173" s="1214"/>
    </row>
    <row r="174" spans="1:57" ht="15.75" customHeight="1">
      <c r="A174" s="1207"/>
      <c r="B174" s="1207"/>
      <c r="C174" s="2091"/>
      <c r="D174" s="2041"/>
      <c r="E174" s="2041"/>
      <c r="F174" s="2041"/>
      <c r="G174" s="2041"/>
      <c r="H174" s="2041"/>
      <c r="I174" s="2172"/>
      <c r="J174" s="2172"/>
      <c r="K174" s="2172"/>
      <c r="L174" s="2172"/>
      <c r="M174" s="2172"/>
      <c r="N174" s="2188"/>
      <c r="O174" s="1207"/>
      <c r="P174" s="2085"/>
      <c r="Q174" s="2086"/>
      <c r="R174" s="2086"/>
      <c r="S174" s="2086"/>
      <c r="T174" s="2086"/>
      <c r="U174" s="2086"/>
      <c r="V174" s="2086"/>
      <c r="W174" s="2086"/>
      <c r="X174" s="2086"/>
      <c r="Y174" s="2086"/>
      <c r="Z174" s="2086"/>
      <c r="AA174" s="2086"/>
      <c r="AB174" s="2086"/>
      <c r="AC174" s="2086"/>
      <c r="AD174" s="2086"/>
      <c r="AE174" s="2086"/>
      <c r="AF174" s="2086"/>
      <c r="AG174" s="2086"/>
      <c r="AH174" s="2086"/>
      <c r="AI174" s="2086"/>
      <c r="AJ174" s="2086"/>
      <c r="AK174" s="2086"/>
      <c r="AL174" s="2086"/>
      <c r="AM174" s="2086"/>
      <c r="AN174" s="2086"/>
      <c r="AO174" s="2087"/>
      <c r="AP174" s="1207"/>
      <c r="AQ174" s="1207"/>
      <c r="AR174" s="1207"/>
      <c r="AS174" s="1207"/>
      <c r="AT174" s="1207"/>
      <c r="AU174" s="1207"/>
      <c r="AV174" s="1207"/>
      <c r="AW174" s="1207"/>
      <c r="AX174" s="1207"/>
      <c r="AY174" s="1207"/>
      <c r="AZ174" s="1207"/>
      <c r="BA174" s="1207"/>
      <c r="BB174" s="1207"/>
      <c r="BC174" s="1207"/>
      <c r="BD174" s="1207"/>
      <c r="BE174" s="1214"/>
    </row>
    <row r="175" spans="1:57" ht="15.75" customHeight="1" thickBot="1">
      <c r="A175" s="1207"/>
      <c r="B175" s="1207"/>
      <c r="C175" s="2189"/>
      <c r="D175" s="2190"/>
      <c r="E175" s="2190"/>
      <c r="F175" s="2190"/>
      <c r="G175" s="2190"/>
      <c r="H175" s="2190"/>
      <c r="I175" s="2191"/>
      <c r="J175" s="2191"/>
      <c r="K175" s="2191"/>
      <c r="L175" s="2191"/>
      <c r="M175" s="2191"/>
      <c r="N175" s="2192"/>
      <c r="O175" s="1207"/>
      <c r="P175" s="2088"/>
      <c r="Q175" s="2089"/>
      <c r="R175" s="2089"/>
      <c r="S175" s="2089"/>
      <c r="T175" s="2089"/>
      <c r="U175" s="2089"/>
      <c r="V175" s="2089"/>
      <c r="W175" s="2089"/>
      <c r="X175" s="2089"/>
      <c r="Y175" s="2089"/>
      <c r="Z175" s="2089"/>
      <c r="AA175" s="2089"/>
      <c r="AB175" s="2089"/>
      <c r="AC175" s="2089"/>
      <c r="AD175" s="2089"/>
      <c r="AE175" s="2089"/>
      <c r="AF175" s="2089"/>
      <c r="AG175" s="2089"/>
      <c r="AH175" s="2089"/>
      <c r="AI175" s="2089"/>
      <c r="AJ175" s="2089"/>
      <c r="AK175" s="2089"/>
      <c r="AL175" s="2089"/>
      <c r="AM175" s="2089"/>
      <c r="AN175" s="2089"/>
      <c r="AO175" s="2090"/>
      <c r="AP175" s="1207"/>
      <c r="AQ175" s="1207"/>
      <c r="AR175" s="1207"/>
      <c r="AS175" s="1207"/>
      <c r="AT175" s="1207"/>
      <c r="AU175" s="1207"/>
      <c r="AV175" s="1207"/>
      <c r="AW175" s="1207"/>
      <c r="AX175" s="1207"/>
      <c r="AY175" s="1207"/>
      <c r="AZ175" s="1207"/>
      <c r="BA175" s="1207"/>
      <c r="BB175" s="1207"/>
      <c r="BC175" s="1207"/>
      <c r="BD175" s="1207"/>
      <c r="BE175" s="1214"/>
    </row>
    <row r="176" spans="1:57" ht="15.75" customHeight="1" thickBot="1">
      <c r="A176" s="1207"/>
      <c r="B176" s="1207"/>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07"/>
      <c r="BE176" s="1214"/>
    </row>
    <row r="177" spans="1:57" ht="15.75" customHeight="1">
      <c r="A177" s="1207"/>
      <c r="B177" s="1207"/>
      <c r="C177" s="2196" t="s">
        <v>2269</v>
      </c>
      <c r="D177" s="2197"/>
      <c r="E177" s="2197"/>
      <c r="F177" s="2197"/>
      <c r="G177" s="2197"/>
      <c r="H177" s="2197"/>
      <c r="I177" s="2197"/>
      <c r="J177" s="2197"/>
      <c r="K177" s="2197"/>
      <c r="L177" s="2197"/>
      <c r="M177" s="2197"/>
      <c r="N177" s="2197"/>
      <c r="O177" s="2197"/>
      <c r="P177" s="2197"/>
      <c r="Q177" s="2197"/>
      <c r="R177" s="2197"/>
      <c r="S177" s="2197"/>
      <c r="T177" s="2197"/>
      <c r="U177" s="2197"/>
      <c r="V177" s="2197"/>
      <c r="W177" s="2197"/>
      <c r="X177" s="2197"/>
      <c r="Y177" s="2197"/>
      <c r="Z177" s="2197"/>
      <c r="AA177" s="2197"/>
      <c r="AB177" s="2197"/>
      <c r="AC177" s="2197"/>
      <c r="AD177" s="2197"/>
      <c r="AE177" s="2198"/>
      <c r="AF177" s="1207"/>
      <c r="AG177" s="1207"/>
      <c r="AH177" s="2206"/>
      <c r="AI177" s="2206"/>
      <c r="AJ177" s="2206"/>
      <c r="AK177" s="2206"/>
      <c r="AL177" s="2206"/>
      <c r="AM177" s="2206"/>
      <c r="AN177" s="2206"/>
      <c r="AO177" s="2206"/>
      <c r="AP177" s="2206"/>
      <c r="AQ177" s="2206"/>
      <c r="AR177" s="2206"/>
      <c r="AS177" s="2206"/>
      <c r="AT177" s="2206"/>
      <c r="AU177" s="2206"/>
      <c r="AV177" s="2206"/>
      <c r="AW177" s="2206"/>
      <c r="AX177" s="2206"/>
      <c r="AY177" s="2206"/>
      <c r="AZ177" s="2206"/>
      <c r="BA177" s="2206"/>
      <c r="BB177" s="2206"/>
      <c r="BC177" s="2206"/>
      <c r="BD177" s="2206"/>
      <c r="BE177" s="2206"/>
    </row>
    <row r="178" spans="1:57" ht="15.75" customHeight="1" thickBot="1">
      <c r="A178" s="1207"/>
      <c r="B178" s="1207"/>
      <c r="C178" s="2199"/>
      <c r="D178" s="2200"/>
      <c r="E178" s="2200"/>
      <c r="F178" s="2200"/>
      <c r="G178" s="2200"/>
      <c r="H178" s="2200"/>
      <c r="I178" s="2200"/>
      <c r="J178" s="2200"/>
      <c r="K178" s="2200"/>
      <c r="L178" s="2200"/>
      <c r="M178" s="2200"/>
      <c r="N178" s="2200"/>
      <c r="O178" s="2200"/>
      <c r="P178" s="2200"/>
      <c r="Q178" s="2200"/>
      <c r="R178" s="2200"/>
      <c r="S178" s="2200"/>
      <c r="T178" s="2200"/>
      <c r="U178" s="2200"/>
      <c r="V178" s="2200"/>
      <c r="W178" s="2200"/>
      <c r="X178" s="2200"/>
      <c r="Y178" s="2200"/>
      <c r="Z178" s="2200"/>
      <c r="AA178" s="2200"/>
      <c r="AB178" s="2200"/>
      <c r="AC178" s="2200"/>
      <c r="AD178" s="2200"/>
      <c r="AE178" s="2201"/>
      <c r="AF178" s="1207"/>
      <c r="AG178" s="1207"/>
      <c r="AH178" s="2206"/>
      <c r="AI178" s="2206"/>
      <c r="AJ178" s="2206"/>
      <c r="AK178" s="2206"/>
      <c r="AL178" s="2206"/>
      <c r="AM178" s="2206"/>
      <c r="AN178" s="2206"/>
      <c r="AO178" s="2206"/>
      <c r="AP178" s="2206"/>
      <c r="AQ178" s="2206"/>
      <c r="AR178" s="2206"/>
      <c r="AS178" s="2206"/>
      <c r="AT178" s="2206"/>
      <c r="AU178" s="2206"/>
      <c r="AV178" s="2206"/>
      <c r="AW178" s="2206"/>
      <c r="AX178" s="2206"/>
      <c r="AY178" s="2206"/>
      <c r="AZ178" s="2206"/>
      <c r="BA178" s="2206"/>
      <c r="BB178" s="2206"/>
      <c r="BC178" s="2206"/>
      <c r="BD178" s="2206"/>
      <c r="BE178" s="2206"/>
    </row>
    <row r="179" spans="1:57" ht="15.75" customHeight="1">
      <c r="A179" s="1207"/>
      <c r="B179" s="1207"/>
      <c r="C179" s="2081" t="s">
        <v>2267</v>
      </c>
      <c r="D179" s="2082"/>
      <c r="E179" s="2082"/>
      <c r="F179" s="2082"/>
      <c r="G179" s="2082"/>
      <c r="H179" s="2082"/>
      <c r="I179" s="2082"/>
      <c r="J179" s="2082"/>
      <c r="K179" s="2082"/>
      <c r="L179" s="2082"/>
      <c r="M179" s="2082"/>
      <c r="N179" s="2082" t="s">
        <v>2268</v>
      </c>
      <c r="O179" s="2082"/>
      <c r="P179" s="2082"/>
      <c r="Q179" s="2082"/>
      <c r="R179" s="2082"/>
      <c r="S179" s="2082"/>
      <c r="T179" s="2082"/>
      <c r="U179" s="2035" t="s">
        <v>2267</v>
      </c>
      <c r="V179" s="2035"/>
      <c r="W179" s="2035"/>
      <c r="X179" s="2035"/>
      <c r="Y179" s="2035"/>
      <c r="Z179" s="2035"/>
      <c r="AA179" s="2035"/>
      <c r="AB179" s="2035"/>
      <c r="AC179" s="2035"/>
      <c r="AD179" s="2035"/>
      <c r="AE179" s="2036"/>
      <c r="AF179" s="1207"/>
      <c r="AG179" s="1207"/>
      <c r="AH179" s="2206"/>
      <c r="AI179" s="2206"/>
      <c r="AJ179" s="2206"/>
      <c r="AK179" s="2206"/>
      <c r="AL179" s="2206"/>
      <c r="AM179" s="2206"/>
      <c r="AN179" s="2206"/>
      <c r="AO179" s="2206"/>
      <c r="AP179" s="2206"/>
      <c r="AQ179" s="2206"/>
      <c r="AR179" s="2206"/>
      <c r="AS179" s="2206"/>
      <c r="AT179" s="2206"/>
      <c r="AU179" s="2206"/>
      <c r="AV179" s="2206"/>
      <c r="AW179" s="2206"/>
      <c r="AX179" s="2206"/>
      <c r="AY179" s="2206"/>
      <c r="AZ179" s="2206"/>
      <c r="BA179" s="2206"/>
      <c r="BB179" s="2206"/>
      <c r="BC179" s="2206"/>
      <c r="BD179" s="2206"/>
      <c r="BE179" s="2206"/>
    </row>
    <row r="180" spans="1:57" ht="15.75" customHeight="1">
      <c r="A180" s="1207"/>
      <c r="B180" s="1207"/>
      <c r="C180" s="2193" t="s">
        <v>2266</v>
      </c>
      <c r="D180" s="2194"/>
      <c r="E180" s="2194"/>
      <c r="F180" s="2194"/>
      <c r="G180" s="2194"/>
      <c r="H180" s="2194"/>
      <c r="I180" s="2194"/>
      <c r="J180" s="2194"/>
      <c r="K180" s="2194"/>
      <c r="L180" s="2194"/>
      <c r="M180" s="2194"/>
      <c r="N180" s="2195">
        <f>'Sources and Uses Budget'!B105</f>
        <v>107547654</v>
      </c>
      <c r="O180" s="2195"/>
      <c r="P180" s="2195"/>
      <c r="Q180" s="2195"/>
      <c r="R180" s="2195"/>
      <c r="S180" s="2195"/>
      <c r="T180" s="2195"/>
      <c r="U180" s="2207"/>
      <c r="V180" s="2207"/>
      <c r="W180" s="2207"/>
      <c r="X180" s="2207"/>
      <c r="Y180" s="2207"/>
      <c r="Z180" s="2207"/>
      <c r="AA180" s="2207"/>
      <c r="AB180" s="2207"/>
      <c r="AC180" s="2207"/>
      <c r="AD180" s="2207"/>
      <c r="AE180" s="2208"/>
      <c r="AF180" s="1207"/>
      <c r="AG180" s="1207"/>
      <c r="AH180" s="2206"/>
      <c r="AI180" s="2206"/>
      <c r="AJ180" s="2206"/>
      <c r="AK180" s="2206"/>
      <c r="AL180" s="2206"/>
      <c r="AM180" s="2206"/>
      <c r="AN180" s="2206"/>
      <c r="AO180" s="2206"/>
      <c r="AP180" s="2206"/>
      <c r="AQ180" s="2206"/>
      <c r="AR180" s="2206"/>
      <c r="AS180" s="2206"/>
      <c r="AT180" s="2206"/>
      <c r="AU180" s="2206"/>
      <c r="AV180" s="2206"/>
      <c r="AW180" s="2206"/>
      <c r="AX180" s="2206"/>
      <c r="AY180" s="2206"/>
      <c r="AZ180" s="2206"/>
      <c r="BA180" s="2206"/>
      <c r="BB180" s="2206"/>
      <c r="BC180" s="2206"/>
      <c r="BD180" s="2206"/>
      <c r="BE180" s="2206"/>
    </row>
    <row r="181" spans="1:57" ht="15.75" customHeight="1">
      <c r="A181" s="1207"/>
      <c r="B181" s="1207"/>
      <c r="C181" s="2193" t="s">
        <v>2265</v>
      </c>
      <c r="D181" s="2194"/>
      <c r="E181" s="2194"/>
      <c r="F181" s="2194"/>
      <c r="G181" s="2194"/>
      <c r="H181" s="2194"/>
      <c r="I181" s="2194"/>
      <c r="J181" s="2194"/>
      <c r="K181" s="2194"/>
      <c r="L181" s="2194"/>
      <c r="M181" s="2194"/>
      <c r="N181" s="2195">
        <f>N180/J29</f>
        <v>867319.79032258061</v>
      </c>
      <c r="O181" s="2195"/>
      <c r="P181" s="2195"/>
      <c r="Q181" s="2195"/>
      <c r="R181" s="2195"/>
      <c r="S181" s="2195"/>
      <c r="T181" s="2195"/>
      <c r="U181" s="1247"/>
      <c r="V181" s="1247"/>
      <c r="W181" s="1247"/>
      <c r="X181" s="1247"/>
      <c r="Y181" s="1247"/>
      <c r="Z181" s="1247"/>
      <c r="AA181" s="1247"/>
      <c r="AB181" s="1247"/>
      <c r="AC181" s="1247"/>
      <c r="AD181" s="1247"/>
      <c r="AE181" s="1248"/>
      <c r="AF181" s="1207"/>
      <c r="AG181" s="1207"/>
      <c r="AH181" s="2206"/>
      <c r="AI181" s="2206"/>
      <c r="AJ181" s="2206"/>
      <c r="AK181" s="2206"/>
      <c r="AL181" s="2206"/>
      <c r="AM181" s="2206"/>
      <c r="AN181" s="2206"/>
      <c r="AO181" s="2206"/>
      <c r="AP181" s="2206"/>
      <c r="AQ181" s="2206"/>
      <c r="AR181" s="2206"/>
      <c r="AS181" s="2206"/>
      <c r="AT181" s="2206"/>
      <c r="AU181" s="2206"/>
      <c r="AV181" s="2206"/>
      <c r="AW181" s="2206"/>
      <c r="AX181" s="2206"/>
      <c r="AY181" s="2206"/>
      <c r="AZ181" s="2206"/>
      <c r="BA181" s="2206"/>
      <c r="BB181" s="2206"/>
      <c r="BC181" s="2206"/>
      <c r="BD181" s="2206"/>
      <c r="BE181" s="2206"/>
    </row>
    <row r="182" spans="1:57" ht="15.75" customHeight="1">
      <c r="A182" s="1207"/>
      <c r="B182" s="1207"/>
      <c r="C182" s="2209" t="s">
        <v>2264</v>
      </c>
      <c r="D182" s="2210"/>
      <c r="E182" s="2210"/>
      <c r="F182" s="2210"/>
      <c r="G182" s="2210"/>
      <c r="H182" s="2210"/>
      <c r="I182" s="2210"/>
      <c r="J182" s="2210"/>
      <c r="K182" s="2210"/>
      <c r="L182" s="2210"/>
      <c r="M182" s="2210"/>
      <c r="N182" s="2075">
        <v>0</v>
      </c>
      <c r="O182" s="2075"/>
      <c r="P182" s="2075"/>
      <c r="Q182" s="2075"/>
      <c r="R182" s="2075"/>
      <c r="S182" s="2075"/>
      <c r="T182" s="2075"/>
      <c r="U182" s="2053"/>
      <c r="V182" s="2053"/>
      <c r="W182" s="2053"/>
      <c r="X182" s="2053"/>
      <c r="Y182" s="2053"/>
      <c r="Z182" s="2053"/>
      <c r="AA182" s="2053"/>
      <c r="AB182" s="2053"/>
      <c r="AC182" s="2053"/>
      <c r="AD182" s="2053"/>
      <c r="AE182" s="2054"/>
      <c r="AF182" s="1207"/>
      <c r="AG182" s="1207"/>
      <c r="AH182" s="2206"/>
      <c r="AI182" s="2206"/>
      <c r="AJ182" s="2206"/>
      <c r="AK182" s="2206"/>
      <c r="AL182" s="2206"/>
      <c r="AM182" s="2206"/>
      <c r="AN182" s="2206"/>
      <c r="AO182" s="2206"/>
      <c r="AP182" s="2206"/>
      <c r="AQ182" s="2206"/>
      <c r="AR182" s="2206"/>
      <c r="AS182" s="2206"/>
      <c r="AT182" s="2206"/>
      <c r="AU182" s="2206"/>
      <c r="AV182" s="2206"/>
      <c r="AW182" s="2206"/>
      <c r="AX182" s="2206"/>
      <c r="AY182" s="2206"/>
      <c r="AZ182" s="2206"/>
      <c r="BA182" s="2206"/>
      <c r="BB182" s="2206"/>
      <c r="BC182" s="2206"/>
      <c r="BD182" s="2206"/>
      <c r="BE182" s="2206"/>
    </row>
    <row r="183" spans="1:57" ht="15.75" customHeight="1" thickBot="1">
      <c r="A183" s="1207"/>
      <c r="B183" s="1207"/>
      <c r="C183" s="2193" t="s">
        <v>2263</v>
      </c>
      <c r="D183" s="2194"/>
      <c r="E183" s="2194"/>
      <c r="F183" s="2194"/>
      <c r="G183" s="2194"/>
      <c r="H183" s="2194"/>
      <c r="I183" s="2194"/>
      <c r="J183" s="2194"/>
      <c r="K183" s="2194"/>
      <c r="L183" s="2194"/>
      <c r="M183" s="2194"/>
      <c r="N183" s="2211">
        <f>SUM('Sources and Uses Budget'!B85:B86)</f>
        <v>1405540</v>
      </c>
      <c r="O183" s="2211"/>
      <c r="P183" s="2211"/>
      <c r="Q183" s="2211"/>
      <c r="R183" s="2211"/>
      <c r="S183" s="2211"/>
      <c r="T183" s="2211"/>
      <c r="U183" s="2053"/>
      <c r="V183" s="2053"/>
      <c r="W183" s="2053"/>
      <c r="X183" s="2053"/>
      <c r="Y183" s="2053"/>
      <c r="Z183" s="2053"/>
      <c r="AA183" s="2053"/>
      <c r="AB183" s="2053"/>
      <c r="AC183" s="2053"/>
      <c r="AD183" s="2053"/>
      <c r="AE183" s="2054"/>
      <c r="AF183" s="1207"/>
      <c r="AG183" s="1207"/>
      <c r="AH183" s="2206"/>
      <c r="AI183" s="2206"/>
      <c r="AJ183" s="2206"/>
      <c r="AK183" s="2206"/>
      <c r="AL183" s="2206"/>
      <c r="AM183" s="2206"/>
      <c r="AN183" s="2206"/>
      <c r="AO183" s="2206"/>
      <c r="AP183" s="2206"/>
      <c r="AQ183" s="2206"/>
      <c r="AR183" s="2206"/>
      <c r="AS183" s="2206"/>
      <c r="AT183" s="2206"/>
      <c r="AU183" s="2206"/>
      <c r="AV183" s="2206"/>
      <c r="AW183" s="2206"/>
      <c r="AX183" s="2206"/>
      <c r="AY183" s="2206"/>
      <c r="AZ183" s="2206"/>
      <c r="BA183" s="2206"/>
      <c r="BB183" s="2206"/>
      <c r="BC183" s="2206"/>
      <c r="BD183" s="2206"/>
      <c r="BE183" s="2206"/>
    </row>
    <row r="184" spans="1:57" ht="15.75" customHeight="1" thickBot="1">
      <c r="A184" s="1207"/>
      <c r="B184" s="1207"/>
      <c r="C184" s="2193" t="s">
        <v>2262</v>
      </c>
      <c r="D184" s="2194"/>
      <c r="E184" s="2194"/>
      <c r="F184" s="2194"/>
      <c r="G184" s="2194"/>
      <c r="H184" s="2194"/>
      <c r="I184" s="2194"/>
      <c r="J184" s="2194"/>
      <c r="K184" s="2194"/>
      <c r="L184" s="2194"/>
      <c r="M184" s="2194"/>
      <c r="N184" s="2211">
        <f>'Sources and Uses Budget'!B8</f>
        <v>35000</v>
      </c>
      <c r="O184" s="2211"/>
      <c r="P184" s="2211"/>
      <c r="Q184" s="2211"/>
      <c r="R184" s="2211"/>
      <c r="S184" s="2211"/>
      <c r="T184" s="2211"/>
      <c r="U184" s="2053"/>
      <c r="V184" s="2053"/>
      <c r="W184" s="2053"/>
      <c r="X184" s="2053"/>
      <c r="Y184" s="2053"/>
      <c r="Z184" s="2053"/>
      <c r="AA184" s="2053"/>
      <c r="AB184" s="2053"/>
      <c r="AC184" s="2053"/>
      <c r="AD184" s="2053"/>
      <c r="AE184" s="2054"/>
      <c r="AF184" s="1207"/>
      <c r="AG184" s="1207"/>
      <c r="AH184" s="2215" t="s">
        <v>2260</v>
      </c>
      <c r="AI184" s="2216"/>
      <c r="AJ184" s="2216"/>
      <c r="AK184" s="2216"/>
      <c r="AL184" s="2216"/>
      <c r="AM184" s="2216"/>
      <c r="AN184" s="2216"/>
      <c r="AO184" s="2216"/>
      <c r="AP184" s="2216"/>
      <c r="AQ184" s="2216"/>
      <c r="AR184" s="2216"/>
      <c r="AS184" s="2216"/>
      <c r="AT184" s="2216"/>
      <c r="AU184" s="2216"/>
      <c r="AV184" s="2216"/>
      <c r="AW184" s="2216"/>
      <c r="AX184" s="2216"/>
      <c r="AY184" s="2216"/>
      <c r="AZ184" s="2216"/>
      <c r="BA184" s="2216"/>
      <c r="BB184" s="2216"/>
      <c r="BC184" s="2216"/>
      <c r="BD184" s="2216"/>
      <c r="BE184" s="2217"/>
    </row>
    <row r="185" spans="1:57" ht="15.75" customHeight="1">
      <c r="A185" s="1207"/>
      <c r="B185" s="1207"/>
      <c r="C185" s="2193" t="s">
        <v>2261</v>
      </c>
      <c r="D185" s="2194"/>
      <c r="E185" s="2194"/>
      <c r="F185" s="2194"/>
      <c r="G185" s="2194"/>
      <c r="H185" s="2194"/>
      <c r="I185" s="2194"/>
      <c r="J185" s="2194"/>
      <c r="K185" s="2194"/>
      <c r="L185" s="2194"/>
      <c r="M185" s="2194"/>
      <c r="N185" s="2202">
        <v>0</v>
      </c>
      <c r="O185" s="2202"/>
      <c r="P185" s="2202"/>
      <c r="Q185" s="2202"/>
      <c r="R185" s="2202"/>
      <c r="S185" s="2202"/>
      <c r="T185" s="2202"/>
      <c r="U185" s="2053"/>
      <c r="V185" s="2053"/>
      <c r="W185" s="2053"/>
      <c r="X185" s="2053"/>
      <c r="Y185" s="2053"/>
      <c r="Z185" s="2053"/>
      <c r="AA185" s="2053"/>
      <c r="AB185" s="2053"/>
      <c r="AC185" s="2053"/>
      <c r="AD185" s="2053"/>
      <c r="AE185" s="2054"/>
      <c r="AF185" s="1207"/>
      <c r="AG185" s="1207"/>
      <c r="AH185" s="2218" t="s">
        <v>2260</v>
      </c>
      <c r="AI185" s="2219"/>
      <c r="AJ185" s="2219"/>
      <c r="AK185" s="2219"/>
      <c r="AL185" s="2219"/>
      <c r="AM185" s="2219"/>
      <c r="AN185" s="2219"/>
      <c r="AO185" s="2219"/>
      <c r="AP185" s="2219"/>
      <c r="AQ185" s="2219"/>
      <c r="AR185" s="2219"/>
      <c r="AS185" s="2219"/>
      <c r="AT185" s="2219"/>
      <c r="AU185" s="2220">
        <v>0</v>
      </c>
      <c r="AV185" s="2220"/>
      <c r="AW185" s="2220"/>
      <c r="AX185" s="2220"/>
      <c r="AY185" s="2220"/>
      <c r="AZ185" s="2220"/>
      <c r="BA185" s="2220"/>
      <c r="BB185" s="2220"/>
      <c r="BC185" s="2221"/>
      <c r="BD185" s="2222"/>
      <c r="BE185" s="2223"/>
    </row>
    <row r="186" spans="1:57" ht="15.75" customHeight="1">
      <c r="A186" s="1207"/>
      <c r="B186" s="1207"/>
      <c r="C186" s="2193" t="s">
        <v>2259</v>
      </c>
      <c r="D186" s="2194"/>
      <c r="E186" s="2194"/>
      <c r="F186" s="2194"/>
      <c r="G186" s="2194"/>
      <c r="H186" s="2194"/>
      <c r="I186" s="2194"/>
      <c r="J186" s="2194"/>
      <c r="K186" s="2194"/>
      <c r="L186" s="2194"/>
      <c r="M186" s="2194"/>
      <c r="N186" s="2202">
        <v>0</v>
      </c>
      <c r="O186" s="2202"/>
      <c r="P186" s="2202"/>
      <c r="Q186" s="2202"/>
      <c r="R186" s="2202"/>
      <c r="S186" s="2202"/>
      <c r="T186" s="2202"/>
      <c r="U186" s="2053"/>
      <c r="V186" s="2053"/>
      <c r="W186" s="2053"/>
      <c r="X186" s="2053"/>
      <c r="Y186" s="2053"/>
      <c r="Z186" s="2053"/>
      <c r="AA186" s="2053"/>
      <c r="AB186" s="2053"/>
      <c r="AC186" s="2053"/>
      <c r="AD186" s="2053"/>
      <c r="AE186" s="2054"/>
      <c r="AF186" s="1207"/>
      <c r="AG186" s="1207"/>
      <c r="AH186" s="2203" t="s">
        <v>2258</v>
      </c>
      <c r="AI186" s="2204"/>
      <c r="AJ186" s="2204"/>
      <c r="AK186" s="2204"/>
      <c r="AL186" s="2204"/>
      <c r="AM186" s="2204"/>
      <c r="AN186" s="2204"/>
      <c r="AO186" s="2204"/>
      <c r="AP186" s="2204"/>
      <c r="AQ186" s="2204"/>
      <c r="AR186" s="2204"/>
      <c r="AS186" s="2204"/>
      <c r="AT186" s="2204"/>
      <c r="AU186" s="2205"/>
      <c r="AV186" s="2205"/>
      <c r="AW186" s="2205"/>
      <c r="AX186" s="2205"/>
      <c r="AY186" s="2205"/>
      <c r="AZ186" s="2205"/>
      <c r="BA186" s="2205"/>
      <c r="BB186" s="2205"/>
      <c r="BC186" s="2212"/>
      <c r="BD186" s="2213"/>
      <c r="BE186" s="2214"/>
    </row>
    <row r="187" spans="1:57" ht="15.75" customHeight="1">
      <c r="A187" s="1207"/>
      <c r="B187" s="1207"/>
      <c r="C187" s="2228" t="s">
        <v>299</v>
      </c>
      <c r="D187" s="2171"/>
      <c r="E187" s="2224" t="s">
        <v>2256</v>
      </c>
      <c r="F187" s="2224"/>
      <c r="G187" s="2224"/>
      <c r="H187" s="2224"/>
      <c r="I187" s="2224"/>
      <c r="J187" s="2224"/>
      <c r="K187" s="2224"/>
      <c r="L187" s="2224"/>
      <c r="M187" s="2224"/>
      <c r="N187" s="2202">
        <v>0</v>
      </c>
      <c r="O187" s="2202"/>
      <c r="P187" s="2202"/>
      <c r="Q187" s="2202"/>
      <c r="R187" s="2202"/>
      <c r="S187" s="2202"/>
      <c r="T187" s="2202"/>
      <c r="U187" s="2053"/>
      <c r="V187" s="2053"/>
      <c r="W187" s="2053"/>
      <c r="X187" s="2053"/>
      <c r="Y187" s="2053"/>
      <c r="Z187" s="2053"/>
      <c r="AA187" s="2053"/>
      <c r="AB187" s="2053"/>
      <c r="AC187" s="2053"/>
      <c r="AD187" s="2053"/>
      <c r="AE187" s="2054"/>
      <c r="AF187" s="1207"/>
      <c r="AG187" s="1207"/>
      <c r="AH187" s="2229" t="s">
        <v>2257</v>
      </c>
      <c r="AI187" s="2230"/>
      <c r="AJ187" s="2230"/>
      <c r="AK187" s="2230"/>
      <c r="AL187" s="2230"/>
      <c r="AM187" s="2230"/>
      <c r="AN187" s="2230"/>
      <c r="AO187" s="2230"/>
      <c r="AP187" s="2230"/>
      <c r="AQ187" s="2230"/>
      <c r="AR187" s="2230"/>
      <c r="AS187" s="2230"/>
      <c r="AT187" s="2230"/>
      <c r="AU187" s="2231">
        <f>SUM(AU185:BB186)</f>
        <v>0</v>
      </c>
      <c r="AV187" s="2231"/>
      <c r="AW187" s="2231"/>
      <c r="AX187" s="2231"/>
      <c r="AY187" s="2231"/>
      <c r="AZ187" s="2231"/>
      <c r="BA187" s="2231"/>
      <c r="BB187" s="2231"/>
      <c r="BC187" s="2212"/>
      <c r="BD187" s="2213"/>
      <c r="BE187" s="2214"/>
    </row>
    <row r="188" spans="1:57" ht="15.75" customHeight="1" thickBot="1">
      <c r="A188" s="1207"/>
      <c r="B188" s="1207"/>
      <c r="C188" s="2091" t="s">
        <v>299</v>
      </c>
      <c r="D188" s="2041"/>
      <c r="E188" s="2224" t="s">
        <v>2256</v>
      </c>
      <c r="F188" s="2224"/>
      <c r="G188" s="2224"/>
      <c r="H188" s="2224"/>
      <c r="I188" s="2224"/>
      <c r="J188" s="2224"/>
      <c r="K188" s="2224"/>
      <c r="L188" s="2224"/>
      <c r="M188" s="2224"/>
      <c r="N188" s="2202">
        <v>0</v>
      </c>
      <c r="O188" s="2202"/>
      <c r="P188" s="2202"/>
      <c r="Q188" s="2202"/>
      <c r="R188" s="2202"/>
      <c r="S188" s="2202"/>
      <c r="T188" s="2202"/>
      <c r="U188" s="2053"/>
      <c r="V188" s="2053"/>
      <c r="W188" s="2053"/>
      <c r="X188" s="2053"/>
      <c r="Y188" s="2053"/>
      <c r="Z188" s="2053"/>
      <c r="AA188" s="2053"/>
      <c r="AB188" s="2053"/>
      <c r="AC188" s="2053"/>
      <c r="AD188" s="2053"/>
      <c r="AE188" s="2054"/>
      <c r="AF188" s="1207"/>
      <c r="AG188" s="1207"/>
      <c r="AH188" s="1249"/>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2225"/>
      <c r="BD188" s="2226"/>
      <c r="BE188" s="2227"/>
    </row>
    <row r="189" spans="1:57" ht="15.75" customHeight="1" thickBot="1">
      <c r="A189" s="1207"/>
      <c r="B189" s="1207"/>
      <c r="C189" s="2249" t="s">
        <v>299</v>
      </c>
      <c r="D189" s="2250"/>
      <c r="E189" s="2251" t="s">
        <v>2256</v>
      </c>
      <c r="F189" s="2251"/>
      <c r="G189" s="2251"/>
      <c r="H189" s="2251"/>
      <c r="I189" s="2251"/>
      <c r="J189" s="2251"/>
      <c r="K189" s="2251"/>
      <c r="L189" s="2251"/>
      <c r="M189" s="2252"/>
      <c r="N189" s="2253">
        <v>0</v>
      </c>
      <c r="O189" s="2253"/>
      <c r="P189" s="2253"/>
      <c r="Q189" s="2253"/>
      <c r="R189" s="2253"/>
      <c r="S189" s="2253"/>
      <c r="T189" s="2254"/>
      <c r="U189" s="2255"/>
      <c r="V189" s="2256"/>
      <c r="W189" s="2256"/>
      <c r="X189" s="2256"/>
      <c r="Y189" s="2256"/>
      <c r="Z189" s="2256"/>
      <c r="AA189" s="2256"/>
      <c r="AB189" s="2256"/>
      <c r="AC189" s="2256"/>
      <c r="AD189" s="2256"/>
      <c r="AE189" s="2257"/>
      <c r="AF189" s="1207"/>
      <c r="AG189" s="1207"/>
      <c r="AH189" s="2258" t="s">
        <v>2255</v>
      </c>
      <c r="AI189" s="2259"/>
      <c r="AJ189" s="2259"/>
      <c r="AK189" s="2259"/>
      <c r="AL189" s="2259"/>
      <c r="AM189" s="2259"/>
      <c r="AN189" s="2259"/>
      <c r="AO189" s="2259"/>
      <c r="AP189" s="2259"/>
      <c r="AQ189" s="2259"/>
      <c r="AR189" s="2259"/>
      <c r="AS189" s="2259"/>
      <c r="AT189" s="2259"/>
      <c r="AU189" s="2260"/>
      <c r="AV189" s="2260"/>
      <c r="AW189" s="2260"/>
      <c r="AX189" s="2260"/>
      <c r="AY189" s="2260"/>
      <c r="AZ189" s="2260"/>
      <c r="BA189" s="2260"/>
      <c r="BB189" s="2260"/>
      <c r="BC189" s="1163"/>
      <c r="BD189" s="1163"/>
      <c r="BE189" s="1251"/>
    </row>
    <row r="190" spans="1:57" ht="15.75" customHeight="1">
      <c r="A190" s="1207"/>
      <c r="B190" s="1207"/>
      <c r="C190" s="2232" t="s">
        <v>2254</v>
      </c>
      <c r="D190" s="2233"/>
      <c r="E190" s="2233"/>
      <c r="F190" s="2233"/>
      <c r="G190" s="2233"/>
      <c r="H190" s="2233"/>
      <c r="I190" s="2233"/>
      <c r="J190" s="2233"/>
      <c r="K190" s="2233"/>
      <c r="L190" s="2233"/>
      <c r="M190" s="2233"/>
      <c r="N190" s="2234">
        <f>SUM(N182:T189)</f>
        <v>1440540</v>
      </c>
      <c r="O190" s="2234"/>
      <c r="P190" s="2234"/>
      <c r="Q190" s="2234"/>
      <c r="R190" s="2234"/>
      <c r="S190" s="2234"/>
      <c r="T190" s="2235"/>
      <c r="U190" s="1207"/>
      <c r="V190" s="1207"/>
      <c r="W190" s="1207"/>
      <c r="X190" s="1207"/>
      <c r="Y190" s="1207"/>
      <c r="Z190" s="1207"/>
      <c r="AA190" s="1207"/>
      <c r="AB190" s="1207"/>
      <c r="AC190" s="1207"/>
      <c r="AD190" s="1207"/>
      <c r="AE190" s="1207"/>
      <c r="AF190" s="1207"/>
      <c r="AG190" s="1207"/>
      <c r="AH190" s="2236" t="s">
        <v>2253</v>
      </c>
      <c r="AI190" s="2237"/>
      <c r="AJ190" s="2237"/>
      <c r="AK190" s="2237"/>
      <c r="AL190" s="2237"/>
      <c r="AM190" s="2237"/>
      <c r="AN190" s="2237"/>
      <c r="AO190" s="2237"/>
      <c r="AP190" s="2237"/>
      <c r="AQ190" s="2237"/>
      <c r="AR190" s="2237"/>
      <c r="AS190" s="2237"/>
      <c r="AT190" s="2237"/>
      <c r="AU190" s="2237"/>
      <c r="AV190" s="2237"/>
      <c r="AW190" s="2237"/>
      <c r="AX190" s="2237"/>
      <c r="AY190" s="2237"/>
      <c r="AZ190" s="2237"/>
      <c r="BA190" s="2237"/>
      <c r="BB190" s="2237"/>
      <c r="BC190" s="2237"/>
      <c r="BD190" s="2237"/>
      <c r="BE190" s="2238"/>
    </row>
    <row r="191" spans="1:57" ht="15.75" customHeight="1" thickBot="1">
      <c r="A191" s="1207"/>
      <c r="B191" s="1207"/>
      <c r="C191" s="2242" t="s">
        <v>2252</v>
      </c>
      <c r="D191" s="2243"/>
      <c r="E191" s="2243"/>
      <c r="F191" s="2243"/>
      <c r="G191" s="2243"/>
      <c r="H191" s="2243"/>
      <c r="I191" s="2243"/>
      <c r="J191" s="2243"/>
      <c r="K191" s="2243"/>
      <c r="L191" s="2243"/>
      <c r="M191" s="2243"/>
      <c r="N191" s="2244">
        <f>(N180-N190)/J29</f>
        <v>855702.53225806449</v>
      </c>
      <c r="O191" s="2245"/>
      <c r="P191" s="2245"/>
      <c r="Q191" s="2245"/>
      <c r="R191" s="2245"/>
      <c r="S191" s="2245"/>
      <c r="T191" s="2246"/>
      <c r="U191" s="1215"/>
      <c r="V191" s="1207"/>
      <c r="W191" s="1207"/>
      <c r="X191" s="1207"/>
      <c r="Y191" s="1207"/>
      <c r="Z191" s="1207"/>
      <c r="AA191" s="1207"/>
      <c r="AB191" s="1207"/>
      <c r="AC191" s="1207"/>
      <c r="AD191" s="1207"/>
      <c r="AE191" s="1207"/>
      <c r="AF191" s="1207"/>
      <c r="AG191" s="1207"/>
      <c r="AH191" s="2239"/>
      <c r="AI191" s="2240"/>
      <c r="AJ191" s="2240"/>
      <c r="AK191" s="2240"/>
      <c r="AL191" s="2240"/>
      <c r="AM191" s="2240"/>
      <c r="AN191" s="2240"/>
      <c r="AO191" s="2240"/>
      <c r="AP191" s="2240"/>
      <c r="AQ191" s="2240"/>
      <c r="AR191" s="2240"/>
      <c r="AS191" s="2240"/>
      <c r="AT191" s="2240"/>
      <c r="AU191" s="2240"/>
      <c r="AV191" s="2240"/>
      <c r="AW191" s="2240"/>
      <c r="AX191" s="2240"/>
      <c r="AY191" s="2240"/>
      <c r="AZ191" s="2240"/>
      <c r="BA191" s="2240"/>
      <c r="BB191" s="2240"/>
      <c r="BC191" s="2240"/>
      <c r="BD191" s="2240"/>
      <c r="BE191" s="2241"/>
    </row>
    <row r="192" spans="1:57" ht="15.75" customHeight="1">
      <c r="A192" s="1207"/>
      <c r="B192" s="1207"/>
      <c r="C192" s="1207"/>
      <c r="D192" s="1207"/>
      <c r="E192" s="1207"/>
      <c r="F192" s="1207"/>
      <c r="G192" s="1207"/>
      <c r="H192" s="1207"/>
      <c r="I192" s="1207"/>
      <c r="J192" s="1207"/>
      <c r="K192" s="1207"/>
      <c r="L192" s="1207"/>
      <c r="M192" s="1207"/>
      <c r="N192" s="1207"/>
      <c r="O192" s="1207"/>
      <c r="P192" s="1207"/>
      <c r="Q192" s="1207"/>
      <c r="R192" s="1207"/>
      <c r="S192" s="1207"/>
      <c r="T192" s="1207"/>
      <c r="U192" s="1207"/>
      <c r="V192" s="1207"/>
      <c r="W192" s="1207"/>
      <c r="X192" s="1207"/>
      <c r="Y192" s="1207"/>
      <c r="Z192" s="1207"/>
      <c r="AA192" s="1207"/>
      <c r="AB192" s="1207"/>
      <c r="AC192" s="1207"/>
      <c r="AD192" s="1207"/>
      <c r="AE192" s="1207"/>
      <c r="AF192" s="1207"/>
      <c r="AG192" s="1207"/>
      <c r="AH192" s="2247"/>
      <c r="AI192" s="2247"/>
      <c r="AJ192" s="2247"/>
      <c r="AK192" s="2247"/>
      <c r="AL192" s="2247"/>
      <c r="AM192" s="2247"/>
      <c r="AN192" s="2247"/>
      <c r="AO192" s="2247"/>
      <c r="AP192" s="2247"/>
      <c r="AQ192" s="2247"/>
      <c r="AR192" s="2247"/>
      <c r="AS192" s="2248"/>
      <c r="AT192" s="2248"/>
      <c r="AU192" s="2248"/>
      <c r="AV192" s="2248"/>
      <c r="AW192" s="2248"/>
      <c r="AX192" s="2248"/>
      <c r="AY192" s="2248"/>
      <c r="AZ192" s="2248"/>
      <c r="BA192" s="2248"/>
      <c r="BB192" s="2248"/>
      <c r="BC192" s="2248"/>
      <c r="BD192" s="2248"/>
      <c r="BE192" s="1214"/>
    </row>
    <row r="193" spans="1:57" ht="15.75" customHeight="1" thickBot="1">
      <c r="A193" s="1207"/>
      <c r="B193" s="1207"/>
      <c r="C193" s="1207"/>
      <c r="D193" s="1207"/>
      <c r="E193" s="1207"/>
      <c r="F193" s="1207"/>
      <c r="G193" s="1207"/>
      <c r="H193" s="1207"/>
      <c r="I193" s="1207"/>
      <c r="J193" s="1207"/>
      <c r="K193" s="1207"/>
      <c r="L193" s="1207"/>
      <c r="M193" s="1207"/>
      <c r="N193" s="1207"/>
      <c r="O193" s="1207"/>
      <c r="P193" s="1207"/>
      <c r="Q193" s="1207"/>
      <c r="R193" s="1207"/>
      <c r="S193" s="1207"/>
      <c r="T193" s="1207"/>
      <c r="U193" s="1207"/>
      <c r="V193" s="1207"/>
      <c r="W193" s="1207"/>
      <c r="X193" s="1207"/>
      <c r="Y193" s="1207"/>
      <c r="Z193" s="1207"/>
      <c r="AA193" s="1207"/>
      <c r="AB193" s="1207"/>
      <c r="AC193" s="1207"/>
      <c r="AD193" s="1207"/>
      <c r="AE193" s="1207"/>
      <c r="AF193" s="1207"/>
      <c r="AG193" s="1207"/>
      <c r="AH193" s="1207"/>
      <c r="AI193" s="1207"/>
      <c r="AJ193" s="1207"/>
      <c r="AK193" s="1207"/>
      <c r="AL193" s="1207"/>
      <c r="AM193" s="1207"/>
      <c r="AN193" s="1207"/>
      <c r="AO193" s="1207"/>
      <c r="AP193" s="1207"/>
      <c r="AQ193" s="1207"/>
      <c r="AR193" s="1207"/>
      <c r="AS193" s="1207"/>
      <c r="AT193" s="1207"/>
      <c r="AU193" s="1207"/>
      <c r="AV193" s="1207"/>
      <c r="AW193" s="1207"/>
      <c r="AX193" s="1207"/>
      <c r="AY193" s="1207"/>
      <c r="AZ193" s="1207"/>
      <c r="BA193" s="1207"/>
      <c r="BB193" s="1207"/>
      <c r="BC193" s="1207"/>
      <c r="BD193" s="1207"/>
      <c r="BE193" s="1214"/>
    </row>
    <row r="194" spans="1:57" ht="15.75" customHeight="1" thickBot="1">
      <c r="A194" s="1207"/>
      <c r="B194" s="1207"/>
      <c r="C194" s="2266" t="s">
        <v>2251</v>
      </c>
      <c r="D194" s="2267"/>
      <c r="E194" s="2267"/>
      <c r="F194" s="2267"/>
      <c r="G194" s="2267"/>
      <c r="H194" s="2267"/>
      <c r="I194" s="2267"/>
      <c r="J194" s="2267"/>
      <c r="K194" s="2267"/>
      <c r="L194" s="2267"/>
      <c r="M194" s="2267"/>
      <c r="N194" s="2267"/>
      <c r="O194" s="2267"/>
      <c r="P194" s="2267"/>
      <c r="Q194" s="2267"/>
      <c r="R194" s="2267"/>
      <c r="S194" s="2267"/>
      <c r="T194" s="2267"/>
      <c r="U194" s="2267"/>
      <c r="V194" s="2267"/>
      <c r="W194" s="2267"/>
      <c r="X194" s="2267"/>
      <c r="Y194" s="2267"/>
      <c r="Z194" s="2267"/>
      <c r="AA194" s="2267"/>
      <c r="AB194" s="2267"/>
      <c r="AC194" s="2267"/>
      <c r="AD194" s="2267"/>
      <c r="AE194" s="2268"/>
      <c r="AF194" s="1207"/>
      <c r="AG194" s="1207"/>
      <c r="AH194" s="1207"/>
      <c r="AI194" s="1207"/>
      <c r="AJ194" s="1207"/>
      <c r="AK194" s="1207"/>
      <c r="AL194" s="1207"/>
      <c r="AM194" s="1207"/>
      <c r="AN194" s="1207"/>
      <c r="AO194" s="1207"/>
      <c r="AP194" s="1207"/>
      <c r="AQ194" s="1207"/>
      <c r="AR194" s="1207"/>
      <c r="AS194" s="1207"/>
      <c r="AT194" s="1207"/>
      <c r="AU194" s="1207"/>
      <c r="AV194" s="1207"/>
      <c r="AW194" s="1207"/>
      <c r="AX194" s="1207"/>
      <c r="AY194" s="1207"/>
      <c r="AZ194" s="1207"/>
      <c r="BA194" s="1207"/>
      <c r="BB194" s="1207"/>
      <c r="BC194" s="1207"/>
      <c r="BD194" s="1207"/>
      <c r="BE194" s="1214"/>
    </row>
    <row r="195" spans="1:57" ht="15.75" customHeight="1">
      <c r="A195" s="1207"/>
      <c r="B195" s="1207"/>
      <c r="C195" s="2269" t="s">
        <v>2250</v>
      </c>
      <c r="D195" s="2269"/>
      <c r="E195" s="2269"/>
      <c r="F195" s="2269"/>
      <c r="G195" s="2269"/>
      <c r="H195" s="2269"/>
      <c r="I195" s="2269"/>
      <c r="J195" s="2269"/>
      <c r="K195" s="2269"/>
      <c r="L195" s="2269"/>
      <c r="M195" s="2269"/>
      <c r="N195" s="2269"/>
      <c r="O195" s="2270" t="s">
        <v>2249</v>
      </c>
      <c r="P195" s="2270"/>
      <c r="Q195" s="2270"/>
      <c r="R195" s="2270"/>
      <c r="S195" s="2270"/>
      <c r="T195" s="2270"/>
      <c r="U195" s="2270"/>
      <c r="V195" s="2270"/>
      <c r="W195" s="2270"/>
      <c r="X195" s="2270" t="s">
        <v>2248</v>
      </c>
      <c r="Y195" s="2270"/>
      <c r="Z195" s="2270"/>
      <c r="AA195" s="2270"/>
      <c r="AB195" s="2270"/>
      <c r="AC195" s="2270"/>
      <c r="AD195" s="2270"/>
      <c r="AE195" s="2270"/>
      <c r="AF195" s="1207"/>
      <c r="AG195" s="1207"/>
      <c r="AH195" s="1207"/>
      <c r="AI195" s="1207"/>
      <c r="AJ195" s="1207"/>
      <c r="AK195" s="1207"/>
      <c r="AL195" s="1207"/>
      <c r="AM195" s="1207"/>
      <c r="AN195" s="1207"/>
      <c r="AO195" s="1207"/>
      <c r="AP195" s="1207"/>
      <c r="AQ195" s="1207"/>
      <c r="AR195" s="1207"/>
      <c r="AS195" s="1207"/>
      <c r="AT195" s="1207"/>
      <c r="AU195" s="1207"/>
      <c r="AV195" s="1207"/>
      <c r="AW195" s="1207"/>
      <c r="AX195" s="1207"/>
      <c r="AY195" s="1207"/>
      <c r="AZ195" s="1207"/>
      <c r="BA195" s="1207"/>
      <c r="BB195" s="1207"/>
      <c r="BC195" s="1207"/>
      <c r="BD195" s="1207"/>
      <c r="BE195" s="1214"/>
    </row>
    <row r="196" spans="1:57" ht="15.75" customHeight="1">
      <c r="A196" s="1207"/>
      <c r="B196" s="1207"/>
      <c r="C196" s="2261" t="s">
        <v>2247</v>
      </c>
      <c r="D196" s="2261"/>
      <c r="E196" s="2261"/>
      <c r="F196" s="2261"/>
      <c r="G196" s="2261"/>
      <c r="H196" s="2261"/>
      <c r="I196" s="2261"/>
      <c r="J196" s="2261"/>
      <c r="K196" s="2261"/>
      <c r="L196" s="2261"/>
      <c r="M196" s="2261"/>
      <c r="N196" s="2261"/>
      <c r="O196" s="2262" t="s">
        <v>2246</v>
      </c>
      <c r="P196" s="2262"/>
      <c r="Q196" s="2262"/>
      <c r="R196" s="2262"/>
      <c r="S196" s="2262"/>
      <c r="T196" s="2262"/>
      <c r="U196" s="2262"/>
      <c r="V196" s="2262"/>
      <c r="W196" s="2262"/>
      <c r="X196" s="2263">
        <v>0.03</v>
      </c>
      <c r="Y196" s="2263"/>
      <c r="Z196" s="2263"/>
      <c r="AA196" s="2263"/>
      <c r="AB196" s="2263"/>
      <c r="AC196" s="2263"/>
      <c r="AD196" s="2263"/>
      <c r="AE196" s="2263"/>
      <c r="AF196" s="1207"/>
      <c r="AG196" s="1207"/>
      <c r="AH196" s="1207"/>
      <c r="AI196" s="1207"/>
      <c r="AJ196" s="1207"/>
      <c r="AK196" s="1207"/>
      <c r="AL196" s="1207"/>
      <c r="AM196" s="1207"/>
      <c r="AN196" s="1207"/>
      <c r="AO196" s="1207"/>
      <c r="AP196" s="1207"/>
      <c r="AQ196" s="1207"/>
      <c r="AR196" s="1207"/>
      <c r="AS196" s="1207"/>
      <c r="AT196" s="1207"/>
      <c r="AU196" s="1207"/>
      <c r="AV196" s="1207"/>
      <c r="AW196" s="1207"/>
      <c r="AX196" s="1207"/>
      <c r="AY196" s="1207"/>
      <c r="AZ196" s="1207"/>
      <c r="BA196" s="1207"/>
      <c r="BB196" s="1207"/>
      <c r="BC196" s="1207"/>
      <c r="BD196" s="1207"/>
      <c r="BE196" s="1214"/>
    </row>
    <row r="197" spans="1:57" ht="15.75" customHeight="1">
      <c r="A197" s="1207"/>
      <c r="B197" s="1207"/>
      <c r="C197" s="2261" t="s">
        <v>852</v>
      </c>
      <c r="D197" s="2261"/>
      <c r="E197" s="2261"/>
      <c r="F197" s="2261"/>
      <c r="G197" s="2261"/>
      <c r="H197" s="2261"/>
      <c r="I197" s="2261"/>
      <c r="J197" s="2261"/>
      <c r="K197" s="2261"/>
      <c r="L197" s="2261"/>
      <c r="M197" s="2261"/>
      <c r="N197" s="2261"/>
      <c r="O197" s="2262" t="s">
        <v>2246</v>
      </c>
      <c r="P197" s="2262"/>
      <c r="Q197" s="2262"/>
      <c r="R197" s="2262"/>
      <c r="S197" s="2262"/>
      <c r="T197" s="2262"/>
      <c r="U197" s="2262"/>
      <c r="V197" s="2262"/>
      <c r="W197" s="2262"/>
      <c r="X197" s="2263">
        <v>0.03</v>
      </c>
      <c r="Y197" s="2263"/>
      <c r="Z197" s="2263"/>
      <c r="AA197" s="2263"/>
      <c r="AB197" s="2263"/>
      <c r="AC197" s="2263"/>
      <c r="AD197" s="2263"/>
      <c r="AE197" s="2263"/>
      <c r="AF197" s="1207"/>
      <c r="AG197" s="1207"/>
      <c r="AH197" s="1207"/>
      <c r="AI197" s="1207"/>
      <c r="AJ197" s="1207"/>
      <c r="AK197" s="1207"/>
      <c r="AL197" s="1207"/>
      <c r="AM197" s="1207"/>
      <c r="AN197" s="1207"/>
      <c r="AO197" s="1207"/>
      <c r="AP197" s="1207"/>
      <c r="AQ197" s="1207"/>
      <c r="AR197" s="1207"/>
      <c r="AS197" s="1207"/>
      <c r="AT197" s="1207"/>
      <c r="AU197" s="1207"/>
      <c r="AV197" s="1207"/>
      <c r="AW197" s="1207"/>
      <c r="AX197" s="1207"/>
      <c r="AY197" s="1207"/>
      <c r="AZ197" s="1207"/>
      <c r="BA197" s="1207"/>
      <c r="BB197" s="1207"/>
      <c r="BC197" s="1207"/>
      <c r="BD197" s="1207"/>
      <c r="BE197" s="1214"/>
    </row>
    <row r="198" spans="1:57" ht="15.75" customHeight="1">
      <c r="A198" s="1207"/>
      <c r="B198" s="1207"/>
      <c r="C198" s="2261" t="s">
        <v>2245</v>
      </c>
      <c r="D198" s="2261"/>
      <c r="E198" s="2261"/>
      <c r="F198" s="2261"/>
      <c r="G198" s="2261"/>
      <c r="H198" s="2261"/>
      <c r="I198" s="2261"/>
      <c r="J198" s="2261"/>
      <c r="K198" s="2261"/>
      <c r="L198" s="2261"/>
      <c r="M198" s="2261"/>
      <c r="N198" s="2261"/>
      <c r="O198" s="2264">
        <f>SUM(O196:W197)</f>
        <v>0</v>
      </c>
      <c r="P198" s="2265"/>
      <c r="Q198" s="2265"/>
      <c r="R198" s="2265"/>
      <c r="S198" s="2265"/>
      <c r="T198" s="2265"/>
      <c r="U198" s="2265"/>
      <c r="V198" s="2265"/>
      <c r="W198" s="2265"/>
      <c r="X198" s="2265" t="s">
        <v>2244</v>
      </c>
      <c r="Y198" s="2265"/>
      <c r="Z198" s="2265"/>
      <c r="AA198" s="2265"/>
      <c r="AB198" s="2265"/>
      <c r="AC198" s="2265"/>
      <c r="AD198" s="2265"/>
      <c r="AE198" s="2265"/>
      <c r="AF198" s="1207"/>
      <c r="AG198" s="1207"/>
      <c r="AH198" s="1207"/>
      <c r="AI198" s="1207"/>
      <c r="AJ198" s="1207"/>
      <c r="AK198" s="1207"/>
      <c r="AL198" s="1207"/>
      <c r="AM198" s="1207"/>
      <c r="AN198" s="1207"/>
      <c r="AO198" s="1207"/>
      <c r="AP198" s="1207"/>
      <c r="AQ198" s="1207"/>
      <c r="AR198" s="1207"/>
      <c r="AS198" s="1207"/>
      <c r="AT198" s="1207"/>
      <c r="AU198" s="1207"/>
      <c r="AV198" s="1207"/>
      <c r="AW198" s="1207"/>
      <c r="AX198" s="1207"/>
      <c r="AY198" s="1207"/>
      <c r="AZ198" s="1207"/>
      <c r="BA198" s="1207"/>
      <c r="BB198" s="1207"/>
      <c r="BC198" s="1207"/>
      <c r="BD198" s="1207"/>
      <c r="BE198" s="1214"/>
    </row>
    <row r="199" spans="1:57" ht="15.75" customHeight="1">
      <c r="A199" s="1207"/>
      <c r="B199" s="1207"/>
      <c r="C199" s="2271" t="s">
        <v>2243</v>
      </c>
      <c r="D199" s="2271"/>
      <c r="E199" s="2271"/>
      <c r="F199" s="2271"/>
      <c r="G199" s="2271"/>
      <c r="H199" s="2271"/>
      <c r="I199" s="2271"/>
      <c r="J199" s="2271"/>
      <c r="K199" s="2271"/>
      <c r="L199" s="2271"/>
      <c r="M199" s="2271"/>
      <c r="N199" s="2271"/>
      <c r="O199" s="2271"/>
      <c r="P199" s="2271"/>
      <c r="Q199" s="2271"/>
      <c r="R199" s="2271"/>
      <c r="S199" s="2271"/>
      <c r="T199" s="2271"/>
      <c r="U199" s="2271"/>
      <c r="V199" s="2271"/>
      <c r="W199" s="2271"/>
      <c r="X199" s="2271"/>
      <c r="Y199" s="2271"/>
      <c r="Z199" s="2271"/>
      <c r="AA199" s="2271"/>
      <c r="AB199" s="2271"/>
      <c r="AC199" s="2271"/>
      <c r="AD199" s="2271"/>
      <c r="AE199" s="2271"/>
      <c r="AF199" s="1207"/>
      <c r="AG199" s="1207"/>
      <c r="AH199" s="1207"/>
      <c r="AI199" s="1207"/>
      <c r="AJ199" s="1207"/>
      <c r="AK199" s="1207"/>
      <c r="AL199" s="1207"/>
      <c r="AM199" s="1207"/>
      <c r="AN199" s="1207"/>
      <c r="AO199" s="1207"/>
      <c r="AP199" s="1207"/>
      <c r="AQ199" s="1207"/>
      <c r="AR199" s="1207"/>
      <c r="AS199" s="1207"/>
      <c r="AT199" s="1207"/>
      <c r="AU199" s="1207"/>
      <c r="AV199" s="1207"/>
      <c r="AW199" s="1207"/>
      <c r="AX199" s="1207"/>
      <c r="AY199" s="1207"/>
      <c r="AZ199" s="1207"/>
      <c r="BA199" s="1207"/>
      <c r="BB199" s="1207"/>
      <c r="BC199" s="1207"/>
      <c r="BD199" s="1207"/>
      <c r="BE199" s="1214"/>
    </row>
    <row r="200" spans="1:57" ht="15.75" customHeight="1" thickBot="1">
      <c r="A200" s="1207"/>
      <c r="B200" s="1207"/>
      <c r="C200" s="1207"/>
      <c r="D200" s="1207"/>
      <c r="E200" s="1207"/>
      <c r="F200" s="1207"/>
      <c r="G200" s="1207"/>
      <c r="H200" s="1207"/>
      <c r="I200" s="1207"/>
      <c r="J200" s="1207"/>
      <c r="K200" s="1207"/>
      <c r="L200" s="1207"/>
      <c r="M200" s="1207"/>
      <c r="N200" s="1207"/>
      <c r="O200" s="1207"/>
      <c r="P200" s="1207"/>
      <c r="Q200" s="1207"/>
      <c r="R200" s="1207"/>
      <c r="S200" s="1207"/>
      <c r="T200" s="1207"/>
      <c r="U200" s="1207"/>
      <c r="V200" s="1207"/>
      <c r="W200" s="1207"/>
      <c r="X200" s="1207"/>
      <c r="Y200" s="1207"/>
      <c r="Z200" s="1207"/>
      <c r="AA200" s="1207"/>
      <c r="AB200" s="1207"/>
      <c r="AC200" s="1207"/>
      <c r="AD200" s="1207"/>
      <c r="AE200" s="1207"/>
      <c r="AF200" s="1207"/>
      <c r="AG200" s="1207"/>
      <c r="AH200" s="1207"/>
      <c r="AI200" s="1207"/>
      <c r="AJ200" s="1207"/>
      <c r="AK200" s="1207"/>
      <c r="AL200" s="1207"/>
      <c r="AM200" s="1207"/>
      <c r="AN200" s="1207"/>
      <c r="AO200" s="1207"/>
      <c r="AP200" s="1207"/>
      <c r="AQ200" s="1207"/>
      <c r="AR200" s="1207"/>
      <c r="AS200" s="1207"/>
      <c r="AT200" s="1207"/>
      <c r="AU200" s="1207"/>
      <c r="AV200" s="1207"/>
      <c r="AW200" s="1207"/>
      <c r="AX200" s="1207"/>
      <c r="AY200" s="1207"/>
      <c r="AZ200" s="1207"/>
      <c r="BA200" s="1207"/>
      <c r="BB200" s="1207"/>
      <c r="BC200" s="1207"/>
      <c r="BD200" s="1207"/>
      <c r="BE200" s="1214"/>
    </row>
    <row r="201" spans="1:57" ht="15.75" customHeight="1" thickBot="1">
      <c r="A201" s="1207"/>
      <c r="B201" s="1207"/>
      <c r="C201" s="2272" t="s">
        <v>2242</v>
      </c>
      <c r="D201" s="2273"/>
      <c r="E201" s="2273"/>
      <c r="F201" s="2273"/>
      <c r="G201" s="2273"/>
      <c r="H201" s="2273"/>
      <c r="I201" s="2273"/>
      <c r="J201" s="2273"/>
      <c r="K201" s="2273"/>
      <c r="L201" s="2273"/>
      <c r="M201" s="2273"/>
      <c r="N201" s="2273"/>
      <c r="O201" s="2273"/>
      <c r="P201" s="2273"/>
      <c r="Q201" s="2273"/>
      <c r="R201" s="2273"/>
      <c r="S201" s="2273"/>
      <c r="T201" s="2273"/>
      <c r="U201" s="2273"/>
      <c r="V201" s="2273"/>
      <c r="W201" s="2273"/>
      <c r="X201" s="2273"/>
      <c r="Y201" s="2273"/>
      <c r="Z201" s="2273"/>
      <c r="AA201" s="2273"/>
      <c r="AB201" s="2273"/>
      <c r="AC201" s="2273"/>
      <c r="AD201" s="2273"/>
      <c r="AE201" s="2273"/>
      <c r="AF201" s="2273"/>
      <c r="AG201" s="2273"/>
      <c r="AH201" s="2273"/>
      <c r="AI201" s="2273"/>
      <c r="AJ201" s="2273"/>
      <c r="AK201" s="2274"/>
      <c r="AL201" s="1207"/>
      <c r="AM201" s="1207"/>
      <c r="AN201" s="1207"/>
      <c r="AO201" s="1207"/>
      <c r="AP201" s="1207"/>
      <c r="AQ201" s="1207"/>
      <c r="AR201" s="1207"/>
      <c r="AS201" s="1207"/>
      <c r="AT201" s="1207"/>
      <c r="AU201" s="1207"/>
      <c r="AV201" s="1207"/>
      <c r="AW201" s="1207"/>
      <c r="AX201" s="1207"/>
      <c r="AY201" s="1207"/>
      <c r="AZ201" s="1207"/>
      <c r="BA201" s="1207"/>
      <c r="BB201" s="1207"/>
      <c r="BC201" s="1207"/>
      <c r="BD201" s="1207"/>
      <c r="BE201" s="1214"/>
    </row>
    <row r="202" spans="1:57" ht="15.75" customHeight="1">
      <c r="A202" s="1207"/>
      <c r="B202" s="1207"/>
      <c r="C202" s="2275" t="s">
        <v>2241</v>
      </c>
      <c r="D202" s="2276"/>
      <c r="E202" s="2276"/>
      <c r="F202" s="2277"/>
      <c r="G202" s="2281" t="s">
        <v>2240</v>
      </c>
      <c r="H202" s="2276"/>
      <c r="I202" s="2276"/>
      <c r="J202" s="2276"/>
      <c r="K202" s="2276"/>
      <c r="L202" s="2276"/>
      <c r="M202" s="2276"/>
      <c r="N202" s="2276"/>
      <c r="O202" s="2277"/>
      <c r="P202" s="2283" t="s">
        <v>2239</v>
      </c>
      <c r="Q202" s="2284"/>
      <c r="R202" s="2284"/>
      <c r="S202" s="2284"/>
      <c r="T202" s="2285"/>
      <c r="U202" s="2289" t="s">
        <v>2238</v>
      </c>
      <c r="V202" s="2290"/>
      <c r="W202" s="2290"/>
      <c r="X202" s="2291"/>
      <c r="Y202" s="2289" t="s">
        <v>2237</v>
      </c>
      <c r="Z202" s="2290"/>
      <c r="AA202" s="2290"/>
      <c r="AB202" s="2291"/>
      <c r="AC202" s="2289" t="s">
        <v>2236</v>
      </c>
      <c r="AD202" s="2290"/>
      <c r="AE202" s="2290"/>
      <c r="AF202" s="2291"/>
      <c r="AG202" s="2281" t="s">
        <v>2235</v>
      </c>
      <c r="AH202" s="2276"/>
      <c r="AI202" s="2276"/>
      <c r="AJ202" s="2276"/>
      <c r="AK202" s="2295"/>
      <c r="AL202" s="1207"/>
      <c r="AM202" s="1207"/>
      <c r="AN202" s="1207"/>
      <c r="AO202" s="1207"/>
      <c r="AP202" s="1207"/>
      <c r="AQ202" s="1207"/>
      <c r="AR202" s="1207"/>
      <c r="AS202" s="1207"/>
      <c r="AT202" s="1207"/>
      <c r="AU202" s="1207"/>
      <c r="AV202" s="1207"/>
      <c r="AW202" s="1207"/>
      <c r="AX202" s="1207"/>
      <c r="AY202" s="1207"/>
      <c r="AZ202" s="1207"/>
      <c r="BA202" s="1207"/>
      <c r="BB202" s="1207"/>
      <c r="BC202" s="1207"/>
      <c r="BD202" s="1207"/>
      <c r="BE202" s="1214"/>
    </row>
    <row r="203" spans="1:57" ht="15.75" customHeight="1">
      <c r="A203" s="1207"/>
      <c r="B203" s="1207"/>
      <c r="C203" s="2278"/>
      <c r="D203" s="2279"/>
      <c r="E203" s="2279"/>
      <c r="F203" s="2280"/>
      <c r="G203" s="2282"/>
      <c r="H203" s="2279"/>
      <c r="I203" s="2279"/>
      <c r="J203" s="2279"/>
      <c r="K203" s="2279"/>
      <c r="L203" s="2279"/>
      <c r="M203" s="2279"/>
      <c r="N203" s="2279"/>
      <c r="O203" s="2280"/>
      <c r="P203" s="2286"/>
      <c r="Q203" s="2287"/>
      <c r="R203" s="2287"/>
      <c r="S203" s="2287"/>
      <c r="T203" s="2288"/>
      <c r="U203" s="2292"/>
      <c r="V203" s="2293"/>
      <c r="W203" s="2293"/>
      <c r="X203" s="2294"/>
      <c r="Y203" s="2292"/>
      <c r="Z203" s="2293"/>
      <c r="AA203" s="2293"/>
      <c r="AB203" s="2294"/>
      <c r="AC203" s="2292"/>
      <c r="AD203" s="2293"/>
      <c r="AE203" s="2293"/>
      <c r="AF203" s="2294"/>
      <c r="AG203" s="2282"/>
      <c r="AH203" s="2279"/>
      <c r="AI203" s="2279"/>
      <c r="AJ203" s="2279"/>
      <c r="AK203" s="2296"/>
      <c r="AL203" s="1207"/>
      <c r="AM203" s="1207"/>
      <c r="AN203" s="1207"/>
      <c r="AO203" s="1207"/>
      <c r="AP203" s="1207"/>
      <c r="AQ203" s="1207"/>
      <c r="AR203" s="1207"/>
      <c r="AS203" s="1207"/>
      <c r="AT203" s="1207"/>
      <c r="AU203" s="1207"/>
      <c r="AV203" s="1207"/>
      <c r="AW203" s="1207"/>
      <c r="AX203" s="1207"/>
      <c r="AY203" s="1207"/>
      <c r="AZ203" s="1207"/>
      <c r="BA203" s="1207"/>
      <c r="BB203" s="1207"/>
      <c r="BC203" s="1207"/>
      <c r="BD203" s="1207"/>
      <c r="BE203" s="1214"/>
    </row>
    <row r="204" spans="1:57" ht="15.75" customHeight="1">
      <c r="A204" s="1207"/>
      <c r="B204" s="1207"/>
      <c r="C204" s="2300">
        <v>1</v>
      </c>
      <c r="D204" s="2301"/>
      <c r="E204" s="2301"/>
      <c r="F204" s="2301"/>
      <c r="G204" s="2302" t="s">
        <v>1857</v>
      </c>
      <c r="H204" s="2302"/>
      <c r="I204" s="2302"/>
      <c r="J204" s="2302"/>
      <c r="K204" s="2302"/>
      <c r="L204" s="2302"/>
      <c r="M204" s="2302"/>
      <c r="N204" s="2302"/>
      <c r="O204" s="2302"/>
      <c r="P204" s="2303"/>
      <c r="Q204" s="2306"/>
      <c r="R204" s="2306"/>
      <c r="S204" s="2306"/>
      <c r="T204" s="2306"/>
      <c r="U204" s="2304" t="s">
        <v>1857</v>
      </c>
      <c r="V204" s="2304"/>
      <c r="W204" s="2304"/>
      <c r="X204" s="2304"/>
      <c r="Y204" s="2304" t="s">
        <v>1857</v>
      </c>
      <c r="Z204" s="2304"/>
      <c r="AA204" s="2304"/>
      <c r="AB204" s="2304"/>
      <c r="AC204" s="2305" t="s">
        <v>1857</v>
      </c>
      <c r="AD204" s="2305"/>
      <c r="AE204" s="2305"/>
      <c r="AF204" s="2305"/>
      <c r="AG204" s="2297"/>
      <c r="AH204" s="2298"/>
      <c r="AI204" s="2298"/>
      <c r="AJ204" s="2298"/>
      <c r="AK204" s="2299"/>
      <c r="AL204" s="1207"/>
      <c r="AM204" s="1207"/>
      <c r="AN204" s="1207"/>
      <c r="AO204" s="1207"/>
      <c r="AP204" s="1207"/>
      <c r="AQ204" s="1207"/>
      <c r="AR204" s="1207"/>
      <c r="AS204" s="1207"/>
      <c r="AT204" s="1207"/>
      <c r="AU204" s="1207"/>
      <c r="AV204" s="1207"/>
      <c r="AW204" s="1207"/>
      <c r="AX204" s="1207"/>
      <c r="AY204" s="1207"/>
      <c r="AZ204" s="1207"/>
      <c r="BA204" s="1207"/>
      <c r="BB204" s="1207"/>
      <c r="BC204" s="1207"/>
      <c r="BD204" s="1207"/>
      <c r="BE204" s="1214"/>
    </row>
    <row r="205" spans="1:57" ht="15.75" customHeight="1">
      <c r="A205" s="1207"/>
      <c r="B205" s="1207"/>
      <c r="C205" s="2300">
        <v>2</v>
      </c>
      <c r="D205" s="2301"/>
      <c r="E205" s="2301"/>
      <c r="F205" s="2301"/>
      <c r="G205" s="2302" t="s">
        <v>1857</v>
      </c>
      <c r="H205" s="2302"/>
      <c r="I205" s="2302"/>
      <c r="J205" s="2302"/>
      <c r="K205" s="2302"/>
      <c r="L205" s="2302"/>
      <c r="M205" s="2302"/>
      <c r="N205" s="2302"/>
      <c r="O205" s="2302"/>
      <c r="P205" s="2303"/>
      <c r="Q205" s="2303"/>
      <c r="R205" s="2303"/>
      <c r="S205" s="2303"/>
      <c r="T205" s="2303"/>
      <c r="U205" s="2304" t="s">
        <v>1857</v>
      </c>
      <c r="V205" s="2304"/>
      <c r="W205" s="2304"/>
      <c r="X205" s="2304"/>
      <c r="Y205" s="2304" t="s">
        <v>1857</v>
      </c>
      <c r="Z205" s="2304"/>
      <c r="AA205" s="2304"/>
      <c r="AB205" s="2304"/>
      <c r="AC205" s="2305" t="s">
        <v>1857</v>
      </c>
      <c r="AD205" s="2305"/>
      <c r="AE205" s="2305"/>
      <c r="AF205" s="2305"/>
      <c r="AG205" s="2297"/>
      <c r="AH205" s="2298"/>
      <c r="AI205" s="2298"/>
      <c r="AJ205" s="2298"/>
      <c r="AK205" s="2299"/>
      <c r="AL205" s="1207"/>
      <c r="AM205" s="1207"/>
      <c r="AN205" s="1207"/>
      <c r="AO205" s="1207"/>
      <c r="AP205" s="1207"/>
      <c r="AQ205" s="1207"/>
      <c r="AR205" s="1207"/>
      <c r="AS205" s="1207"/>
      <c r="AT205" s="1207"/>
      <c r="AU205" s="1207"/>
      <c r="AV205" s="1207"/>
      <c r="AW205" s="1207"/>
      <c r="AX205" s="1207"/>
      <c r="AY205" s="1207"/>
      <c r="AZ205" s="1207"/>
      <c r="BA205" s="1207"/>
      <c r="BB205" s="1207"/>
      <c r="BC205" s="1207"/>
      <c r="BD205" s="1207"/>
      <c r="BE205" s="1214"/>
    </row>
    <row r="206" spans="1:57" ht="15.75" customHeight="1">
      <c r="A206" s="1207"/>
      <c r="B206" s="1207"/>
      <c r="C206" s="2300">
        <v>3</v>
      </c>
      <c r="D206" s="2301"/>
      <c r="E206" s="2301"/>
      <c r="F206" s="2301"/>
      <c r="G206" s="2302" t="s">
        <v>1857</v>
      </c>
      <c r="H206" s="2302"/>
      <c r="I206" s="2302"/>
      <c r="J206" s="2302"/>
      <c r="K206" s="2302"/>
      <c r="L206" s="2302"/>
      <c r="M206" s="2302"/>
      <c r="N206" s="2302"/>
      <c r="O206" s="2302"/>
      <c r="P206" s="2303"/>
      <c r="Q206" s="2303"/>
      <c r="R206" s="2303"/>
      <c r="S206" s="2303"/>
      <c r="T206" s="2303"/>
      <c r="U206" s="2304" t="s">
        <v>1857</v>
      </c>
      <c r="V206" s="2304"/>
      <c r="W206" s="2304"/>
      <c r="X206" s="2304"/>
      <c r="Y206" s="2304" t="s">
        <v>1857</v>
      </c>
      <c r="Z206" s="2304"/>
      <c r="AA206" s="2304"/>
      <c r="AB206" s="2304"/>
      <c r="AC206" s="2305" t="s">
        <v>1857</v>
      </c>
      <c r="AD206" s="2305"/>
      <c r="AE206" s="2305"/>
      <c r="AF206" s="2305"/>
      <c r="AG206" s="2297"/>
      <c r="AH206" s="2298"/>
      <c r="AI206" s="2298"/>
      <c r="AJ206" s="2298"/>
      <c r="AK206" s="2299"/>
      <c r="AL206" s="1207"/>
      <c r="AM206" s="1207"/>
      <c r="AN206" s="1207"/>
      <c r="AO206" s="1207"/>
      <c r="AP206" s="1207"/>
      <c r="AQ206" s="1207"/>
      <c r="AR206" s="1207"/>
      <c r="AS206" s="1207"/>
      <c r="AT206" s="1207"/>
      <c r="AU206" s="1207"/>
      <c r="AV206" s="1207"/>
      <c r="AW206" s="1207"/>
      <c r="AX206" s="1207"/>
      <c r="AY206" s="1207"/>
      <c r="AZ206" s="1207"/>
      <c r="BA206" s="1207"/>
      <c r="BB206" s="1207"/>
      <c r="BC206" s="1207"/>
      <c r="BD206" s="1207"/>
      <c r="BE206" s="1214"/>
    </row>
    <row r="207" spans="1:57" ht="15.75" customHeight="1">
      <c r="A207" s="1207"/>
      <c r="B207" s="1207"/>
      <c r="C207" s="2300">
        <v>4</v>
      </c>
      <c r="D207" s="2301"/>
      <c r="E207" s="2301"/>
      <c r="F207" s="2301"/>
      <c r="G207" s="2302" t="s">
        <v>1857</v>
      </c>
      <c r="H207" s="2302"/>
      <c r="I207" s="2302"/>
      <c r="J207" s="2302"/>
      <c r="K207" s="2302"/>
      <c r="L207" s="2302"/>
      <c r="M207" s="2302"/>
      <c r="N207" s="2302"/>
      <c r="O207" s="2302"/>
      <c r="P207" s="2303"/>
      <c r="Q207" s="2303"/>
      <c r="R207" s="2303"/>
      <c r="S207" s="2303"/>
      <c r="T207" s="2303"/>
      <c r="U207" s="2304" t="s">
        <v>1857</v>
      </c>
      <c r="V207" s="2304"/>
      <c r="W207" s="2304"/>
      <c r="X207" s="2304"/>
      <c r="Y207" s="2304" t="s">
        <v>1857</v>
      </c>
      <c r="Z207" s="2304"/>
      <c r="AA207" s="2304"/>
      <c r="AB207" s="2304"/>
      <c r="AC207" s="2305" t="s">
        <v>1857</v>
      </c>
      <c r="AD207" s="2305"/>
      <c r="AE207" s="2305"/>
      <c r="AF207" s="2305"/>
      <c r="AG207" s="2297"/>
      <c r="AH207" s="2298"/>
      <c r="AI207" s="2298"/>
      <c r="AJ207" s="2298"/>
      <c r="AK207" s="2299"/>
      <c r="AL207" s="1207"/>
      <c r="AM207" s="1207"/>
      <c r="AN207" s="1207"/>
      <c r="AO207" s="1207"/>
      <c r="AP207" s="1207"/>
      <c r="AQ207" s="1207"/>
      <c r="AR207" s="1207"/>
      <c r="AS207" s="1207"/>
      <c r="AT207" s="1207"/>
      <c r="AU207" s="1207"/>
      <c r="AV207" s="1207"/>
      <c r="AW207" s="1207"/>
      <c r="AX207" s="1207"/>
      <c r="AY207" s="1207"/>
      <c r="AZ207" s="1207"/>
      <c r="BA207" s="1207"/>
      <c r="BB207" s="1207"/>
      <c r="BC207" s="1207"/>
      <c r="BD207" s="1207"/>
      <c r="BE207" s="1214"/>
    </row>
    <row r="208" spans="1:57" ht="15.75" customHeight="1">
      <c r="A208" s="1207"/>
      <c r="B208" s="1207"/>
      <c r="C208" s="2300">
        <v>5</v>
      </c>
      <c r="D208" s="2301"/>
      <c r="E208" s="2301"/>
      <c r="F208" s="2301"/>
      <c r="G208" s="2302" t="s">
        <v>1857</v>
      </c>
      <c r="H208" s="2302"/>
      <c r="I208" s="2302"/>
      <c r="J208" s="2302"/>
      <c r="K208" s="2302"/>
      <c r="L208" s="2302"/>
      <c r="M208" s="2302"/>
      <c r="N208" s="2302"/>
      <c r="O208" s="2302"/>
      <c r="P208" s="2303"/>
      <c r="Q208" s="2303"/>
      <c r="R208" s="2303"/>
      <c r="S208" s="2303"/>
      <c r="T208" s="2303"/>
      <c r="U208" s="2304" t="s">
        <v>1857</v>
      </c>
      <c r="V208" s="2304"/>
      <c r="W208" s="2304"/>
      <c r="X208" s="2304"/>
      <c r="Y208" s="2304" t="s">
        <v>1857</v>
      </c>
      <c r="Z208" s="2304"/>
      <c r="AA208" s="2304"/>
      <c r="AB208" s="2304"/>
      <c r="AC208" s="2305" t="s">
        <v>1857</v>
      </c>
      <c r="AD208" s="2305"/>
      <c r="AE208" s="2305"/>
      <c r="AF208" s="2305"/>
      <c r="AG208" s="2297"/>
      <c r="AH208" s="2298"/>
      <c r="AI208" s="2298"/>
      <c r="AJ208" s="2298"/>
      <c r="AK208" s="2299"/>
      <c r="AL208" s="1207"/>
      <c r="AM208" s="1207"/>
      <c r="AN208" s="1207"/>
      <c r="AO208" s="1207"/>
      <c r="AP208" s="1207"/>
      <c r="AQ208" s="1207"/>
      <c r="AR208" s="1207"/>
      <c r="AS208" s="1207"/>
      <c r="AT208" s="1207"/>
      <c r="AU208" s="1207"/>
      <c r="AV208" s="1207"/>
      <c r="AW208" s="1207"/>
      <c r="AX208" s="1207"/>
      <c r="AY208" s="1207"/>
      <c r="AZ208" s="1207"/>
      <c r="BA208" s="1207"/>
      <c r="BB208" s="1207"/>
      <c r="BC208" s="1207"/>
      <c r="BD208" s="1207"/>
      <c r="BE208" s="1214"/>
    </row>
    <row r="209" spans="1:57" ht="15.75" customHeight="1">
      <c r="A209" s="1207"/>
      <c r="B209" s="1207"/>
      <c r="C209" s="2300">
        <v>6</v>
      </c>
      <c r="D209" s="2301"/>
      <c r="E209" s="2301"/>
      <c r="F209" s="2301"/>
      <c r="G209" s="2302" t="s">
        <v>1857</v>
      </c>
      <c r="H209" s="2302"/>
      <c r="I209" s="2302"/>
      <c r="J209" s="2302"/>
      <c r="K209" s="2302"/>
      <c r="L209" s="2302"/>
      <c r="M209" s="2302"/>
      <c r="N209" s="2302"/>
      <c r="O209" s="2302"/>
      <c r="P209" s="2303"/>
      <c r="Q209" s="2303"/>
      <c r="R209" s="2303"/>
      <c r="S209" s="2303"/>
      <c r="T209" s="2303"/>
      <c r="U209" s="2304"/>
      <c r="V209" s="2304"/>
      <c r="W209" s="2304"/>
      <c r="X209" s="2304"/>
      <c r="Y209" s="2304"/>
      <c r="Z209" s="2304"/>
      <c r="AA209" s="2304"/>
      <c r="AB209" s="2304"/>
      <c r="AC209" s="2305" t="s">
        <v>1857</v>
      </c>
      <c r="AD209" s="2305"/>
      <c r="AE209" s="2305"/>
      <c r="AF209" s="2305"/>
      <c r="AG209" s="2297"/>
      <c r="AH209" s="2298"/>
      <c r="AI209" s="2298"/>
      <c r="AJ209" s="2298"/>
      <c r="AK209" s="2299"/>
      <c r="AL209" s="1207"/>
      <c r="AM209" s="1207"/>
      <c r="AN209" s="1207"/>
      <c r="AO209" s="1207"/>
      <c r="AP209" s="1207"/>
      <c r="AQ209" s="1207"/>
      <c r="AR209" s="1207"/>
      <c r="AS209" s="1207"/>
      <c r="AT209" s="1207"/>
      <c r="AU209" s="1207"/>
      <c r="AV209" s="1207"/>
      <c r="AW209" s="1207"/>
      <c r="AX209" s="1207"/>
      <c r="AY209" s="1207"/>
      <c r="AZ209" s="1207"/>
      <c r="BA209" s="1207"/>
      <c r="BB209" s="1207"/>
      <c r="BC209" s="1207"/>
      <c r="BD209" s="1207"/>
      <c r="BE209" s="1214"/>
    </row>
    <row r="210" spans="1:57" ht="15.75" customHeight="1">
      <c r="A210" s="1207"/>
      <c r="B210" s="1207"/>
      <c r="C210" s="2300">
        <v>7</v>
      </c>
      <c r="D210" s="2301"/>
      <c r="E210" s="2301"/>
      <c r="F210" s="2301"/>
      <c r="G210" s="2302"/>
      <c r="H210" s="2302"/>
      <c r="I210" s="2302"/>
      <c r="J210" s="2302"/>
      <c r="K210" s="2302"/>
      <c r="L210" s="2302"/>
      <c r="M210" s="2302"/>
      <c r="N210" s="2302"/>
      <c r="O210" s="2302"/>
      <c r="P210" s="2303"/>
      <c r="Q210" s="2303"/>
      <c r="R210" s="2303"/>
      <c r="S210" s="2303"/>
      <c r="T210" s="2303"/>
      <c r="U210" s="2304"/>
      <c r="V210" s="2304"/>
      <c r="W210" s="2304"/>
      <c r="X210" s="2304"/>
      <c r="Y210" s="2304"/>
      <c r="Z210" s="2304"/>
      <c r="AA210" s="2304"/>
      <c r="AB210" s="2304"/>
      <c r="AC210" s="2305" t="s">
        <v>1857</v>
      </c>
      <c r="AD210" s="2305"/>
      <c r="AE210" s="2305"/>
      <c r="AF210" s="2305"/>
      <c r="AG210" s="2297"/>
      <c r="AH210" s="2298"/>
      <c r="AI210" s="2298"/>
      <c r="AJ210" s="2298"/>
      <c r="AK210" s="2299"/>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14"/>
    </row>
    <row r="211" spans="1:57" ht="15.75" customHeight="1">
      <c r="A211" s="1207"/>
      <c r="B211" s="1207"/>
      <c r="C211" s="2319" t="s">
        <v>2234</v>
      </c>
      <c r="D211" s="2320"/>
      <c r="E211" s="2320"/>
      <c r="F211" s="2320"/>
      <c r="G211" s="2320"/>
      <c r="H211" s="2320"/>
      <c r="I211" s="2320"/>
      <c r="J211" s="2320"/>
      <c r="K211" s="2320"/>
      <c r="L211" s="2320"/>
      <c r="M211" s="2320"/>
      <c r="N211" s="2320"/>
      <c r="O211" s="2320"/>
      <c r="P211" s="2321"/>
      <c r="Q211" s="2321"/>
      <c r="R211" s="2321"/>
      <c r="S211" s="2321"/>
      <c r="T211" s="2321"/>
      <c r="U211" s="2322">
        <f>-SUM(U204:U210)</f>
        <v>0</v>
      </c>
      <c r="V211" s="2322"/>
      <c r="W211" s="2322"/>
      <c r="X211" s="2322"/>
      <c r="Y211" s="2322">
        <f>-SUM(Y204:Y210)</f>
        <v>0</v>
      </c>
      <c r="Z211" s="2322"/>
      <c r="AA211" s="2322"/>
      <c r="AB211" s="2322"/>
      <c r="AC211" s="2323">
        <f>-SUM(AC204:AC210)</f>
        <v>0</v>
      </c>
      <c r="AD211" s="2323"/>
      <c r="AE211" s="2323"/>
      <c r="AF211" s="2323"/>
      <c r="AG211" s="2324"/>
      <c r="AH211" s="2325"/>
      <c r="AI211" s="2325"/>
      <c r="AJ211" s="2325"/>
      <c r="AK211" s="2326"/>
      <c r="AL211" s="1207"/>
      <c r="AM211" s="1207"/>
      <c r="AN211" s="1207"/>
      <c r="AO211" s="1207"/>
      <c r="AP211" s="1207"/>
      <c r="AQ211" s="1207"/>
      <c r="AR211" s="1207"/>
      <c r="AS211" s="1207"/>
      <c r="AT211" s="1207"/>
      <c r="AU211" s="1207"/>
      <c r="AV211" s="1207"/>
      <c r="AW211" s="1207"/>
      <c r="AX211" s="1207"/>
      <c r="AY211" s="1207"/>
      <c r="AZ211" s="1207"/>
      <c r="BA211" s="1207"/>
      <c r="BB211" s="1207"/>
      <c r="BC211" s="1207"/>
      <c r="BD211" s="1207"/>
      <c r="BE211" s="1214"/>
    </row>
    <row r="212" spans="1:57" ht="15.75" customHeight="1">
      <c r="A212" s="1207"/>
      <c r="B212" s="1207"/>
      <c r="C212" s="1207" t="s">
        <v>2233</v>
      </c>
      <c r="D212" s="1207"/>
      <c r="E212" s="1207"/>
      <c r="F212" s="1207"/>
      <c r="G212" s="1207"/>
      <c r="H212" s="1207"/>
      <c r="I212" s="1207"/>
      <c r="J212" s="1207"/>
      <c r="K212" s="1207"/>
      <c r="L212" s="1207"/>
      <c r="M212" s="1207"/>
      <c r="N212" s="1207"/>
      <c r="O212" s="1207"/>
      <c r="P212" s="1207"/>
      <c r="Q212" s="1207"/>
      <c r="R212" s="1207"/>
      <c r="S212" s="1207"/>
      <c r="T212" s="1207"/>
      <c r="U212" s="1207"/>
      <c r="V212" s="1207"/>
      <c r="W212" s="1207"/>
      <c r="X212" s="1207"/>
      <c r="Y212" s="1207"/>
      <c r="Z212" s="1207"/>
      <c r="AA212" s="1207"/>
      <c r="AB212" s="1207"/>
      <c r="AC212" s="1207"/>
      <c r="AD212" s="1207"/>
      <c r="AE212" s="1207"/>
      <c r="AF212" s="1207"/>
      <c r="AG212" s="1207"/>
      <c r="AH212" s="1207"/>
      <c r="AI212" s="1207"/>
      <c r="AJ212" s="1207"/>
      <c r="AK212" s="1207"/>
      <c r="AL212" s="1207"/>
      <c r="AM212" s="1207"/>
      <c r="AN212" s="1207"/>
      <c r="AO212" s="1207"/>
      <c r="AP212" s="1207"/>
      <c r="AQ212" s="1207"/>
      <c r="AR212" s="1207"/>
      <c r="AS212" s="1207"/>
      <c r="AT212" s="1207"/>
      <c r="AU212" s="1207"/>
      <c r="AV212" s="1207"/>
      <c r="AW212" s="1207"/>
      <c r="AX212" s="1207"/>
      <c r="AY212" s="1207"/>
      <c r="AZ212" s="1207"/>
      <c r="BA212" s="1207"/>
      <c r="BB212" s="1207"/>
      <c r="BC212" s="1207"/>
      <c r="BD212" s="1207"/>
      <c r="BE212" s="1214"/>
    </row>
    <row r="213" spans="1:57" ht="15.75" customHeight="1">
      <c r="A213" s="1207"/>
      <c r="B213" s="1207"/>
      <c r="C213" s="1207"/>
      <c r="D213" s="1207"/>
      <c r="E213" s="1207"/>
      <c r="F213" s="1207"/>
      <c r="G213" s="1207"/>
      <c r="H213" s="1207"/>
      <c r="I213" s="1207"/>
      <c r="J213" s="1207"/>
      <c r="K213" s="1207"/>
      <c r="L213" s="1207"/>
      <c r="M213" s="1207"/>
      <c r="N213" s="1207"/>
      <c r="O213" s="1207"/>
      <c r="P213" s="1207"/>
      <c r="Q213" s="1207"/>
      <c r="R213" s="1207"/>
      <c r="S213" s="1207"/>
      <c r="T213" s="1207"/>
      <c r="U213" s="1207"/>
      <c r="V213" s="1207"/>
      <c r="W213" s="1207"/>
      <c r="X213" s="1207"/>
      <c r="Y213" s="1207"/>
      <c r="Z213" s="1207"/>
      <c r="AA213" s="1207"/>
      <c r="AB213" s="1207"/>
      <c r="AC213" s="1207"/>
      <c r="AD213" s="1207"/>
      <c r="AE213" s="1207"/>
      <c r="AF213" s="1207"/>
      <c r="AG213" s="1207"/>
      <c r="AH213" s="1207"/>
      <c r="AI213" s="1207"/>
      <c r="AJ213" s="1207"/>
      <c r="AK213" s="1207"/>
      <c r="AL213" s="1207"/>
      <c r="AM213" s="1207"/>
      <c r="AN213" s="1207"/>
      <c r="AO213" s="1207"/>
      <c r="AP213" s="1207"/>
      <c r="AQ213" s="1207"/>
      <c r="AR213" s="1207"/>
      <c r="AS213" s="1207"/>
      <c r="AT213" s="1207"/>
      <c r="AU213" s="1207"/>
      <c r="AV213" s="1207"/>
      <c r="AW213" s="1207"/>
      <c r="AX213" s="1207"/>
      <c r="AY213" s="1207"/>
      <c r="AZ213" s="1207"/>
      <c r="BA213" s="1207"/>
      <c r="BB213" s="1207"/>
      <c r="BC213" s="1207"/>
      <c r="BD213" s="1207"/>
      <c r="BE213" s="1214"/>
    </row>
    <row r="214" spans="1:57" ht="15.75" customHeight="1">
      <c r="A214" s="1207"/>
      <c r="B214" s="1207"/>
      <c r="C214" s="1207"/>
      <c r="D214" s="1207"/>
      <c r="E214" s="1207"/>
      <c r="F214" s="1207"/>
      <c r="G214" s="1207"/>
      <c r="H214" s="1207"/>
      <c r="I214" s="1207"/>
      <c r="J214" s="1207"/>
      <c r="K214" s="1207"/>
      <c r="L214" s="1207"/>
      <c r="M214" s="1207"/>
      <c r="N214" s="1207"/>
      <c r="O214" s="1207"/>
      <c r="P214" s="1207"/>
      <c r="Q214" s="1207"/>
      <c r="R214" s="1207"/>
      <c r="S214" s="1207"/>
      <c r="T214" s="1207"/>
      <c r="U214" s="1207"/>
      <c r="V214" s="1207"/>
      <c r="W214" s="1207"/>
      <c r="X214" s="1207"/>
      <c r="Y214" s="1207"/>
      <c r="Z214" s="1207"/>
      <c r="AA214" s="1207"/>
      <c r="AB214" s="1207"/>
      <c r="AC214" s="1207"/>
      <c r="AD214" s="1207"/>
      <c r="AE214" s="1207"/>
      <c r="AF214" s="1207"/>
      <c r="AG214" s="1207"/>
      <c r="AH214" s="1207"/>
      <c r="AI214" s="1207"/>
      <c r="AJ214" s="1207"/>
      <c r="AK214" s="1207"/>
      <c r="AL214" s="1207"/>
      <c r="AM214" s="1207"/>
      <c r="AN214" s="1207"/>
      <c r="AO214" s="1207"/>
      <c r="AP214" s="1207"/>
      <c r="AQ214" s="1207"/>
      <c r="AR214" s="1207"/>
      <c r="AS214" s="1207"/>
      <c r="AT214" s="1207"/>
      <c r="AU214" s="1207"/>
      <c r="AV214" s="1207"/>
      <c r="AW214" s="1207"/>
      <c r="AX214" s="1207"/>
      <c r="AY214" s="1207"/>
      <c r="AZ214" s="1207"/>
      <c r="BA214" s="1207"/>
      <c r="BB214" s="1207"/>
      <c r="BC214" s="1207"/>
      <c r="BD214" s="1207"/>
      <c r="BE214" s="1214"/>
    </row>
    <row r="215" spans="1:57" ht="15.75" customHeight="1" thickBot="1">
      <c r="A215" s="1207"/>
      <c r="B215" s="1207"/>
      <c r="C215" s="1207"/>
      <c r="D215" s="1207"/>
      <c r="E215" s="1207"/>
      <c r="F215" s="1207"/>
      <c r="G215" s="1207"/>
      <c r="H215" s="1207"/>
      <c r="I215" s="1207"/>
      <c r="J215" s="1207"/>
      <c r="K215" s="1207"/>
      <c r="L215" s="1207"/>
      <c r="M215" s="1207"/>
      <c r="N215" s="1207"/>
      <c r="O215" s="1207"/>
      <c r="P215" s="1207"/>
      <c r="Q215" s="1207"/>
      <c r="R215" s="1207"/>
      <c r="S215" s="1207"/>
      <c r="T215" s="1207"/>
      <c r="U215" s="1207"/>
      <c r="V215" s="1207"/>
      <c r="W215" s="1207"/>
      <c r="X215" s="1207"/>
      <c r="Y215" s="1207"/>
      <c r="Z215" s="1207"/>
      <c r="AA215" s="1207"/>
      <c r="AB215" s="1207"/>
      <c r="AC215" s="1207"/>
      <c r="AD215" s="1207"/>
      <c r="AE215" s="1207"/>
      <c r="AF215" s="1207"/>
      <c r="AG215" s="1207"/>
      <c r="AH215" s="1207"/>
      <c r="AI215" s="1207"/>
      <c r="AJ215" s="1207"/>
      <c r="AK215" s="1207"/>
      <c r="AL215" s="1207"/>
      <c r="AM215" s="1207"/>
      <c r="AN215" s="1207"/>
      <c r="AO215" s="1207"/>
      <c r="AP215" s="1207"/>
      <c r="AQ215" s="1207"/>
      <c r="AR215" s="1207"/>
      <c r="AS215" s="1207"/>
      <c r="AT215" s="1207"/>
      <c r="AU215" s="1207"/>
      <c r="AV215" s="1207"/>
      <c r="AW215" s="1207"/>
      <c r="AX215" s="1207"/>
      <c r="AY215" s="1207"/>
      <c r="AZ215" s="1207"/>
      <c r="BA215" s="1207"/>
      <c r="BB215" s="1207"/>
      <c r="BC215" s="1207"/>
      <c r="BD215" s="1207"/>
      <c r="BE215" s="1214"/>
    </row>
    <row r="216" spans="1:57" ht="15.75" customHeight="1">
      <c r="A216" s="1207"/>
      <c r="B216" s="2307" t="s">
        <v>2232</v>
      </c>
      <c r="C216" s="2308"/>
      <c r="D216" s="2308"/>
      <c r="E216" s="2308"/>
      <c r="F216" s="2308"/>
      <c r="G216" s="2308"/>
      <c r="H216" s="2308"/>
      <c r="I216" s="2308"/>
      <c r="J216" s="2308"/>
      <c r="K216" s="2308"/>
      <c r="L216" s="2308"/>
      <c r="M216" s="2308"/>
      <c r="N216" s="2308"/>
      <c r="O216" s="2308"/>
      <c r="P216" s="2308"/>
      <c r="Q216" s="2308"/>
      <c r="R216" s="2308"/>
      <c r="S216" s="2308"/>
      <c r="T216" s="2308"/>
      <c r="U216" s="2308"/>
      <c r="V216" s="2308"/>
      <c r="W216" s="2308"/>
      <c r="X216" s="2308"/>
      <c r="Y216" s="2308"/>
      <c r="Z216" s="2308"/>
      <c r="AA216" s="2308"/>
      <c r="AB216" s="2308"/>
      <c r="AC216" s="2308"/>
      <c r="AD216" s="2308"/>
      <c r="AE216" s="2308"/>
      <c r="AF216" s="2308"/>
      <c r="AG216" s="2308"/>
      <c r="AH216" s="2308"/>
      <c r="AI216" s="2308"/>
      <c r="AJ216" s="2308"/>
      <c r="AK216" s="2308"/>
      <c r="AL216" s="2308"/>
      <c r="AM216" s="2308"/>
      <c r="AN216" s="2308"/>
      <c r="AO216" s="2308"/>
      <c r="AP216" s="2308"/>
      <c r="AQ216" s="2308"/>
      <c r="AR216" s="2308"/>
      <c r="AS216" s="2308"/>
      <c r="AT216" s="2308"/>
      <c r="AU216" s="2308"/>
      <c r="AV216" s="2308"/>
      <c r="AW216" s="2308"/>
      <c r="AX216" s="2308"/>
      <c r="AY216" s="2308"/>
      <c r="AZ216" s="2308"/>
      <c r="BA216" s="2308"/>
      <c r="BB216" s="2308"/>
      <c r="BC216" s="2308"/>
      <c r="BD216" s="2309"/>
      <c r="BE216" s="1214"/>
    </row>
    <row r="217" spans="1:57" ht="15.75" customHeight="1">
      <c r="A217" s="1207"/>
      <c r="B217" s="2310"/>
      <c r="C217" s="2311"/>
      <c r="D217" s="2311"/>
      <c r="E217" s="2311"/>
      <c r="F217" s="2311"/>
      <c r="G217" s="2311"/>
      <c r="H217" s="2311"/>
      <c r="I217" s="2311"/>
      <c r="J217" s="2311"/>
      <c r="K217" s="2311"/>
      <c r="L217" s="2311"/>
      <c r="M217" s="2311"/>
      <c r="N217" s="2311"/>
      <c r="O217" s="2311"/>
      <c r="P217" s="2311"/>
      <c r="Q217" s="2311"/>
      <c r="R217" s="2311"/>
      <c r="S217" s="2311"/>
      <c r="T217" s="2311"/>
      <c r="U217" s="2311"/>
      <c r="V217" s="2311"/>
      <c r="W217" s="2311"/>
      <c r="X217" s="2311"/>
      <c r="Y217" s="2311"/>
      <c r="Z217" s="2311"/>
      <c r="AA217" s="2311"/>
      <c r="AB217" s="2311"/>
      <c r="AC217" s="2311"/>
      <c r="AD217" s="2311"/>
      <c r="AE217" s="2311"/>
      <c r="AF217" s="2311"/>
      <c r="AG217" s="2311"/>
      <c r="AH217" s="2311"/>
      <c r="AI217" s="2311"/>
      <c r="AJ217" s="2311"/>
      <c r="AK217" s="2311"/>
      <c r="AL217" s="2311"/>
      <c r="AM217" s="2311"/>
      <c r="AN217" s="2311"/>
      <c r="AO217" s="2311"/>
      <c r="AP217" s="2311"/>
      <c r="AQ217" s="2311"/>
      <c r="AR217" s="2311"/>
      <c r="AS217" s="2311"/>
      <c r="AT217" s="2311"/>
      <c r="AU217" s="2311"/>
      <c r="AV217" s="2311"/>
      <c r="AW217" s="2311"/>
      <c r="AX217" s="2311"/>
      <c r="AY217" s="2311"/>
      <c r="AZ217" s="2311"/>
      <c r="BA217" s="2311"/>
      <c r="BB217" s="2311"/>
      <c r="BC217" s="2311"/>
      <c r="BD217" s="2312"/>
      <c r="BE217" s="1214"/>
    </row>
    <row r="218" spans="1:57" ht="15.75" customHeight="1">
      <c r="A218" s="1207"/>
      <c r="B218" s="2313" t="s">
        <v>2231</v>
      </c>
      <c r="C218" s="2314"/>
      <c r="D218" s="2314"/>
      <c r="E218" s="2314"/>
      <c r="F218" s="2314"/>
      <c r="G218" s="2314"/>
      <c r="H218" s="2314"/>
      <c r="I218" s="2314"/>
      <c r="J218" s="2314"/>
      <c r="K218" s="2314"/>
      <c r="L218" s="2314"/>
      <c r="M218" s="2314"/>
      <c r="N218" s="2314"/>
      <c r="O218" s="2314"/>
      <c r="P218" s="2314"/>
      <c r="Q218" s="2314"/>
      <c r="R218" s="2314"/>
      <c r="S218" s="2314"/>
      <c r="T218" s="2314"/>
      <c r="U218" s="2314"/>
      <c r="V218" s="2314"/>
      <c r="W218" s="2314"/>
      <c r="X218" s="2314"/>
      <c r="Y218" s="2314"/>
      <c r="Z218" s="2314"/>
      <c r="AA218" s="2314"/>
      <c r="AB218" s="2314"/>
      <c r="AC218" s="2314"/>
      <c r="AD218" s="2314"/>
      <c r="AE218" s="2314"/>
      <c r="AF218" s="2314"/>
      <c r="AG218" s="2314"/>
      <c r="AH218" s="2314"/>
      <c r="AI218" s="2314"/>
      <c r="AJ218" s="2314"/>
      <c r="AK218" s="2314"/>
      <c r="AL218" s="2314"/>
      <c r="AM218" s="2314"/>
      <c r="AN218" s="2314"/>
      <c r="AO218" s="2314"/>
      <c r="AP218" s="2314"/>
      <c r="AQ218" s="2314"/>
      <c r="AR218" s="2314"/>
      <c r="AS218" s="2314"/>
      <c r="AT218" s="2314"/>
      <c r="AU218" s="2314"/>
      <c r="AV218" s="2314"/>
      <c r="AW218" s="2314"/>
      <c r="AX218" s="2314"/>
      <c r="AY218" s="2314"/>
      <c r="AZ218" s="2314"/>
      <c r="BA218" s="2314"/>
      <c r="BB218" s="2314"/>
      <c r="BC218" s="2314"/>
      <c r="BD218" s="2315"/>
      <c r="BE218" s="1214"/>
    </row>
    <row r="219" spans="1:57" ht="15.75" customHeight="1">
      <c r="A219" s="1207"/>
      <c r="B219" s="2313" t="s">
        <v>2230</v>
      </c>
      <c r="C219" s="2314"/>
      <c r="D219" s="2314"/>
      <c r="E219" s="2314"/>
      <c r="F219" s="2314"/>
      <c r="G219" s="2314"/>
      <c r="H219" s="2314"/>
      <c r="I219" s="2314"/>
      <c r="J219" s="2314"/>
      <c r="K219" s="2314"/>
      <c r="L219" s="2314"/>
      <c r="M219" s="2314"/>
      <c r="N219" s="2314"/>
      <c r="O219" s="2314"/>
      <c r="P219" s="2314"/>
      <c r="Q219" s="2314"/>
      <c r="R219" s="2314"/>
      <c r="S219" s="2314"/>
      <c r="T219" s="2314"/>
      <c r="U219" s="2314"/>
      <c r="V219" s="2314"/>
      <c r="W219" s="2314"/>
      <c r="X219" s="2314"/>
      <c r="Y219" s="2314"/>
      <c r="Z219" s="2314"/>
      <c r="AA219" s="2314"/>
      <c r="AB219" s="2314"/>
      <c r="AC219" s="2314"/>
      <c r="AD219" s="2314"/>
      <c r="AE219" s="2314"/>
      <c r="AF219" s="2314"/>
      <c r="AG219" s="2314"/>
      <c r="AH219" s="2314"/>
      <c r="AI219" s="2314"/>
      <c r="AJ219" s="2314"/>
      <c r="AK219" s="2314"/>
      <c r="AL219" s="2314"/>
      <c r="AM219" s="2314"/>
      <c r="AN219" s="2314"/>
      <c r="AO219" s="2314"/>
      <c r="AP219" s="2314"/>
      <c r="AQ219" s="2314"/>
      <c r="AR219" s="2314"/>
      <c r="AS219" s="2314"/>
      <c r="AT219" s="2314"/>
      <c r="AU219" s="2314"/>
      <c r="AV219" s="2314"/>
      <c r="AW219" s="2314"/>
      <c r="AX219" s="2314"/>
      <c r="AY219" s="2314"/>
      <c r="AZ219" s="2314"/>
      <c r="BA219" s="2314"/>
      <c r="BB219" s="2314"/>
      <c r="BC219" s="2314"/>
      <c r="BD219" s="2315"/>
      <c r="BE219" s="1214"/>
    </row>
    <row r="220" spans="1:57" ht="15.75" customHeight="1">
      <c r="A220" s="1207"/>
      <c r="B220" s="1206"/>
      <c r="C220" s="1207"/>
      <c r="D220" s="1207"/>
      <c r="E220" s="1207"/>
      <c r="F220" s="1207"/>
      <c r="G220" s="1207"/>
      <c r="H220" s="1207"/>
      <c r="I220" s="1207"/>
      <c r="J220" s="1207"/>
      <c r="K220" s="1207"/>
      <c r="L220" s="1207"/>
      <c r="M220" s="1207"/>
      <c r="N220" s="1207"/>
      <c r="O220" s="1207"/>
      <c r="P220" s="1207"/>
      <c r="Q220" s="1207"/>
      <c r="R220" s="1207"/>
      <c r="S220" s="1207"/>
      <c r="T220" s="1207"/>
      <c r="U220" s="1207"/>
      <c r="V220" s="1207"/>
      <c r="W220" s="1207"/>
      <c r="X220" s="1207"/>
      <c r="Y220" s="1207"/>
      <c r="Z220" s="1207"/>
      <c r="AA220" s="1207"/>
      <c r="AB220" s="1207"/>
      <c r="AC220" s="1207"/>
      <c r="AD220" s="1207"/>
      <c r="AE220" s="1207"/>
      <c r="AF220" s="1207"/>
      <c r="AG220" s="1207"/>
      <c r="AH220" s="1207"/>
      <c r="AI220" s="1207"/>
      <c r="AJ220" s="1207"/>
      <c r="AK220" s="1207"/>
      <c r="AL220" s="1207"/>
      <c r="AM220" s="1207"/>
      <c r="AN220" s="1207"/>
      <c r="AO220" s="1207"/>
      <c r="AP220" s="1207"/>
      <c r="AQ220" s="1207"/>
      <c r="AR220" s="1207"/>
      <c r="AS220" s="1207"/>
      <c r="AT220" s="1207"/>
      <c r="AU220" s="1207"/>
      <c r="AV220" s="1207"/>
      <c r="AW220" s="1207"/>
      <c r="AX220" s="1207"/>
      <c r="AY220" s="1207"/>
      <c r="AZ220" s="1207"/>
      <c r="BA220" s="1207"/>
      <c r="BB220" s="1207"/>
      <c r="BC220" s="1207"/>
      <c r="BD220" s="1214"/>
      <c r="BE220" s="1214"/>
    </row>
    <row r="221" spans="1:57" ht="15.75" customHeight="1">
      <c r="A221" s="1207"/>
      <c r="B221" s="2316" t="s">
        <v>2229</v>
      </c>
      <c r="C221" s="2206"/>
      <c r="D221" s="2206"/>
      <c r="E221" s="2206"/>
      <c r="F221" s="2206"/>
      <c r="G221" s="2206"/>
      <c r="H221" s="2206"/>
      <c r="I221" s="2206"/>
      <c r="J221" s="2206"/>
      <c r="K221" s="2206"/>
      <c r="L221" s="2206"/>
      <c r="M221" s="2206"/>
      <c r="N221" s="2206"/>
      <c r="O221" s="2206"/>
      <c r="P221" s="2206"/>
      <c r="Q221" s="2206"/>
      <c r="R221" s="2206"/>
      <c r="S221" s="2206"/>
      <c r="T221" s="2206"/>
      <c r="U221" s="2206"/>
      <c r="V221" s="2206"/>
      <c r="W221" s="2206"/>
      <c r="X221" s="2206"/>
      <c r="Y221" s="2206"/>
      <c r="Z221" s="2206"/>
      <c r="AA221" s="2206"/>
      <c r="AB221" s="2206"/>
      <c r="AC221" s="2206"/>
      <c r="AD221" s="2206"/>
      <c r="AE221" s="2206"/>
      <c r="AF221" s="2206"/>
      <c r="AG221" s="2206"/>
      <c r="AH221" s="2206"/>
      <c r="AI221" s="2206"/>
      <c r="AJ221" s="2206"/>
      <c r="AK221" s="2206"/>
      <c r="AL221" s="2206"/>
      <c r="AM221" s="2206"/>
      <c r="AN221" s="2206"/>
      <c r="AO221" s="2206"/>
      <c r="AP221" s="2206"/>
      <c r="AQ221" s="2206"/>
      <c r="AR221" s="2206"/>
      <c r="AS221" s="2206"/>
      <c r="AT221" s="2206"/>
      <c r="AU221" s="2206"/>
      <c r="AV221" s="2206"/>
      <c r="AW221" s="2206"/>
      <c r="AX221" s="2206"/>
      <c r="AY221" s="2206"/>
      <c r="AZ221" s="2206"/>
      <c r="BA221" s="2206"/>
      <c r="BB221" s="2206"/>
      <c r="BC221" s="2206"/>
      <c r="BD221" s="2317"/>
      <c r="BE221" s="1214"/>
    </row>
    <row r="222" spans="1:57" ht="15.75" customHeight="1">
      <c r="A222" s="1207"/>
      <c r="B222" s="1252"/>
      <c r="C222" s="1207"/>
      <c r="D222" s="1207"/>
      <c r="E222" s="1207"/>
      <c r="F222" s="1207"/>
      <c r="G222" s="1207"/>
      <c r="H222" s="1207"/>
      <c r="I222" s="1207"/>
      <c r="J222" s="1207"/>
      <c r="K222" s="1207"/>
      <c r="L222" s="1207"/>
      <c r="M222" s="1207"/>
      <c r="N222" s="1207"/>
      <c r="O222" s="1207"/>
      <c r="P222" s="1207"/>
      <c r="Q222" s="1207"/>
      <c r="R222" s="1207"/>
      <c r="S222" s="1207"/>
      <c r="T222" s="1207"/>
      <c r="U222" s="1207"/>
      <c r="V222" s="1207"/>
      <c r="W222" s="1207"/>
      <c r="X222" s="1207"/>
      <c r="Y222" s="1207"/>
      <c r="Z222" s="1207"/>
      <c r="AA222" s="1207"/>
      <c r="AB222" s="1207"/>
      <c r="AC222" s="1207"/>
      <c r="AD222" s="1207"/>
      <c r="AE222" s="1207"/>
      <c r="AF222" s="1207"/>
      <c r="AG222" s="1207"/>
      <c r="AH222" s="1207"/>
      <c r="AI222" s="1207"/>
      <c r="AJ222" s="1207"/>
      <c r="AK222" s="1207"/>
      <c r="AL222" s="1207"/>
      <c r="AM222" s="1207"/>
      <c r="AN222" s="1207"/>
      <c r="AO222" s="1207"/>
      <c r="AP222" s="1207"/>
      <c r="AQ222" s="1207"/>
      <c r="AR222" s="1207"/>
      <c r="AS222" s="1207"/>
      <c r="AT222" s="1207"/>
      <c r="AU222" s="1207"/>
      <c r="AV222" s="1207"/>
      <c r="AW222" s="1207"/>
      <c r="AX222" s="1207"/>
      <c r="AY222" s="1207"/>
      <c r="AZ222" s="1207"/>
      <c r="BA222" s="1207"/>
      <c r="BB222" s="1207"/>
      <c r="BC222" s="1207"/>
      <c r="BD222" s="1214"/>
      <c r="BE222" s="1214"/>
    </row>
    <row r="223" spans="1:57" ht="15.75" customHeight="1">
      <c r="A223" s="1207"/>
      <c r="B223" s="1253"/>
      <c r="C223" s="1207"/>
      <c r="D223" s="1207"/>
      <c r="E223" s="1207"/>
      <c r="F223" s="1207"/>
      <c r="G223" s="1207"/>
      <c r="H223" s="1208" t="s">
        <v>2228</v>
      </c>
      <c r="I223" s="1207"/>
      <c r="J223" s="1207"/>
      <c r="K223" s="1207"/>
      <c r="L223" s="1207"/>
      <c r="M223" s="1207"/>
      <c r="N223" s="1207"/>
      <c r="O223" s="1207"/>
      <c r="P223" s="1207"/>
      <c r="Q223" s="1207"/>
      <c r="R223" s="1207"/>
      <c r="S223" s="1207"/>
      <c r="T223" s="1207"/>
      <c r="U223" s="1207"/>
      <c r="V223" s="1207"/>
      <c r="W223" s="1207"/>
      <c r="X223" s="1207"/>
      <c r="Y223" s="1207"/>
      <c r="Z223" s="1207"/>
      <c r="AA223" s="1207"/>
      <c r="AB223" s="1207"/>
      <c r="AC223" s="1207"/>
      <c r="AD223" s="1207"/>
      <c r="AE223" s="1207"/>
      <c r="AF223" s="1207"/>
      <c r="AG223" s="1207"/>
      <c r="AH223" s="1207"/>
      <c r="AI223" s="1207"/>
      <c r="AJ223" s="1207"/>
      <c r="AK223" s="1207"/>
      <c r="AL223" s="1207"/>
      <c r="AM223" s="1207"/>
      <c r="AN223" s="1207"/>
      <c r="AO223" s="1207"/>
      <c r="AP223" s="1207"/>
      <c r="AQ223" s="1207"/>
      <c r="AR223" s="1207"/>
      <c r="AS223" s="1207"/>
      <c r="AT223" s="1207"/>
      <c r="AU223" s="1207"/>
      <c r="AV223" s="1207"/>
      <c r="AW223" s="1207"/>
      <c r="AX223" s="1207"/>
      <c r="AY223" s="1207"/>
      <c r="AZ223" s="1207"/>
      <c r="BA223" s="1207"/>
      <c r="BB223" s="1207"/>
      <c r="BC223" s="1207"/>
      <c r="BD223" s="1214"/>
      <c r="BE223" s="1214"/>
    </row>
    <row r="224" spans="1:57" ht="15.75" customHeight="1">
      <c r="A224" s="1207"/>
      <c r="B224" s="1253"/>
      <c r="C224" s="1207"/>
      <c r="D224" s="1207"/>
      <c r="E224" s="1207"/>
      <c r="F224" s="1207"/>
      <c r="G224" s="1207"/>
      <c r="H224" s="1207"/>
      <c r="I224" s="1207"/>
      <c r="J224" s="1207"/>
      <c r="K224" s="1207"/>
      <c r="L224" s="1207"/>
      <c r="M224" s="1207"/>
      <c r="N224" s="1207"/>
      <c r="O224" s="1207"/>
      <c r="P224" s="1207"/>
      <c r="Q224" s="1207"/>
      <c r="R224" s="1207"/>
      <c r="S224" s="1207"/>
      <c r="T224" s="1207"/>
      <c r="U224" s="1207"/>
      <c r="V224" s="1207"/>
      <c r="W224" s="1207"/>
      <c r="X224" s="1207"/>
      <c r="Y224" s="1207"/>
      <c r="Z224" s="1207"/>
      <c r="AA224" s="1207"/>
      <c r="AB224" s="1207"/>
      <c r="AC224" s="1207"/>
      <c r="AD224" s="1207"/>
      <c r="AE224" s="1207"/>
      <c r="AF224" s="1207"/>
      <c r="AG224" s="1207"/>
      <c r="AH224" s="1207"/>
      <c r="AI224" s="1207"/>
      <c r="AJ224" s="1207"/>
      <c r="AK224" s="1207"/>
      <c r="AL224" s="1207"/>
      <c r="AM224" s="1207"/>
      <c r="AN224" s="1207"/>
      <c r="AO224" s="1207"/>
      <c r="AP224" s="1207"/>
      <c r="AQ224" s="1207"/>
      <c r="AR224" s="1207"/>
      <c r="AS224" s="1207"/>
      <c r="AT224" s="1207"/>
      <c r="AU224" s="1207"/>
      <c r="AV224" s="1207"/>
      <c r="AW224" s="1207"/>
      <c r="AX224" s="1207"/>
      <c r="AY224" s="1207"/>
      <c r="AZ224" s="1207"/>
      <c r="BA224" s="1207"/>
      <c r="BB224" s="1207"/>
      <c r="BC224" s="1207"/>
      <c r="BD224" s="1214"/>
      <c r="BE224" s="1214"/>
    </row>
    <row r="225" spans="1:57" ht="15.75" customHeight="1">
      <c r="A225" s="1207"/>
      <c r="B225" s="1253"/>
      <c r="C225" s="1207"/>
      <c r="D225" s="1207"/>
      <c r="E225" s="1207"/>
      <c r="F225" s="1207"/>
      <c r="G225" s="1207"/>
      <c r="H225" s="2318" t="s">
        <v>2227</v>
      </c>
      <c r="I225" s="2318"/>
      <c r="J225" s="2318"/>
      <c r="K225" s="2318"/>
      <c r="L225" s="2318"/>
      <c r="M225" s="2318"/>
      <c r="N225" s="2318"/>
      <c r="O225" s="2318"/>
      <c r="P225" s="2318"/>
      <c r="Q225" s="2318"/>
      <c r="R225" s="2318"/>
      <c r="S225" s="2318"/>
      <c r="T225" s="2318"/>
      <c r="U225" s="2318"/>
      <c r="V225" s="2318"/>
      <c r="W225" s="2318"/>
      <c r="X225" s="2318"/>
      <c r="Y225" s="2318"/>
      <c r="Z225" s="2318"/>
      <c r="AA225" s="2318"/>
      <c r="AB225" s="2318"/>
      <c r="AC225" s="2318"/>
      <c r="AD225" s="2318"/>
      <c r="AE225" s="2318"/>
      <c r="AF225" s="2318"/>
      <c r="AG225" s="2318"/>
      <c r="AH225" s="2318"/>
      <c r="AI225" s="2318"/>
      <c r="AJ225" s="2318"/>
      <c r="AK225" s="2318"/>
      <c r="AL225" s="2318"/>
      <c r="AM225" s="2318"/>
      <c r="AN225" s="2318"/>
      <c r="AO225" s="2318"/>
      <c r="AP225" s="2318"/>
      <c r="AQ225" s="2318"/>
      <c r="AR225" s="2318"/>
      <c r="AS225" s="2318"/>
      <c r="AT225" s="2318"/>
      <c r="AU225" s="2318"/>
      <c r="AV225" s="2318"/>
      <c r="AW225" s="2318"/>
      <c r="AX225" s="2318"/>
      <c r="AY225" s="2318"/>
      <c r="AZ225" s="1207"/>
      <c r="BA225" s="1207"/>
      <c r="BB225" s="1207"/>
      <c r="BC225" s="1207"/>
      <c r="BD225" s="1214"/>
      <c r="BE225" s="1214"/>
    </row>
    <row r="226" spans="1:57" ht="15.75" customHeight="1">
      <c r="A226" s="1207"/>
      <c r="B226" s="1253"/>
      <c r="C226" s="1207"/>
      <c r="D226" s="1207"/>
      <c r="E226" s="1207"/>
      <c r="F226" s="1207"/>
      <c r="G226" s="1207"/>
      <c r="H226" s="1207"/>
      <c r="I226" s="1207"/>
      <c r="J226" s="1207"/>
      <c r="K226" s="1207"/>
      <c r="L226" s="1207"/>
      <c r="M226" s="1207"/>
      <c r="N226" s="1207"/>
      <c r="O226" s="1207"/>
      <c r="P226" s="1207"/>
      <c r="Q226" s="1207"/>
      <c r="R226" s="1207"/>
      <c r="S226" s="1207"/>
      <c r="T226" s="1207"/>
      <c r="U226" s="1207"/>
      <c r="V226" s="1207"/>
      <c r="W226" s="1207"/>
      <c r="X226" s="1207"/>
      <c r="Y226" s="1207"/>
      <c r="Z226" s="1207"/>
      <c r="AA226" s="1207"/>
      <c r="AB226" s="1207"/>
      <c r="AC226" s="1207"/>
      <c r="AD226" s="1207"/>
      <c r="AE226" s="1207"/>
      <c r="AF226" s="1207"/>
      <c r="AG226" s="1207"/>
      <c r="AH226" s="1207"/>
      <c r="AI226" s="1207"/>
      <c r="AJ226" s="1207"/>
      <c r="AK226" s="1207"/>
      <c r="AL226" s="1207"/>
      <c r="AM226" s="1207"/>
      <c r="AN226" s="1207"/>
      <c r="AO226" s="1207"/>
      <c r="AP226" s="1207"/>
      <c r="AQ226" s="1207"/>
      <c r="AR226" s="1207"/>
      <c r="AS226" s="1207"/>
      <c r="AT226" s="1207"/>
      <c r="AU226" s="1207"/>
      <c r="AV226" s="1207"/>
      <c r="AW226" s="1207"/>
      <c r="AX226" s="1207"/>
      <c r="AY226" s="1207"/>
      <c r="AZ226" s="1207"/>
      <c r="BA226" s="1207"/>
      <c r="BB226" s="1207"/>
      <c r="BC226" s="1207"/>
      <c r="BD226" s="1214"/>
      <c r="BE226" s="1214"/>
    </row>
    <row r="227" spans="1:57" ht="15.75" customHeight="1">
      <c r="A227" s="1207"/>
      <c r="B227" s="1253"/>
      <c r="C227" s="1207"/>
      <c r="D227" s="1207"/>
      <c r="E227" s="1207"/>
      <c r="F227" s="1207"/>
      <c r="G227" s="1207"/>
      <c r="H227" s="2336" t="s">
        <v>2226</v>
      </c>
      <c r="I227" s="2336"/>
      <c r="J227" s="2336"/>
      <c r="K227" s="2336"/>
      <c r="L227" s="2336"/>
      <c r="M227" s="2336"/>
      <c r="N227" s="2336"/>
      <c r="O227" s="2336"/>
      <c r="P227" s="2336"/>
      <c r="Q227" s="2336"/>
      <c r="R227" s="2336"/>
      <c r="S227" s="2336"/>
      <c r="T227" s="2336"/>
      <c r="U227" s="2336"/>
      <c r="V227" s="2336"/>
      <c r="W227" s="2336"/>
      <c r="X227" s="2336"/>
      <c r="Y227" s="2336"/>
      <c r="Z227" s="2336"/>
      <c r="AA227" s="2336"/>
      <c r="AB227" s="2336"/>
      <c r="AC227" s="2336"/>
      <c r="AD227" s="2336"/>
      <c r="AE227" s="2336"/>
      <c r="AF227" s="2336"/>
      <c r="AG227" s="2336"/>
      <c r="AH227" s="2336"/>
      <c r="AI227" s="2336"/>
      <c r="AJ227" s="2336"/>
      <c r="AK227" s="2336"/>
      <c r="AL227" s="2336"/>
      <c r="AM227" s="2336"/>
      <c r="AN227" s="2336"/>
      <c r="AO227" s="2336"/>
      <c r="AP227" s="2336"/>
      <c r="AQ227" s="2336"/>
      <c r="AR227" s="2336"/>
      <c r="AS227" s="2336"/>
      <c r="AT227" s="2336"/>
      <c r="AU227" s="2336"/>
      <c r="AV227" s="2336"/>
      <c r="AW227" s="2336"/>
      <c r="AX227" s="2336"/>
      <c r="AY227" s="2336"/>
      <c r="AZ227" s="2336"/>
      <c r="BA227" s="1207"/>
      <c r="BB227" s="1207"/>
      <c r="BC227" s="1207"/>
      <c r="BD227" s="1214"/>
      <c r="BE227" s="1214"/>
    </row>
    <row r="228" spans="1:57" ht="15.75" customHeight="1">
      <c r="A228" s="1207"/>
      <c r="B228" s="1206"/>
      <c r="C228" s="1207"/>
      <c r="D228" s="1207"/>
      <c r="E228" s="1207"/>
      <c r="F228" s="1207"/>
      <c r="G228" s="1207"/>
      <c r="H228" s="2336"/>
      <c r="I228" s="2336"/>
      <c r="J228" s="2336"/>
      <c r="K228" s="2336"/>
      <c r="L228" s="2336"/>
      <c r="M228" s="2336"/>
      <c r="N228" s="2336"/>
      <c r="O228" s="2336"/>
      <c r="P228" s="2336"/>
      <c r="Q228" s="2336"/>
      <c r="R228" s="2336"/>
      <c r="S228" s="2336"/>
      <c r="T228" s="2336"/>
      <c r="U228" s="2336"/>
      <c r="V228" s="2336"/>
      <c r="W228" s="2336"/>
      <c r="X228" s="2336"/>
      <c r="Y228" s="2336"/>
      <c r="Z228" s="2336"/>
      <c r="AA228" s="2336"/>
      <c r="AB228" s="2336"/>
      <c r="AC228" s="2336"/>
      <c r="AD228" s="2336"/>
      <c r="AE228" s="2336"/>
      <c r="AF228" s="2336"/>
      <c r="AG228" s="2336"/>
      <c r="AH228" s="2336"/>
      <c r="AI228" s="2336"/>
      <c r="AJ228" s="2336"/>
      <c r="AK228" s="2336"/>
      <c r="AL228" s="2336"/>
      <c r="AM228" s="2336"/>
      <c r="AN228" s="2336"/>
      <c r="AO228" s="2336"/>
      <c r="AP228" s="2336"/>
      <c r="AQ228" s="2336"/>
      <c r="AR228" s="2336"/>
      <c r="AS228" s="2336"/>
      <c r="AT228" s="2336"/>
      <c r="AU228" s="2336"/>
      <c r="AV228" s="2336"/>
      <c r="AW228" s="2336"/>
      <c r="AX228" s="2336"/>
      <c r="AY228" s="2336"/>
      <c r="AZ228" s="2336"/>
      <c r="BA228" s="1207"/>
      <c r="BB228" s="1207"/>
      <c r="BC228" s="1207"/>
      <c r="BD228" s="1214"/>
      <c r="BE228" s="1214"/>
    </row>
    <row r="229" spans="1:57" ht="15.75" customHeight="1">
      <c r="A229" s="1207"/>
      <c r="B229" s="1206"/>
      <c r="C229" s="1207"/>
      <c r="D229" s="1207"/>
      <c r="E229" s="1207"/>
      <c r="F229" s="1207"/>
      <c r="G229" s="1207"/>
      <c r="H229" s="2336"/>
      <c r="I229" s="2336"/>
      <c r="J229" s="2336"/>
      <c r="K229" s="2336"/>
      <c r="L229" s="2336"/>
      <c r="M229" s="2336"/>
      <c r="N229" s="2336"/>
      <c r="O229" s="2336"/>
      <c r="P229" s="2336"/>
      <c r="Q229" s="2336"/>
      <c r="R229" s="2336"/>
      <c r="S229" s="2336"/>
      <c r="T229" s="2336"/>
      <c r="U229" s="2336"/>
      <c r="V229" s="2336"/>
      <c r="W229" s="2336"/>
      <c r="X229" s="2336"/>
      <c r="Y229" s="2336"/>
      <c r="Z229" s="2336"/>
      <c r="AA229" s="2336"/>
      <c r="AB229" s="2336"/>
      <c r="AC229" s="2336"/>
      <c r="AD229" s="2336"/>
      <c r="AE229" s="2336"/>
      <c r="AF229" s="2336"/>
      <c r="AG229" s="2336"/>
      <c r="AH229" s="2336"/>
      <c r="AI229" s="2336"/>
      <c r="AJ229" s="2336"/>
      <c r="AK229" s="2336"/>
      <c r="AL229" s="2336"/>
      <c r="AM229" s="2336"/>
      <c r="AN229" s="2336"/>
      <c r="AO229" s="2336"/>
      <c r="AP229" s="2336"/>
      <c r="AQ229" s="2336"/>
      <c r="AR229" s="2336"/>
      <c r="AS229" s="2336"/>
      <c r="AT229" s="2336"/>
      <c r="AU229" s="2336"/>
      <c r="AV229" s="2336"/>
      <c r="AW229" s="2336"/>
      <c r="AX229" s="2336"/>
      <c r="AY229" s="2336"/>
      <c r="AZ229" s="2336"/>
      <c r="BA229" s="1207"/>
      <c r="BB229" s="1207"/>
      <c r="BC229" s="1207"/>
      <c r="BD229" s="1214"/>
      <c r="BE229" s="1214"/>
    </row>
    <row r="230" spans="1:57" ht="15.75" customHeight="1">
      <c r="A230" s="1207"/>
      <c r="B230" s="1206"/>
      <c r="C230" s="1207"/>
      <c r="D230" s="1207"/>
      <c r="E230" s="1207"/>
      <c r="F230" s="1207"/>
      <c r="G230" s="1207"/>
      <c r="H230" s="2336"/>
      <c r="I230" s="2336"/>
      <c r="J230" s="2336"/>
      <c r="K230" s="2336"/>
      <c r="L230" s="2336"/>
      <c r="M230" s="2336"/>
      <c r="N230" s="2336"/>
      <c r="O230" s="2336"/>
      <c r="P230" s="2336"/>
      <c r="Q230" s="2336"/>
      <c r="R230" s="2336"/>
      <c r="S230" s="2336"/>
      <c r="T230" s="2336"/>
      <c r="U230" s="2336"/>
      <c r="V230" s="2336"/>
      <c r="W230" s="2336"/>
      <c r="X230" s="2336"/>
      <c r="Y230" s="2336"/>
      <c r="Z230" s="2336"/>
      <c r="AA230" s="2336"/>
      <c r="AB230" s="2336"/>
      <c r="AC230" s="2336"/>
      <c r="AD230" s="2336"/>
      <c r="AE230" s="2336"/>
      <c r="AF230" s="2336"/>
      <c r="AG230" s="2336"/>
      <c r="AH230" s="2336"/>
      <c r="AI230" s="2336"/>
      <c r="AJ230" s="2336"/>
      <c r="AK230" s="2336"/>
      <c r="AL230" s="2336"/>
      <c r="AM230" s="2336"/>
      <c r="AN230" s="2336"/>
      <c r="AO230" s="2336"/>
      <c r="AP230" s="2336"/>
      <c r="AQ230" s="2336"/>
      <c r="AR230" s="2336"/>
      <c r="AS230" s="2336"/>
      <c r="AT230" s="2336"/>
      <c r="AU230" s="2336"/>
      <c r="AV230" s="2336"/>
      <c r="AW230" s="2336"/>
      <c r="AX230" s="2336"/>
      <c r="AY230" s="2336"/>
      <c r="AZ230" s="2336"/>
      <c r="BA230" s="1207"/>
      <c r="BB230" s="1207"/>
      <c r="BC230" s="1207"/>
      <c r="BD230" s="1214"/>
      <c r="BE230" s="1214"/>
    </row>
    <row r="231" spans="1:57" ht="15.75" customHeight="1">
      <c r="A231" s="1207"/>
      <c r="B231" s="1206"/>
      <c r="C231" s="1207"/>
      <c r="D231" s="1207"/>
      <c r="E231" s="1207"/>
      <c r="F231" s="1207"/>
      <c r="G231" s="1207"/>
      <c r="H231" s="1207"/>
      <c r="I231" s="1207"/>
      <c r="J231" s="1207"/>
      <c r="K231" s="1207"/>
      <c r="L231" s="1207"/>
      <c r="M231" s="1207"/>
      <c r="N231" s="1207"/>
      <c r="O231" s="1207"/>
      <c r="P231" s="1207"/>
      <c r="Q231" s="1207"/>
      <c r="R231" s="1207"/>
      <c r="S231" s="1207"/>
      <c r="T231" s="1207"/>
      <c r="U231" s="1207"/>
      <c r="V231" s="1207"/>
      <c r="W231" s="1207"/>
      <c r="X231" s="1207"/>
      <c r="Y231" s="1207"/>
      <c r="Z231" s="1207"/>
      <c r="AA231" s="1207"/>
      <c r="AB231" s="1207"/>
      <c r="AC231" s="1207"/>
      <c r="AD231" s="1207"/>
      <c r="AE231" s="1207"/>
      <c r="AF231" s="1207"/>
      <c r="AG231" s="1207"/>
      <c r="AH231" s="1207"/>
      <c r="AI231" s="1207"/>
      <c r="AJ231" s="1207"/>
      <c r="AK231" s="1207"/>
      <c r="AL231" s="1207"/>
      <c r="AM231" s="1207"/>
      <c r="AN231" s="1207"/>
      <c r="AO231" s="1207"/>
      <c r="AP231" s="1207"/>
      <c r="AQ231" s="1207"/>
      <c r="AR231" s="1207"/>
      <c r="AS231" s="1207"/>
      <c r="AT231" s="1207"/>
      <c r="AU231" s="1207"/>
      <c r="AV231" s="1207"/>
      <c r="AW231" s="1207"/>
      <c r="AX231" s="1207"/>
      <c r="AY231" s="1207"/>
      <c r="AZ231" s="1207"/>
      <c r="BA231" s="1207"/>
      <c r="BB231" s="1207"/>
      <c r="BC231" s="1207"/>
      <c r="BD231" s="1214"/>
      <c r="BE231" s="1214"/>
    </row>
    <row r="232" spans="1:57" ht="15.75" customHeight="1" thickBot="1">
      <c r="A232" s="1207"/>
      <c r="B232" s="1254"/>
      <c r="C232" s="1255"/>
      <c r="D232" s="1255"/>
      <c r="E232" s="1255"/>
      <c r="F232" s="1255"/>
      <c r="G232" s="1255"/>
      <c r="H232" s="2337" t="s">
        <v>2225</v>
      </c>
      <c r="I232" s="2337"/>
      <c r="J232" s="2337"/>
      <c r="K232" s="2337"/>
      <c r="L232" s="2337"/>
      <c r="M232" s="2337"/>
      <c r="N232" s="2337"/>
      <c r="O232" s="2337"/>
      <c r="P232" s="2337"/>
      <c r="Q232" s="2337"/>
      <c r="R232" s="2337"/>
      <c r="S232" s="2337"/>
      <c r="T232" s="2337"/>
      <c r="U232" s="2337"/>
      <c r="V232" s="2337"/>
      <c r="W232" s="2337"/>
      <c r="X232" s="2337"/>
      <c r="Y232" s="2337"/>
      <c r="Z232" s="2337"/>
      <c r="AA232" s="2337"/>
      <c r="AB232" s="2337"/>
      <c r="AC232" s="2337"/>
      <c r="AD232" s="2337"/>
      <c r="AE232" s="2337"/>
      <c r="AF232" s="2337"/>
      <c r="AG232" s="2337"/>
      <c r="AH232" s="2337"/>
      <c r="AI232" s="2337"/>
      <c r="AJ232" s="2337"/>
      <c r="AK232" s="2337"/>
      <c r="AL232" s="2337"/>
      <c r="AM232" s="2337"/>
      <c r="AN232" s="2337"/>
      <c r="AO232" s="2337"/>
      <c r="AP232" s="2337"/>
      <c r="AQ232" s="2337"/>
      <c r="AR232" s="2337"/>
      <c r="AS232" s="2337"/>
      <c r="AT232" s="2337"/>
      <c r="AU232" s="2337"/>
      <c r="AV232" s="2337"/>
      <c r="AW232" s="1255"/>
      <c r="AX232" s="1255"/>
      <c r="AY232" s="1255"/>
      <c r="AZ232" s="1255"/>
      <c r="BA232" s="1255"/>
      <c r="BB232" s="1255"/>
      <c r="BC232" s="1255"/>
      <c r="BD232" s="1256"/>
      <c r="BE232" s="1214"/>
    </row>
    <row r="233" spans="1:57" ht="15.75" customHeight="1" thickBot="1">
      <c r="A233" s="1207"/>
      <c r="B233" s="1257"/>
      <c r="C233" s="1258"/>
      <c r="D233" s="1258"/>
      <c r="E233" s="1258"/>
      <c r="F233" s="1258"/>
      <c r="G233" s="1258"/>
      <c r="H233" s="1258"/>
      <c r="I233" s="1258"/>
      <c r="J233" s="1258"/>
      <c r="K233" s="1258"/>
      <c r="L233" s="1258"/>
      <c r="M233" s="1258"/>
      <c r="N233" s="1258"/>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9"/>
      <c r="BE233" s="1214"/>
    </row>
    <row r="234" spans="1:57" ht="30" customHeight="1" thickBot="1">
      <c r="A234" s="1207"/>
      <c r="B234" s="1257"/>
      <c r="C234" s="1258"/>
      <c r="D234" s="1258"/>
      <c r="E234" s="1258"/>
      <c r="F234" s="1258"/>
      <c r="G234" s="1258"/>
      <c r="H234" s="2327" t="s">
        <v>2224</v>
      </c>
      <c r="I234" s="2327"/>
      <c r="J234" s="2327"/>
      <c r="K234" s="2327"/>
      <c r="L234" s="1258"/>
      <c r="M234" s="1258"/>
      <c r="N234" s="1258"/>
      <c r="O234" s="1258"/>
      <c r="P234" s="1258"/>
      <c r="Q234" s="1258"/>
      <c r="R234" s="1258"/>
      <c r="S234" s="2338"/>
      <c r="T234" s="2339"/>
      <c r="U234" s="2339"/>
      <c r="V234" s="2339"/>
      <c r="W234" s="2339"/>
      <c r="X234" s="2339"/>
      <c r="Y234" s="2339"/>
      <c r="Z234" s="2339"/>
      <c r="AA234" s="2339"/>
      <c r="AB234" s="2339"/>
      <c r="AC234" s="2339"/>
      <c r="AD234" s="2339"/>
      <c r="AE234" s="2339"/>
      <c r="AF234" s="2339"/>
      <c r="AG234" s="2339"/>
      <c r="AH234" s="2339"/>
      <c r="AI234" s="2339"/>
      <c r="AJ234" s="2340"/>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9"/>
      <c r="BE234" s="1214"/>
    </row>
    <row r="235" spans="1:57" ht="15.75" customHeight="1" thickBot="1">
      <c r="A235" s="1207"/>
      <c r="B235" s="1257"/>
      <c r="C235" s="1258"/>
      <c r="D235" s="1258"/>
      <c r="E235" s="1258"/>
      <c r="F235" s="1258"/>
      <c r="G235" s="1258"/>
      <c r="H235" s="1260"/>
      <c r="I235" s="1260"/>
      <c r="J235" s="1260"/>
      <c r="K235" s="1260"/>
      <c r="L235" s="1258"/>
      <c r="M235" s="1258"/>
      <c r="N235" s="1258"/>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9"/>
      <c r="BE235" s="1214"/>
    </row>
    <row r="236" spans="1:57" ht="15.75" customHeight="1" thickBot="1">
      <c r="A236" s="1207"/>
      <c r="B236" s="1257"/>
      <c r="C236" s="1258"/>
      <c r="D236" s="1258"/>
      <c r="E236" s="1258"/>
      <c r="F236" s="1258"/>
      <c r="G236" s="1258"/>
      <c r="H236" s="2327" t="s">
        <v>2223</v>
      </c>
      <c r="I236" s="2327"/>
      <c r="J236" s="2327"/>
      <c r="K236" s="1260"/>
      <c r="L236" s="1258"/>
      <c r="M236" s="1258"/>
      <c r="N236" s="1258"/>
      <c r="O236" s="1258"/>
      <c r="P236" s="1258"/>
      <c r="Q236" s="1258"/>
      <c r="R236" s="1258"/>
      <c r="S236" s="2328"/>
      <c r="T236" s="2329"/>
      <c r="U236" s="2329"/>
      <c r="V236" s="2329"/>
      <c r="W236" s="2329"/>
      <c r="X236" s="2329"/>
      <c r="Y236" s="2329"/>
      <c r="Z236" s="2329"/>
      <c r="AA236" s="2329"/>
      <c r="AB236" s="2329"/>
      <c r="AC236" s="2329"/>
      <c r="AD236" s="2329"/>
      <c r="AE236" s="2329"/>
      <c r="AF236" s="2329"/>
      <c r="AG236" s="2329"/>
      <c r="AH236" s="2329"/>
      <c r="AI236" s="2329"/>
      <c r="AJ236" s="2330"/>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9"/>
      <c r="BE236" s="1214"/>
    </row>
    <row r="237" spans="1:57" ht="15.75" customHeight="1" thickBot="1">
      <c r="A237" s="1207"/>
      <c r="B237" s="1257"/>
      <c r="C237" s="1258"/>
      <c r="D237" s="1258"/>
      <c r="E237" s="1258"/>
      <c r="F237" s="1258"/>
      <c r="G237" s="1258"/>
      <c r="H237" s="1260"/>
      <c r="I237" s="1260"/>
      <c r="J237" s="1260"/>
      <c r="K237" s="1260"/>
      <c r="L237" s="1258"/>
      <c r="M237" s="1258"/>
      <c r="N237" s="1258"/>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9"/>
      <c r="BE237" s="1214"/>
    </row>
    <row r="238" spans="1:57" ht="15.75" customHeight="1" thickBot="1">
      <c r="A238" s="1207"/>
      <c r="B238" s="1257"/>
      <c r="C238" s="1258"/>
      <c r="D238" s="1258"/>
      <c r="E238" s="1258"/>
      <c r="F238" s="1258"/>
      <c r="G238" s="1258"/>
      <c r="H238" s="2327" t="s">
        <v>439</v>
      </c>
      <c r="I238" s="2327"/>
      <c r="J238" s="1260"/>
      <c r="K238" s="1260"/>
      <c r="L238" s="1258"/>
      <c r="M238" s="1258"/>
      <c r="N238" s="1258"/>
      <c r="O238" s="1258"/>
      <c r="P238" s="1258"/>
      <c r="Q238" s="1258"/>
      <c r="R238" s="1258"/>
      <c r="S238" s="2328"/>
      <c r="T238" s="2329"/>
      <c r="U238" s="2329"/>
      <c r="V238" s="2329"/>
      <c r="W238" s="2329"/>
      <c r="X238" s="2329"/>
      <c r="Y238" s="2329"/>
      <c r="Z238" s="2329"/>
      <c r="AA238" s="2329"/>
      <c r="AB238" s="2329"/>
      <c r="AC238" s="2329"/>
      <c r="AD238" s="2329"/>
      <c r="AE238" s="2329"/>
      <c r="AF238" s="2329"/>
      <c r="AG238" s="2329"/>
      <c r="AH238" s="2329"/>
      <c r="AI238" s="2329"/>
      <c r="AJ238" s="2330"/>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9"/>
      <c r="BE238" s="1214"/>
    </row>
    <row r="239" spans="1:57" ht="15.75" customHeight="1" thickBot="1">
      <c r="A239" s="1207"/>
      <c r="B239" s="1257"/>
      <c r="C239" s="1258"/>
      <c r="D239" s="1258"/>
      <c r="E239" s="1258"/>
      <c r="F239" s="1258"/>
      <c r="G239" s="1258"/>
      <c r="H239" s="1258"/>
      <c r="I239" s="1258"/>
      <c r="J239" s="1258"/>
      <c r="K239" s="1258"/>
      <c r="L239" s="1258"/>
      <c r="M239" s="1258"/>
      <c r="N239" s="1258"/>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9"/>
      <c r="BE239" s="1214"/>
    </row>
    <row r="240" spans="1:57" ht="15.75" customHeight="1" thickBot="1">
      <c r="A240" s="1207"/>
      <c r="B240" s="1257"/>
      <c r="C240" s="1258"/>
      <c r="D240" s="1258"/>
      <c r="E240" s="1258"/>
      <c r="F240" s="1258"/>
      <c r="G240" s="1258"/>
      <c r="H240" s="2331" t="s">
        <v>2222</v>
      </c>
      <c r="I240" s="2331"/>
      <c r="J240" s="2331"/>
      <c r="K240" s="2331"/>
      <c r="L240" s="2331"/>
      <c r="M240" s="2331"/>
      <c r="N240" s="2331"/>
      <c r="O240" s="2331"/>
      <c r="P240" s="1258"/>
      <c r="Q240" s="1258"/>
      <c r="R240" s="1258"/>
      <c r="S240" s="2328"/>
      <c r="T240" s="2329"/>
      <c r="U240" s="2329"/>
      <c r="V240" s="2329"/>
      <c r="W240" s="2329"/>
      <c r="X240" s="2329"/>
      <c r="Y240" s="2329"/>
      <c r="Z240" s="2329"/>
      <c r="AA240" s="2329"/>
      <c r="AB240" s="2329"/>
      <c r="AC240" s="2329"/>
      <c r="AD240" s="2329"/>
      <c r="AE240" s="2329"/>
      <c r="AF240" s="2329"/>
      <c r="AG240" s="2329"/>
      <c r="AH240" s="2329"/>
      <c r="AI240" s="2329"/>
      <c r="AJ240" s="2330"/>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9"/>
      <c r="BE240" s="1214"/>
    </row>
    <row r="241" spans="1:57" ht="15.75" customHeight="1" thickBot="1">
      <c r="A241" s="1207"/>
      <c r="B241" s="1257"/>
      <c r="C241" s="1258"/>
      <c r="D241" s="1258"/>
      <c r="E241" s="1258"/>
      <c r="F241" s="1258"/>
      <c r="G241" s="1258"/>
      <c r="H241" s="1258"/>
      <c r="I241" s="1258"/>
      <c r="J241" s="1258"/>
      <c r="K241" s="1258"/>
      <c r="L241" s="1258"/>
      <c r="M241" s="1258"/>
      <c r="N241" s="1258"/>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9"/>
      <c r="BE241" s="1214"/>
    </row>
    <row r="242" spans="1:57" ht="15.75" customHeight="1" thickBot="1">
      <c r="A242" s="1207"/>
      <c r="B242" s="1257"/>
      <c r="C242" s="1258"/>
      <c r="D242" s="1258"/>
      <c r="E242" s="1258"/>
      <c r="F242" s="1258"/>
      <c r="G242" s="1258"/>
      <c r="H242" s="2332" t="s">
        <v>2221</v>
      </c>
      <c r="I242" s="2332"/>
      <c r="J242" s="1258"/>
      <c r="K242" s="1258"/>
      <c r="L242" s="1258"/>
      <c r="M242" s="1258"/>
      <c r="N242" s="1258"/>
      <c r="O242" s="1258"/>
      <c r="P242" s="1258"/>
      <c r="Q242" s="1258"/>
      <c r="R242" s="1258"/>
      <c r="S242" s="2333"/>
      <c r="T242" s="2334"/>
      <c r="U242" s="2334"/>
      <c r="V242" s="2334"/>
      <c r="W242" s="2334"/>
      <c r="X242" s="2334"/>
      <c r="Y242" s="2334"/>
      <c r="Z242" s="2334"/>
      <c r="AA242" s="2334"/>
      <c r="AB242" s="2334"/>
      <c r="AC242" s="2334"/>
      <c r="AD242" s="2334"/>
      <c r="AE242" s="2334"/>
      <c r="AF242" s="2334"/>
      <c r="AG242" s="2334"/>
      <c r="AH242" s="2334"/>
      <c r="AI242" s="2334"/>
      <c r="AJ242" s="2335"/>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9"/>
      <c r="BE242" s="1214"/>
    </row>
    <row r="243" spans="1:57" ht="15.75" customHeight="1" thickBot="1">
      <c r="A243" s="1207"/>
      <c r="B243" s="1261"/>
      <c r="C243" s="1262"/>
      <c r="D243" s="1262"/>
      <c r="E243" s="1262"/>
      <c r="F243" s="1262"/>
      <c r="G243" s="1262"/>
      <c r="H243" s="1262"/>
      <c r="I243" s="1262"/>
      <c r="J243" s="1262"/>
      <c r="K243" s="1262"/>
      <c r="L243" s="1262"/>
      <c r="M243" s="1262"/>
      <c r="N243" s="1262"/>
      <c r="O243" s="1262"/>
      <c r="P243" s="1262"/>
      <c r="Q243" s="1262"/>
      <c r="R243" s="1262"/>
      <c r="S243" s="1262"/>
      <c r="T243" s="1262"/>
      <c r="U243" s="1262"/>
      <c r="V243" s="1262"/>
      <c r="W243" s="1262"/>
      <c r="X243" s="1262"/>
      <c r="Y243" s="1262"/>
      <c r="Z243" s="1262"/>
      <c r="AA243" s="1262"/>
      <c r="AB243" s="1262"/>
      <c r="AC243" s="1262"/>
      <c r="AD243" s="1262"/>
      <c r="AE243" s="1262"/>
      <c r="AF243" s="1262"/>
      <c r="AG243" s="1262"/>
      <c r="AH243" s="1262"/>
      <c r="AI243" s="1262"/>
      <c r="AJ243" s="1262"/>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3"/>
      <c r="BE243" s="1214"/>
    </row>
    <row r="244" spans="1:57" ht="15.75" customHeight="1" thickBot="1">
      <c r="A244" s="1255"/>
      <c r="B244" s="1255"/>
      <c r="C244" s="1255"/>
      <c r="D244" s="1255"/>
      <c r="E244" s="1255"/>
      <c r="F244" s="1255"/>
      <c r="G244" s="1255"/>
      <c r="H244" s="1255"/>
      <c r="I244" s="1255"/>
      <c r="J244" s="1255"/>
      <c r="K244" s="1255"/>
      <c r="L244" s="1255"/>
      <c r="M244" s="1255"/>
      <c r="N244" s="1255"/>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6"/>
    </row>
    <row r="247" spans="1:57" ht="15.75" customHeight="1">
      <c r="D247" s="1205"/>
    </row>
    <row r="248" spans="1:57" ht="15.75" customHeight="1">
      <c r="D248" s="1264"/>
    </row>
    <row r="249" spans="1:57" ht="15.75" customHeight="1">
      <c r="D249" s="1205"/>
    </row>
    <row r="250" spans="1:57" ht="15.75" customHeight="1">
      <c r="D250" s="1205"/>
    </row>
    <row r="251" spans="1:57" ht="15.75" customHeight="1">
      <c r="R251" s="1203"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6" workbookViewId="0">
      <selection activeCell="AJ49" sqref="AJ49"/>
    </sheetView>
  </sheetViews>
  <sheetFormatPr defaultColWidth="0" defaultRowHeight="12.95" customHeight="1" zeroHeight="1"/>
  <cols>
    <col min="1" max="1" width="1.5703125" style="401" customWidth="1"/>
    <col min="2" max="2" width="0.85546875" style="401" customWidth="1"/>
    <col min="3" max="18" width="2.5703125" style="401" customWidth="1"/>
    <col min="19" max="19" width="6.28515625" style="401" customWidth="1"/>
    <col min="20" max="39" width="2.7109375" style="401" customWidth="1"/>
    <col min="40" max="40" width="1.5703125" style="401" customWidth="1"/>
    <col min="41" max="256" width="2.5703125" style="401" hidden="1"/>
    <col min="257" max="257" width="1.5703125" style="401" hidden="1" customWidth="1"/>
    <col min="258" max="258" width="0.85546875" style="401" hidden="1" customWidth="1"/>
    <col min="259" max="274" width="2.5703125" style="401" hidden="1" customWidth="1"/>
    <col min="275" max="275" width="4" style="401" hidden="1" customWidth="1"/>
    <col min="276" max="279" width="2.5703125" style="401" hidden="1" customWidth="1"/>
    <col min="280" max="280" width="2.42578125" style="401" hidden="1" customWidth="1"/>
    <col min="281" max="284" width="2.5703125" style="401" hidden="1" customWidth="1"/>
    <col min="285" max="285" width="2.42578125" style="401" hidden="1" customWidth="1"/>
    <col min="286" max="289" width="2.5703125" style="401" hidden="1" customWidth="1"/>
    <col min="290" max="295" width="2.42578125" style="401" hidden="1" customWidth="1"/>
    <col min="296" max="296" width="1.5703125" style="401" hidden="1" customWidth="1"/>
    <col min="297" max="512" width="2.5703125" style="401" hidden="1"/>
    <col min="513" max="513" width="1.5703125" style="401" hidden="1" customWidth="1"/>
    <col min="514" max="514" width="0.85546875" style="401" hidden="1" customWidth="1"/>
    <col min="515" max="530" width="2.5703125" style="401" hidden="1" customWidth="1"/>
    <col min="531" max="531" width="4" style="401" hidden="1" customWidth="1"/>
    <col min="532" max="535" width="2.5703125" style="401" hidden="1" customWidth="1"/>
    <col min="536" max="536" width="2.42578125" style="401" hidden="1" customWidth="1"/>
    <col min="537" max="540" width="2.5703125" style="401" hidden="1" customWidth="1"/>
    <col min="541" max="541" width="2.42578125" style="401" hidden="1" customWidth="1"/>
    <col min="542" max="545" width="2.5703125" style="401" hidden="1" customWidth="1"/>
    <col min="546" max="551" width="2.42578125" style="401" hidden="1" customWidth="1"/>
    <col min="552" max="552" width="1.5703125" style="401" hidden="1" customWidth="1"/>
    <col min="553" max="768" width="2.5703125" style="401" hidden="1"/>
    <col min="769" max="769" width="1.5703125" style="401" hidden="1" customWidth="1"/>
    <col min="770" max="770" width="0.85546875" style="401" hidden="1" customWidth="1"/>
    <col min="771" max="786" width="2.5703125" style="401" hidden="1" customWidth="1"/>
    <col min="787" max="787" width="4" style="401" hidden="1" customWidth="1"/>
    <col min="788" max="791" width="2.5703125" style="401" hidden="1" customWidth="1"/>
    <col min="792" max="792" width="2.42578125" style="401" hidden="1" customWidth="1"/>
    <col min="793" max="796" width="2.5703125" style="401" hidden="1" customWidth="1"/>
    <col min="797" max="797" width="2.42578125" style="401" hidden="1" customWidth="1"/>
    <col min="798" max="801" width="2.5703125" style="401" hidden="1" customWidth="1"/>
    <col min="802" max="807" width="2.42578125" style="401" hidden="1" customWidth="1"/>
    <col min="808" max="808" width="1.5703125" style="401" hidden="1" customWidth="1"/>
    <col min="809" max="1024" width="2.5703125" style="401" hidden="1"/>
    <col min="1025" max="1025" width="1.5703125" style="401" hidden="1" customWidth="1"/>
    <col min="1026" max="1026" width="0.85546875" style="401" hidden="1" customWidth="1"/>
    <col min="1027" max="1042" width="2.5703125" style="401" hidden="1" customWidth="1"/>
    <col min="1043" max="1043" width="4" style="401" hidden="1" customWidth="1"/>
    <col min="1044" max="1047" width="2.5703125" style="401" hidden="1" customWidth="1"/>
    <col min="1048" max="1048" width="2.42578125" style="401" hidden="1" customWidth="1"/>
    <col min="1049" max="1052" width="2.5703125" style="401" hidden="1" customWidth="1"/>
    <col min="1053" max="1053" width="2.42578125" style="401" hidden="1" customWidth="1"/>
    <col min="1054" max="1057" width="2.5703125" style="401" hidden="1" customWidth="1"/>
    <col min="1058" max="1063" width="2.42578125" style="401" hidden="1" customWidth="1"/>
    <col min="1064" max="1064" width="1.5703125" style="401" hidden="1" customWidth="1"/>
    <col min="1065" max="1280" width="2.5703125" style="401" hidden="1"/>
    <col min="1281" max="1281" width="1.5703125" style="401" hidden="1" customWidth="1"/>
    <col min="1282" max="1282" width="0.85546875" style="401" hidden="1" customWidth="1"/>
    <col min="1283" max="1298" width="2.5703125" style="401" hidden="1" customWidth="1"/>
    <col min="1299" max="1299" width="4" style="401" hidden="1" customWidth="1"/>
    <col min="1300" max="1303" width="2.5703125" style="401" hidden="1" customWidth="1"/>
    <col min="1304" max="1304" width="2.42578125" style="401" hidden="1" customWidth="1"/>
    <col min="1305" max="1308" width="2.5703125" style="401" hidden="1" customWidth="1"/>
    <col min="1309" max="1309" width="2.42578125" style="401" hidden="1" customWidth="1"/>
    <col min="1310" max="1313" width="2.5703125" style="401" hidden="1" customWidth="1"/>
    <col min="1314" max="1319" width="2.42578125" style="401" hidden="1" customWidth="1"/>
    <col min="1320" max="1320" width="1.5703125" style="401" hidden="1" customWidth="1"/>
    <col min="1321" max="1536" width="2.5703125" style="401" hidden="1"/>
    <col min="1537" max="1537" width="1.5703125" style="401" hidden="1" customWidth="1"/>
    <col min="1538" max="1538" width="0.85546875" style="401" hidden="1" customWidth="1"/>
    <col min="1539" max="1554" width="2.5703125" style="401" hidden="1" customWidth="1"/>
    <col min="1555" max="1555" width="4" style="401" hidden="1" customWidth="1"/>
    <col min="1556" max="1559" width="2.5703125" style="401" hidden="1" customWidth="1"/>
    <col min="1560" max="1560" width="2.42578125" style="401" hidden="1" customWidth="1"/>
    <col min="1561" max="1564" width="2.5703125" style="401" hidden="1" customWidth="1"/>
    <col min="1565" max="1565" width="2.42578125" style="401" hidden="1" customWidth="1"/>
    <col min="1566" max="1569" width="2.5703125" style="401" hidden="1" customWidth="1"/>
    <col min="1570" max="1575" width="2.42578125" style="401" hidden="1" customWidth="1"/>
    <col min="1576" max="1576" width="1.5703125" style="401" hidden="1" customWidth="1"/>
    <col min="1577" max="1792" width="2.5703125" style="401" hidden="1"/>
    <col min="1793" max="1793" width="1.5703125" style="401" hidden="1" customWidth="1"/>
    <col min="1794" max="1794" width="0.85546875" style="401" hidden="1" customWidth="1"/>
    <col min="1795" max="1810" width="2.5703125" style="401" hidden="1" customWidth="1"/>
    <col min="1811" max="1811" width="4" style="401" hidden="1" customWidth="1"/>
    <col min="1812" max="1815" width="2.5703125" style="401" hidden="1" customWidth="1"/>
    <col min="1816" max="1816" width="2.42578125" style="401" hidden="1" customWidth="1"/>
    <col min="1817" max="1820" width="2.5703125" style="401" hidden="1" customWidth="1"/>
    <col min="1821" max="1821" width="2.42578125" style="401" hidden="1" customWidth="1"/>
    <col min="1822" max="1825" width="2.5703125" style="401" hidden="1" customWidth="1"/>
    <col min="1826" max="1831" width="2.42578125" style="401" hidden="1" customWidth="1"/>
    <col min="1832" max="1832" width="1.5703125" style="401" hidden="1" customWidth="1"/>
    <col min="1833" max="2048" width="2.5703125" style="401" hidden="1"/>
    <col min="2049" max="2049" width="1.5703125" style="401" hidden="1" customWidth="1"/>
    <col min="2050" max="2050" width="0.85546875" style="401" hidden="1" customWidth="1"/>
    <col min="2051" max="2066" width="2.5703125" style="401" hidden="1" customWidth="1"/>
    <col min="2067" max="2067" width="4" style="401" hidden="1" customWidth="1"/>
    <col min="2068" max="2071" width="2.5703125" style="401" hidden="1" customWidth="1"/>
    <col min="2072" max="2072" width="2.42578125" style="401" hidden="1" customWidth="1"/>
    <col min="2073" max="2076" width="2.5703125" style="401" hidden="1" customWidth="1"/>
    <col min="2077" max="2077" width="2.42578125" style="401" hidden="1" customWidth="1"/>
    <col min="2078" max="2081" width="2.5703125" style="401" hidden="1" customWidth="1"/>
    <col min="2082" max="2087" width="2.42578125" style="401" hidden="1" customWidth="1"/>
    <col min="2088" max="2088" width="1.5703125" style="401" hidden="1" customWidth="1"/>
    <col min="2089" max="2304" width="2.5703125" style="401" hidden="1"/>
    <col min="2305" max="2305" width="1.5703125" style="401" hidden="1" customWidth="1"/>
    <col min="2306" max="2306" width="0.85546875" style="401" hidden="1" customWidth="1"/>
    <col min="2307" max="2322" width="2.5703125" style="401" hidden="1" customWidth="1"/>
    <col min="2323" max="2323" width="4" style="401" hidden="1" customWidth="1"/>
    <col min="2324" max="2327" width="2.5703125" style="401" hidden="1" customWidth="1"/>
    <col min="2328" max="2328" width="2.42578125" style="401" hidden="1" customWidth="1"/>
    <col min="2329" max="2332" width="2.5703125" style="401" hidden="1" customWidth="1"/>
    <col min="2333" max="2333" width="2.42578125" style="401" hidden="1" customWidth="1"/>
    <col min="2334" max="2337" width="2.5703125" style="401" hidden="1" customWidth="1"/>
    <col min="2338" max="2343" width="2.42578125" style="401" hidden="1" customWidth="1"/>
    <col min="2344" max="2344" width="1.5703125" style="401" hidden="1" customWidth="1"/>
    <col min="2345" max="2560" width="2.5703125" style="401" hidden="1"/>
    <col min="2561" max="2561" width="1.5703125" style="401" hidden="1" customWidth="1"/>
    <col min="2562" max="2562" width="0.85546875" style="401" hidden="1" customWidth="1"/>
    <col min="2563" max="2578" width="2.5703125" style="401" hidden="1" customWidth="1"/>
    <col min="2579" max="2579" width="4" style="401" hidden="1" customWidth="1"/>
    <col min="2580" max="2583" width="2.5703125" style="401" hidden="1" customWidth="1"/>
    <col min="2584" max="2584" width="2.42578125" style="401" hidden="1" customWidth="1"/>
    <col min="2585" max="2588" width="2.5703125" style="401" hidden="1" customWidth="1"/>
    <col min="2589" max="2589" width="2.42578125" style="401" hidden="1" customWidth="1"/>
    <col min="2590" max="2593" width="2.5703125" style="401" hidden="1" customWidth="1"/>
    <col min="2594" max="2599" width="2.42578125" style="401" hidden="1" customWidth="1"/>
    <col min="2600" max="2600" width="1.5703125" style="401" hidden="1" customWidth="1"/>
    <col min="2601" max="2816" width="2.5703125" style="401" hidden="1"/>
    <col min="2817" max="2817" width="1.5703125" style="401" hidden="1" customWidth="1"/>
    <col min="2818" max="2818" width="0.85546875" style="401" hidden="1" customWidth="1"/>
    <col min="2819" max="2834" width="2.5703125" style="401" hidden="1" customWidth="1"/>
    <col min="2835" max="2835" width="4" style="401" hidden="1" customWidth="1"/>
    <col min="2836" max="2839" width="2.5703125" style="401" hidden="1" customWidth="1"/>
    <col min="2840" max="2840" width="2.42578125" style="401" hidden="1" customWidth="1"/>
    <col min="2841" max="2844" width="2.5703125" style="401" hidden="1" customWidth="1"/>
    <col min="2845" max="2845" width="2.42578125" style="401" hidden="1" customWidth="1"/>
    <col min="2846" max="2849" width="2.5703125" style="401" hidden="1" customWidth="1"/>
    <col min="2850" max="2855" width="2.42578125" style="401" hidden="1" customWidth="1"/>
    <col min="2856" max="2856" width="1.5703125" style="401" hidden="1" customWidth="1"/>
    <col min="2857" max="3072" width="2.5703125" style="401" hidden="1"/>
    <col min="3073" max="3073" width="1.5703125" style="401" hidden="1" customWidth="1"/>
    <col min="3074" max="3074" width="0.85546875" style="401" hidden="1" customWidth="1"/>
    <col min="3075" max="3090" width="2.5703125" style="401" hidden="1" customWidth="1"/>
    <col min="3091" max="3091" width="4" style="401" hidden="1" customWidth="1"/>
    <col min="3092" max="3095" width="2.5703125" style="401" hidden="1" customWidth="1"/>
    <col min="3096" max="3096" width="2.42578125" style="401" hidden="1" customWidth="1"/>
    <col min="3097" max="3100" width="2.5703125" style="401" hidden="1" customWidth="1"/>
    <col min="3101" max="3101" width="2.42578125" style="401" hidden="1" customWidth="1"/>
    <col min="3102" max="3105" width="2.5703125" style="401" hidden="1" customWidth="1"/>
    <col min="3106" max="3111" width="2.42578125" style="401" hidden="1" customWidth="1"/>
    <col min="3112" max="3112" width="1.5703125" style="401" hidden="1" customWidth="1"/>
    <col min="3113" max="3328" width="2.5703125" style="401" hidden="1"/>
    <col min="3329" max="3329" width="1.5703125" style="401" hidden="1" customWidth="1"/>
    <col min="3330" max="3330" width="0.85546875" style="401" hidden="1" customWidth="1"/>
    <col min="3331" max="3346" width="2.5703125" style="401" hidden="1" customWidth="1"/>
    <col min="3347" max="3347" width="4" style="401" hidden="1" customWidth="1"/>
    <col min="3348" max="3351" width="2.5703125" style="401" hidden="1" customWidth="1"/>
    <col min="3352" max="3352" width="2.42578125" style="401" hidden="1" customWidth="1"/>
    <col min="3353" max="3356" width="2.5703125" style="401" hidden="1" customWidth="1"/>
    <col min="3357" max="3357" width="2.42578125" style="401" hidden="1" customWidth="1"/>
    <col min="3358" max="3361" width="2.5703125" style="401" hidden="1" customWidth="1"/>
    <col min="3362" max="3367" width="2.42578125" style="401" hidden="1" customWidth="1"/>
    <col min="3368" max="3368" width="1.5703125" style="401" hidden="1" customWidth="1"/>
    <col min="3369" max="3584" width="2.5703125" style="401" hidden="1"/>
    <col min="3585" max="3585" width="1.5703125" style="401" hidden="1" customWidth="1"/>
    <col min="3586" max="3586" width="0.85546875" style="401" hidden="1" customWidth="1"/>
    <col min="3587" max="3602" width="2.5703125" style="401" hidden="1" customWidth="1"/>
    <col min="3603" max="3603" width="4" style="401" hidden="1" customWidth="1"/>
    <col min="3604" max="3607" width="2.5703125" style="401" hidden="1" customWidth="1"/>
    <col min="3608" max="3608" width="2.42578125" style="401" hidden="1" customWidth="1"/>
    <col min="3609" max="3612" width="2.5703125" style="401" hidden="1" customWidth="1"/>
    <col min="3613" max="3613" width="2.42578125" style="401" hidden="1" customWidth="1"/>
    <col min="3614" max="3617" width="2.5703125" style="401" hidden="1" customWidth="1"/>
    <col min="3618" max="3623" width="2.42578125" style="401" hidden="1" customWidth="1"/>
    <col min="3624" max="3624" width="1.5703125" style="401" hidden="1" customWidth="1"/>
    <col min="3625" max="3840" width="2.5703125" style="401" hidden="1"/>
    <col min="3841" max="3841" width="1.5703125" style="401" hidden="1" customWidth="1"/>
    <col min="3842" max="3842" width="0.85546875" style="401" hidden="1" customWidth="1"/>
    <col min="3843" max="3858" width="2.5703125" style="401" hidden="1" customWidth="1"/>
    <col min="3859" max="3859" width="4" style="401" hidden="1" customWidth="1"/>
    <col min="3860" max="3863" width="2.5703125" style="401" hidden="1" customWidth="1"/>
    <col min="3864" max="3864" width="2.42578125" style="401" hidden="1" customWidth="1"/>
    <col min="3865" max="3868" width="2.5703125" style="401" hidden="1" customWidth="1"/>
    <col min="3869" max="3869" width="2.42578125" style="401" hidden="1" customWidth="1"/>
    <col min="3870" max="3873" width="2.5703125" style="401" hidden="1" customWidth="1"/>
    <col min="3874" max="3879" width="2.42578125" style="401" hidden="1" customWidth="1"/>
    <col min="3880" max="3880" width="1.5703125" style="401" hidden="1" customWidth="1"/>
    <col min="3881" max="4096" width="2.5703125" style="401" hidden="1"/>
    <col min="4097" max="4097" width="1.5703125" style="401" hidden="1" customWidth="1"/>
    <col min="4098" max="4098" width="0.85546875" style="401" hidden="1" customWidth="1"/>
    <col min="4099" max="4114" width="2.5703125" style="401" hidden="1" customWidth="1"/>
    <col min="4115" max="4115" width="4" style="401" hidden="1" customWidth="1"/>
    <col min="4116" max="4119" width="2.5703125" style="401" hidden="1" customWidth="1"/>
    <col min="4120" max="4120" width="2.42578125" style="401" hidden="1" customWidth="1"/>
    <col min="4121" max="4124" width="2.5703125" style="401" hidden="1" customWidth="1"/>
    <col min="4125" max="4125" width="2.42578125" style="401" hidden="1" customWidth="1"/>
    <col min="4126" max="4129" width="2.5703125" style="401" hidden="1" customWidth="1"/>
    <col min="4130" max="4135" width="2.42578125" style="401" hidden="1" customWidth="1"/>
    <col min="4136" max="4136" width="1.5703125" style="401" hidden="1" customWidth="1"/>
    <col min="4137" max="4352" width="2.5703125" style="401" hidden="1"/>
    <col min="4353" max="4353" width="1.5703125" style="401" hidden="1" customWidth="1"/>
    <col min="4354" max="4354" width="0.85546875" style="401" hidden="1" customWidth="1"/>
    <col min="4355" max="4370" width="2.5703125" style="401" hidden="1" customWidth="1"/>
    <col min="4371" max="4371" width="4" style="401" hidden="1" customWidth="1"/>
    <col min="4372" max="4375" width="2.5703125" style="401" hidden="1" customWidth="1"/>
    <col min="4376" max="4376" width="2.42578125" style="401" hidden="1" customWidth="1"/>
    <col min="4377" max="4380" width="2.5703125" style="401" hidden="1" customWidth="1"/>
    <col min="4381" max="4381" width="2.42578125" style="401" hidden="1" customWidth="1"/>
    <col min="4382" max="4385" width="2.5703125" style="401" hidden="1" customWidth="1"/>
    <col min="4386" max="4391" width="2.42578125" style="401" hidden="1" customWidth="1"/>
    <col min="4392" max="4392" width="1.5703125" style="401" hidden="1" customWidth="1"/>
    <col min="4393" max="4608" width="2.5703125" style="401" hidden="1"/>
    <col min="4609" max="4609" width="1.5703125" style="401" hidden="1" customWidth="1"/>
    <col min="4610" max="4610" width="0.85546875" style="401" hidden="1" customWidth="1"/>
    <col min="4611" max="4626" width="2.5703125" style="401" hidden="1" customWidth="1"/>
    <col min="4627" max="4627" width="4" style="401" hidden="1" customWidth="1"/>
    <col min="4628" max="4631" width="2.5703125" style="401" hidden="1" customWidth="1"/>
    <col min="4632" max="4632" width="2.42578125" style="401" hidden="1" customWidth="1"/>
    <col min="4633" max="4636" width="2.5703125" style="401" hidden="1" customWidth="1"/>
    <col min="4637" max="4637" width="2.42578125" style="401" hidden="1" customWidth="1"/>
    <col min="4638" max="4641" width="2.5703125" style="401" hidden="1" customWidth="1"/>
    <col min="4642" max="4647" width="2.42578125" style="401" hidden="1" customWidth="1"/>
    <col min="4648" max="4648" width="1.5703125" style="401" hidden="1" customWidth="1"/>
    <col min="4649" max="4864" width="2.5703125" style="401" hidden="1"/>
    <col min="4865" max="4865" width="1.5703125" style="401" hidden="1" customWidth="1"/>
    <col min="4866" max="4866" width="0.85546875" style="401" hidden="1" customWidth="1"/>
    <col min="4867" max="4882" width="2.5703125" style="401" hidden="1" customWidth="1"/>
    <col min="4883" max="4883" width="4" style="401" hidden="1" customWidth="1"/>
    <col min="4884" max="4887" width="2.5703125" style="401" hidden="1" customWidth="1"/>
    <col min="4888" max="4888" width="2.42578125" style="401" hidden="1" customWidth="1"/>
    <col min="4889" max="4892" width="2.5703125" style="401" hidden="1" customWidth="1"/>
    <col min="4893" max="4893" width="2.42578125" style="401" hidden="1" customWidth="1"/>
    <col min="4894" max="4897" width="2.5703125" style="401" hidden="1" customWidth="1"/>
    <col min="4898" max="4903" width="2.42578125" style="401" hidden="1" customWidth="1"/>
    <col min="4904" max="4904" width="1.5703125" style="401" hidden="1" customWidth="1"/>
    <col min="4905" max="5120" width="2.5703125" style="401" hidden="1"/>
    <col min="5121" max="5121" width="1.5703125" style="401" hidden="1" customWidth="1"/>
    <col min="5122" max="5122" width="0.85546875" style="401" hidden="1" customWidth="1"/>
    <col min="5123" max="5138" width="2.5703125" style="401" hidden="1" customWidth="1"/>
    <col min="5139" max="5139" width="4" style="401" hidden="1" customWidth="1"/>
    <col min="5140" max="5143" width="2.5703125" style="401" hidden="1" customWidth="1"/>
    <col min="5144" max="5144" width="2.42578125" style="401" hidden="1" customWidth="1"/>
    <col min="5145" max="5148" width="2.5703125" style="401" hidden="1" customWidth="1"/>
    <col min="5149" max="5149" width="2.42578125" style="401" hidden="1" customWidth="1"/>
    <col min="5150" max="5153" width="2.5703125" style="401" hidden="1" customWidth="1"/>
    <col min="5154" max="5159" width="2.42578125" style="401" hidden="1" customWidth="1"/>
    <col min="5160" max="5160" width="1.5703125" style="401" hidden="1" customWidth="1"/>
    <col min="5161" max="5376" width="2.5703125" style="401" hidden="1"/>
    <col min="5377" max="5377" width="1.5703125" style="401" hidden="1" customWidth="1"/>
    <col min="5378" max="5378" width="0.85546875" style="401" hidden="1" customWidth="1"/>
    <col min="5379" max="5394" width="2.5703125" style="401" hidden="1" customWidth="1"/>
    <col min="5395" max="5395" width="4" style="401" hidden="1" customWidth="1"/>
    <col min="5396" max="5399" width="2.5703125" style="401" hidden="1" customWidth="1"/>
    <col min="5400" max="5400" width="2.42578125" style="401" hidden="1" customWidth="1"/>
    <col min="5401" max="5404" width="2.5703125" style="401" hidden="1" customWidth="1"/>
    <col min="5405" max="5405" width="2.42578125" style="401" hidden="1" customWidth="1"/>
    <col min="5406" max="5409" width="2.5703125" style="401" hidden="1" customWidth="1"/>
    <col min="5410" max="5415" width="2.42578125" style="401" hidden="1" customWidth="1"/>
    <col min="5416" max="5416" width="1.5703125" style="401" hidden="1" customWidth="1"/>
    <col min="5417" max="5632" width="2.5703125" style="401" hidden="1"/>
    <col min="5633" max="5633" width="1.5703125" style="401" hidden="1" customWidth="1"/>
    <col min="5634" max="5634" width="0.85546875" style="401" hidden="1" customWidth="1"/>
    <col min="5635" max="5650" width="2.5703125" style="401" hidden="1" customWidth="1"/>
    <col min="5651" max="5651" width="4" style="401" hidden="1" customWidth="1"/>
    <col min="5652" max="5655" width="2.5703125" style="401" hidden="1" customWidth="1"/>
    <col min="5656" max="5656" width="2.42578125" style="401" hidden="1" customWidth="1"/>
    <col min="5657" max="5660" width="2.5703125" style="401" hidden="1" customWidth="1"/>
    <col min="5661" max="5661" width="2.42578125" style="401" hidden="1" customWidth="1"/>
    <col min="5662" max="5665" width="2.5703125" style="401" hidden="1" customWidth="1"/>
    <col min="5666" max="5671" width="2.42578125" style="401" hidden="1" customWidth="1"/>
    <col min="5672" max="5672" width="1.5703125" style="401" hidden="1" customWidth="1"/>
    <col min="5673" max="5888" width="2.5703125" style="401" hidden="1"/>
    <col min="5889" max="5889" width="1.5703125" style="401" hidden="1" customWidth="1"/>
    <col min="5890" max="5890" width="0.85546875" style="401" hidden="1" customWidth="1"/>
    <col min="5891" max="5906" width="2.5703125" style="401" hidden="1" customWidth="1"/>
    <col min="5907" max="5907" width="4" style="401" hidden="1" customWidth="1"/>
    <col min="5908" max="5911" width="2.5703125" style="401" hidden="1" customWidth="1"/>
    <col min="5912" max="5912" width="2.42578125" style="401" hidden="1" customWidth="1"/>
    <col min="5913" max="5916" width="2.5703125" style="401" hidden="1" customWidth="1"/>
    <col min="5917" max="5917" width="2.42578125" style="401" hidden="1" customWidth="1"/>
    <col min="5918" max="5921" width="2.5703125" style="401" hidden="1" customWidth="1"/>
    <col min="5922" max="5927" width="2.42578125" style="401" hidden="1" customWidth="1"/>
    <col min="5928" max="5928" width="1.5703125" style="401" hidden="1" customWidth="1"/>
    <col min="5929" max="6144" width="2.5703125" style="401" hidden="1"/>
    <col min="6145" max="6145" width="1.5703125" style="401" hidden="1" customWidth="1"/>
    <col min="6146" max="6146" width="0.85546875" style="401" hidden="1" customWidth="1"/>
    <col min="6147" max="6162" width="2.5703125" style="401" hidden="1" customWidth="1"/>
    <col min="6163" max="6163" width="4" style="401" hidden="1" customWidth="1"/>
    <col min="6164" max="6167" width="2.5703125" style="401" hidden="1" customWidth="1"/>
    <col min="6168" max="6168" width="2.42578125" style="401" hidden="1" customWidth="1"/>
    <col min="6169" max="6172" width="2.5703125" style="401" hidden="1" customWidth="1"/>
    <col min="6173" max="6173" width="2.42578125" style="401" hidden="1" customWidth="1"/>
    <col min="6174" max="6177" width="2.5703125" style="401" hidden="1" customWidth="1"/>
    <col min="6178" max="6183" width="2.42578125" style="401" hidden="1" customWidth="1"/>
    <col min="6184" max="6184" width="1.5703125" style="401" hidden="1" customWidth="1"/>
    <col min="6185" max="6400" width="2.5703125" style="401" hidden="1"/>
    <col min="6401" max="6401" width="1.5703125" style="401" hidden="1" customWidth="1"/>
    <col min="6402" max="6402" width="0.85546875" style="401" hidden="1" customWidth="1"/>
    <col min="6403" max="6418" width="2.5703125" style="401" hidden="1" customWidth="1"/>
    <col min="6419" max="6419" width="4" style="401" hidden="1" customWidth="1"/>
    <col min="6420" max="6423" width="2.5703125" style="401" hidden="1" customWidth="1"/>
    <col min="6424" max="6424" width="2.42578125" style="401" hidden="1" customWidth="1"/>
    <col min="6425" max="6428" width="2.5703125" style="401" hidden="1" customWidth="1"/>
    <col min="6429" max="6429" width="2.42578125" style="401" hidden="1" customWidth="1"/>
    <col min="6430" max="6433" width="2.5703125" style="401" hidden="1" customWidth="1"/>
    <col min="6434" max="6439" width="2.42578125" style="401" hidden="1" customWidth="1"/>
    <col min="6440" max="6440" width="1.5703125" style="401" hidden="1" customWidth="1"/>
    <col min="6441" max="6656" width="2.5703125" style="401" hidden="1"/>
    <col min="6657" max="6657" width="1.5703125" style="401" hidden="1" customWidth="1"/>
    <col min="6658" max="6658" width="0.85546875" style="401" hidden="1" customWidth="1"/>
    <col min="6659" max="6674" width="2.5703125" style="401" hidden="1" customWidth="1"/>
    <col min="6675" max="6675" width="4" style="401" hidden="1" customWidth="1"/>
    <col min="6676" max="6679" width="2.5703125" style="401" hidden="1" customWidth="1"/>
    <col min="6680" max="6680" width="2.42578125" style="401" hidden="1" customWidth="1"/>
    <col min="6681" max="6684" width="2.5703125" style="401" hidden="1" customWidth="1"/>
    <col min="6685" max="6685" width="2.42578125" style="401" hidden="1" customWidth="1"/>
    <col min="6686" max="6689" width="2.5703125" style="401" hidden="1" customWidth="1"/>
    <col min="6690" max="6695" width="2.42578125" style="401" hidden="1" customWidth="1"/>
    <col min="6696" max="6696" width="1.5703125" style="401" hidden="1" customWidth="1"/>
    <col min="6697" max="6912" width="2.5703125" style="401" hidden="1"/>
    <col min="6913" max="6913" width="1.5703125" style="401" hidden="1" customWidth="1"/>
    <col min="6914" max="6914" width="0.85546875" style="401" hidden="1" customWidth="1"/>
    <col min="6915" max="6930" width="2.5703125" style="401" hidden="1" customWidth="1"/>
    <col min="6931" max="6931" width="4" style="401" hidden="1" customWidth="1"/>
    <col min="6932" max="6935" width="2.5703125" style="401" hidden="1" customWidth="1"/>
    <col min="6936" max="6936" width="2.42578125" style="401" hidden="1" customWidth="1"/>
    <col min="6937" max="6940" width="2.5703125" style="401" hidden="1" customWidth="1"/>
    <col min="6941" max="6941" width="2.42578125" style="401" hidden="1" customWidth="1"/>
    <col min="6942" max="6945" width="2.5703125" style="401" hidden="1" customWidth="1"/>
    <col min="6946" max="6951" width="2.42578125" style="401" hidden="1" customWidth="1"/>
    <col min="6952" max="6952" width="1.5703125" style="401" hidden="1" customWidth="1"/>
    <col min="6953" max="7168" width="2.5703125" style="401" hidden="1"/>
    <col min="7169" max="7169" width="1.5703125" style="401" hidden="1" customWidth="1"/>
    <col min="7170" max="7170" width="0.85546875" style="401" hidden="1" customWidth="1"/>
    <col min="7171" max="7186" width="2.5703125" style="401" hidden="1" customWidth="1"/>
    <col min="7187" max="7187" width="4" style="401" hidden="1" customWidth="1"/>
    <col min="7188" max="7191" width="2.5703125" style="401" hidden="1" customWidth="1"/>
    <col min="7192" max="7192" width="2.42578125" style="401" hidden="1" customWidth="1"/>
    <col min="7193" max="7196" width="2.5703125" style="401" hidden="1" customWidth="1"/>
    <col min="7197" max="7197" width="2.42578125" style="401" hidden="1" customWidth="1"/>
    <col min="7198" max="7201" width="2.5703125" style="401" hidden="1" customWidth="1"/>
    <col min="7202" max="7207" width="2.42578125" style="401" hidden="1" customWidth="1"/>
    <col min="7208" max="7208" width="1.5703125" style="401" hidden="1" customWidth="1"/>
    <col min="7209" max="7424" width="2.5703125" style="401" hidden="1"/>
    <col min="7425" max="7425" width="1.5703125" style="401" hidden="1" customWidth="1"/>
    <col min="7426" max="7426" width="0.85546875" style="401" hidden="1" customWidth="1"/>
    <col min="7427" max="7442" width="2.5703125" style="401" hidden="1" customWidth="1"/>
    <col min="7443" max="7443" width="4" style="401" hidden="1" customWidth="1"/>
    <col min="7444" max="7447" width="2.5703125" style="401" hidden="1" customWidth="1"/>
    <col min="7448" max="7448" width="2.42578125" style="401" hidden="1" customWidth="1"/>
    <col min="7449" max="7452" width="2.5703125" style="401" hidden="1" customWidth="1"/>
    <col min="7453" max="7453" width="2.42578125" style="401" hidden="1" customWidth="1"/>
    <col min="7454" max="7457" width="2.5703125" style="401" hidden="1" customWidth="1"/>
    <col min="7458" max="7463" width="2.42578125" style="401" hidden="1" customWidth="1"/>
    <col min="7464" max="7464" width="1.5703125" style="401" hidden="1" customWidth="1"/>
    <col min="7465" max="7680" width="2.5703125" style="401" hidden="1"/>
    <col min="7681" max="7681" width="1.5703125" style="401" hidden="1" customWidth="1"/>
    <col min="7682" max="7682" width="0.85546875" style="401" hidden="1" customWidth="1"/>
    <col min="7683" max="7698" width="2.5703125" style="401" hidden="1" customWidth="1"/>
    <col min="7699" max="7699" width="4" style="401" hidden="1" customWidth="1"/>
    <col min="7700" max="7703" width="2.5703125" style="401" hidden="1" customWidth="1"/>
    <col min="7704" max="7704" width="2.42578125" style="401" hidden="1" customWidth="1"/>
    <col min="7705" max="7708" width="2.5703125" style="401" hidden="1" customWidth="1"/>
    <col min="7709" max="7709" width="2.42578125" style="401" hidden="1" customWidth="1"/>
    <col min="7710" max="7713" width="2.5703125" style="401" hidden="1" customWidth="1"/>
    <col min="7714" max="7719" width="2.42578125" style="401" hidden="1" customWidth="1"/>
    <col min="7720" max="7720" width="1.5703125" style="401" hidden="1" customWidth="1"/>
    <col min="7721" max="7936" width="2.5703125" style="401" hidden="1"/>
    <col min="7937" max="7937" width="1.5703125" style="401" hidden="1" customWidth="1"/>
    <col min="7938" max="7938" width="0.85546875" style="401" hidden="1" customWidth="1"/>
    <col min="7939" max="7954" width="2.5703125" style="401" hidden="1" customWidth="1"/>
    <col min="7955" max="7955" width="4" style="401" hidden="1" customWidth="1"/>
    <col min="7956" max="7959" width="2.5703125" style="401" hidden="1" customWidth="1"/>
    <col min="7960" max="7960" width="2.42578125" style="401" hidden="1" customWidth="1"/>
    <col min="7961" max="7964" width="2.5703125" style="401" hidden="1" customWidth="1"/>
    <col min="7965" max="7965" width="2.42578125" style="401" hidden="1" customWidth="1"/>
    <col min="7966" max="7969" width="2.5703125" style="401" hidden="1" customWidth="1"/>
    <col min="7970" max="7975" width="2.42578125" style="401" hidden="1" customWidth="1"/>
    <col min="7976" max="7976" width="1.5703125" style="401" hidden="1" customWidth="1"/>
    <col min="7977" max="8192" width="2.5703125" style="401" hidden="1"/>
    <col min="8193" max="8193" width="1.5703125" style="401" hidden="1" customWidth="1"/>
    <col min="8194" max="8194" width="0.85546875" style="401" hidden="1" customWidth="1"/>
    <col min="8195" max="8210" width="2.5703125" style="401" hidden="1" customWidth="1"/>
    <col min="8211" max="8211" width="4" style="401" hidden="1" customWidth="1"/>
    <col min="8212" max="8215" width="2.5703125" style="401" hidden="1" customWidth="1"/>
    <col min="8216" max="8216" width="2.42578125" style="401" hidden="1" customWidth="1"/>
    <col min="8217" max="8220" width="2.5703125" style="401" hidden="1" customWidth="1"/>
    <col min="8221" max="8221" width="2.42578125" style="401" hidden="1" customWidth="1"/>
    <col min="8222" max="8225" width="2.5703125" style="401" hidden="1" customWidth="1"/>
    <col min="8226" max="8231" width="2.42578125" style="401" hidden="1" customWidth="1"/>
    <col min="8232" max="8232" width="1.5703125" style="401" hidden="1" customWidth="1"/>
    <col min="8233" max="8448" width="2.5703125" style="401" hidden="1"/>
    <col min="8449" max="8449" width="1.5703125" style="401" hidden="1" customWidth="1"/>
    <col min="8450" max="8450" width="0.85546875" style="401" hidden="1" customWidth="1"/>
    <col min="8451" max="8466" width="2.5703125" style="401" hidden="1" customWidth="1"/>
    <col min="8467" max="8467" width="4" style="401" hidden="1" customWidth="1"/>
    <col min="8468" max="8471" width="2.5703125" style="401" hidden="1" customWidth="1"/>
    <col min="8472" max="8472" width="2.42578125" style="401" hidden="1" customWidth="1"/>
    <col min="8473" max="8476" width="2.5703125" style="401" hidden="1" customWidth="1"/>
    <col min="8477" max="8477" width="2.42578125" style="401" hidden="1" customWidth="1"/>
    <col min="8478" max="8481" width="2.5703125" style="401" hidden="1" customWidth="1"/>
    <col min="8482" max="8487" width="2.42578125" style="401" hidden="1" customWidth="1"/>
    <col min="8488" max="8488" width="1.5703125" style="401" hidden="1" customWidth="1"/>
    <col min="8489" max="8704" width="2.5703125" style="401" hidden="1"/>
    <col min="8705" max="8705" width="1.5703125" style="401" hidden="1" customWidth="1"/>
    <col min="8706" max="8706" width="0.85546875" style="401" hidden="1" customWidth="1"/>
    <col min="8707" max="8722" width="2.5703125" style="401" hidden="1" customWidth="1"/>
    <col min="8723" max="8723" width="4" style="401" hidden="1" customWidth="1"/>
    <col min="8724" max="8727" width="2.5703125" style="401" hidden="1" customWidth="1"/>
    <col min="8728" max="8728" width="2.42578125" style="401" hidden="1" customWidth="1"/>
    <col min="8729" max="8732" width="2.5703125" style="401" hidden="1" customWidth="1"/>
    <col min="8733" max="8733" width="2.42578125" style="401" hidden="1" customWidth="1"/>
    <col min="8734" max="8737" width="2.5703125" style="401" hidden="1" customWidth="1"/>
    <col min="8738" max="8743" width="2.42578125" style="401" hidden="1" customWidth="1"/>
    <col min="8744" max="8744" width="1.5703125" style="401" hidden="1" customWidth="1"/>
    <col min="8745" max="8960" width="2.5703125" style="401" hidden="1"/>
    <col min="8961" max="8961" width="1.5703125" style="401" hidden="1" customWidth="1"/>
    <col min="8962" max="8962" width="0.85546875" style="401" hidden="1" customWidth="1"/>
    <col min="8963" max="8978" width="2.5703125" style="401" hidden="1" customWidth="1"/>
    <col min="8979" max="8979" width="4" style="401" hidden="1" customWidth="1"/>
    <col min="8980" max="8983" width="2.5703125" style="401" hidden="1" customWidth="1"/>
    <col min="8984" max="8984" width="2.42578125" style="401" hidden="1" customWidth="1"/>
    <col min="8985" max="8988" width="2.5703125" style="401" hidden="1" customWidth="1"/>
    <col min="8989" max="8989" width="2.42578125" style="401" hidden="1" customWidth="1"/>
    <col min="8990" max="8993" width="2.5703125" style="401" hidden="1" customWidth="1"/>
    <col min="8994" max="8999" width="2.42578125" style="401" hidden="1" customWidth="1"/>
    <col min="9000" max="9000" width="1.5703125" style="401" hidden="1" customWidth="1"/>
    <col min="9001" max="9216" width="2.5703125" style="401" hidden="1"/>
    <col min="9217" max="9217" width="1.5703125" style="401" hidden="1" customWidth="1"/>
    <col min="9218" max="9218" width="0.85546875" style="401" hidden="1" customWidth="1"/>
    <col min="9219" max="9234" width="2.5703125" style="401" hidden="1" customWidth="1"/>
    <col min="9235" max="9235" width="4" style="401" hidden="1" customWidth="1"/>
    <col min="9236" max="9239" width="2.5703125" style="401" hidden="1" customWidth="1"/>
    <col min="9240" max="9240" width="2.42578125" style="401" hidden="1" customWidth="1"/>
    <col min="9241" max="9244" width="2.5703125" style="401" hidden="1" customWidth="1"/>
    <col min="9245" max="9245" width="2.42578125" style="401" hidden="1" customWidth="1"/>
    <col min="9246" max="9249" width="2.5703125" style="401" hidden="1" customWidth="1"/>
    <col min="9250" max="9255" width="2.42578125" style="401" hidden="1" customWidth="1"/>
    <col min="9256" max="9256" width="1.5703125" style="401" hidden="1" customWidth="1"/>
    <col min="9257" max="9472" width="2.5703125" style="401" hidden="1"/>
    <col min="9473" max="9473" width="1.5703125" style="401" hidden="1" customWidth="1"/>
    <col min="9474" max="9474" width="0.85546875" style="401" hidden="1" customWidth="1"/>
    <col min="9475" max="9490" width="2.5703125" style="401" hidden="1" customWidth="1"/>
    <col min="9491" max="9491" width="4" style="401" hidden="1" customWidth="1"/>
    <col min="9492" max="9495" width="2.5703125" style="401" hidden="1" customWidth="1"/>
    <col min="9496" max="9496" width="2.42578125" style="401" hidden="1" customWidth="1"/>
    <col min="9497" max="9500" width="2.5703125" style="401" hidden="1" customWidth="1"/>
    <col min="9501" max="9501" width="2.42578125" style="401" hidden="1" customWidth="1"/>
    <col min="9502" max="9505" width="2.5703125" style="401" hidden="1" customWidth="1"/>
    <col min="9506" max="9511" width="2.42578125" style="401" hidden="1" customWidth="1"/>
    <col min="9512" max="9512" width="1.5703125" style="401" hidden="1" customWidth="1"/>
    <col min="9513" max="9728" width="2.5703125" style="401" hidden="1"/>
    <col min="9729" max="9729" width="1.5703125" style="401" hidden="1" customWidth="1"/>
    <col min="9730" max="9730" width="0.85546875" style="401" hidden="1" customWidth="1"/>
    <col min="9731" max="9746" width="2.5703125" style="401" hidden="1" customWidth="1"/>
    <col min="9747" max="9747" width="4" style="401" hidden="1" customWidth="1"/>
    <col min="9748" max="9751" width="2.5703125" style="401" hidden="1" customWidth="1"/>
    <col min="9752" max="9752" width="2.42578125" style="401" hidden="1" customWidth="1"/>
    <col min="9753" max="9756" width="2.5703125" style="401" hidden="1" customWidth="1"/>
    <col min="9757" max="9757" width="2.42578125" style="401" hidden="1" customWidth="1"/>
    <col min="9758" max="9761" width="2.5703125" style="401" hidden="1" customWidth="1"/>
    <col min="9762" max="9767" width="2.42578125" style="401" hidden="1" customWidth="1"/>
    <col min="9768" max="9768" width="1.5703125" style="401" hidden="1" customWidth="1"/>
    <col min="9769" max="9984" width="2.5703125" style="401" hidden="1"/>
    <col min="9985" max="9985" width="1.5703125" style="401" hidden="1" customWidth="1"/>
    <col min="9986" max="9986" width="0.85546875" style="401" hidden="1" customWidth="1"/>
    <col min="9987" max="10002" width="2.5703125" style="401" hidden="1" customWidth="1"/>
    <col min="10003" max="10003" width="4" style="401" hidden="1" customWidth="1"/>
    <col min="10004" max="10007" width="2.5703125" style="401" hidden="1" customWidth="1"/>
    <col min="10008" max="10008" width="2.42578125" style="401" hidden="1" customWidth="1"/>
    <col min="10009" max="10012" width="2.5703125" style="401" hidden="1" customWidth="1"/>
    <col min="10013" max="10013" width="2.42578125" style="401" hidden="1" customWidth="1"/>
    <col min="10014" max="10017" width="2.5703125" style="401" hidden="1" customWidth="1"/>
    <col min="10018" max="10023" width="2.42578125" style="401" hidden="1" customWidth="1"/>
    <col min="10024" max="10024" width="1.5703125" style="401" hidden="1" customWidth="1"/>
    <col min="10025" max="10240" width="2.5703125" style="401" hidden="1"/>
    <col min="10241" max="10241" width="1.5703125" style="401" hidden="1" customWidth="1"/>
    <col min="10242" max="10242" width="0.85546875" style="401" hidden="1" customWidth="1"/>
    <col min="10243" max="10258" width="2.5703125" style="401" hidden="1" customWidth="1"/>
    <col min="10259" max="10259" width="4" style="401" hidden="1" customWidth="1"/>
    <col min="10260" max="10263" width="2.5703125" style="401" hidden="1" customWidth="1"/>
    <col min="10264" max="10264" width="2.42578125" style="401" hidden="1" customWidth="1"/>
    <col min="10265" max="10268" width="2.5703125" style="401" hidden="1" customWidth="1"/>
    <col min="10269" max="10269" width="2.42578125" style="401" hidden="1" customWidth="1"/>
    <col min="10270" max="10273" width="2.5703125" style="401" hidden="1" customWidth="1"/>
    <col min="10274" max="10279" width="2.42578125" style="401" hidden="1" customWidth="1"/>
    <col min="10280" max="10280" width="1.5703125" style="401" hidden="1" customWidth="1"/>
    <col min="10281" max="10496" width="2.5703125" style="401" hidden="1"/>
    <col min="10497" max="10497" width="1.5703125" style="401" hidden="1" customWidth="1"/>
    <col min="10498" max="10498" width="0.85546875" style="401" hidden="1" customWidth="1"/>
    <col min="10499" max="10514" width="2.5703125" style="401" hidden="1" customWidth="1"/>
    <col min="10515" max="10515" width="4" style="401" hidden="1" customWidth="1"/>
    <col min="10516" max="10519" width="2.5703125" style="401" hidden="1" customWidth="1"/>
    <col min="10520" max="10520" width="2.42578125" style="401" hidden="1" customWidth="1"/>
    <col min="10521" max="10524" width="2.5703125" style="401" hidden="1" customWidth="1"/>
    <col min="10525" max="10525" width="2.42578125" style="401" hidden="1" customWidth="1"/>
    <col min="10526" max="10529" width="2.5703125" style="401" hidden="1" customWidth="1"/>
    <col min="10530" max="10535" width="2.42578125" style="401" hidden="1" customWidth="1"/>
    <col min="10536" max="10536" width="1.5703125" style="401" hidden="1" customWidth="1"/>
    <col min="10537" max="10752" width="2.5703125" style="401" hidden="1"/>
    <col min="10753" max="10753" width="1.5703125" style="401" hidden="1" customWidth="1"/>
    <col min="10754" max="10754" width="0.85546875" style="401" hidden="1" customWidth="1"/>
    <col min="10755" max="10770" width="2.5703125" style="401" hidden="1" customWidth="1"/>
    <col min="10771" max="10771" width="4" style="401" hidden="1" customWidth="1"/>
    <col min="10772" max="10775" width="2.5703125" style="401" hidden="1" customWidth="1"/>
    <col min="10776" max="10776" width="2.42578125" style="401" hidden="1" customWidth="1"/>
    <col min="10777" max="10780" width="2.5703125" style="401" hidden="1" customWidth="1"/>
    <col min="10781" max="10781" width="2.42578125" style="401" hidden="1" customWidth="1"/>
    <col min="10782" max="10785" width="2.5703125" style="401" hidden="1" customWidth="1"/>
    <col min="10786" max="10791" width="2.42578125" style="401" hidden="1" customWidth="1"/>
    <col min="10792" max="10792" width="1.5703125" style="401" hidden="1" customWidth="1"/>
    <col min="10793" max="11008" width="2.5703125" style="401" hidden="1"/>
    <col min="11009" max="11009" width="1.5703125" style="401" hidden="1" customWidth="1"/>
    <col min="11010" max="11010" width="0.85546875" style="401" hidden="1" customWidth="1"/>
    <col min="11011" max="11026" width="2.5703125" style="401" hidden="1" customWidth="1"/>
    <col min="11027" max="11027" width="4" style="401" hidden="1" customWidth="1"/>
    <col min="11028" max="11031" width="2.5703125" style="401" hidden="1" customWidth="1"/>
    <col min="11032" max="11032" width="2.42578125" style="401" hidden="1" customWidth="1"/>
    <col min="11033" max="11036" width="2.5703125" style="401" hidden="1" customWidth="1"/>
    <col min="11037" max="11037" width="2.42578125" style="401" hidden="1" customWidth="1"/>
    <col min="11038" max="11041" width="2.5703125" style="401" hidden="1" customWidth="1"/>
    <col min="11042" max="11047" width="2.42578125" style="401" hidden="1" customWidth="1"/>
    <col min="11048" max="11048" width="1.5703125" style="401" hidden="1" customWidth="1"/>
    <col min="11049" max="11264" width="2.5703125" style="401" hidden="1"/>
    <col min="11265" max="11265" width="1.5703125" style="401" hidden="1" customWidth="1"/>
    <col min="11266" max="11266" width="0.85546875" style="401" hidden="1" customWidth="1"/>
    <col min="11267" max="11282" width="2.5703125" style="401" hidden="1" customWidth="1"/>
    <col min="11283" max="11283" width="4" style="401" hidden="1" customWidth="1"/>
    <col min="11284" max="11287" width="2.5703125" style="401" hidden="1" customWidth="1"/>
    <col min="11288" max="11288" width="2.42578125" style="401" hidden="1" customWidth="1"/>
    <col min="11289" max="11292" width="2.5703125" style="401" hidden="1" customWidth="1"/>
    <col min="11293" max="11293" width="2.42578125" style="401" hidden="1" customWidth="1"/>
    <col min="11294" max="11297" width="2.5703125" style="401" hidden="1" customWidth="1"/>
    <col min="11298" max="11303" width="2.42578125" style="401" hidden="1" customWidth="1"/>
    <col min="11304" max="11304" width="1.5703125" style="401" hidden="1" customWidth="1"/>
    <col min="11305" max="11520" width="2.5703125" style="401" hidden="1"/>
    <col min="11521" max="11521" width="1.5703125" style="401" hidden="1" customWidth="1"/>
    <col min="11522" max="11522" width="0.85546875" style="401" hidden="1" customWidth="1"/>
    <col min="11523" max="11538" width="2.5703125" style="401" hidden="1" customWidth="1"/>
    <col min="11539" max="11539" width="4" style="401" hidden="1" customWidth="1"/>
    <col min="11540" max="11543" width="2.5703125" style="401" hidden="1" customWidth="1"/>
    <col min="11544" max="11544" width="2.42578125" style="401" hidden="1" customWidth="1"/>
    <col min="11545" max="11548" width="2.5703125" style="401" hidden="1" customWidth="1"/>
    <col min="11549" max="11549" width="2.42578125" style="401" hidden="1" customWidth="1"/>
    <col min="11550" max="11553" width="2.5703125" style="401" hidden="1" customWidth="1"/>
    <col min="11554" max="11559" width="2.42578125" style="401" hidden="1" customWidth="1"/>
    <col min="11560" max="11560" width="1.5703125" style="401" hidden="1" customWidth="1"/>
    <col min="11561" max="11776" width="2.5703125" style="401" hidden="1"/>
    <col min="11777" max="11777" width="1.5703125" style="401" hidden="1" customWidth="1"/>
    <col min="11778" max="11778" width="0.85546875" style="401" hidden="1" customWidth="1"/>
    <col min="11779" max="11794" width="2.5703125" style="401" hidden="1" customWidth="1"/>
    <col min="11795" max="11795" width="4" style="401" hidden="1" customWidth="1"/>
    <col min="11796" max="11799" width="2.5703125" style="401" hidden="1" customWidth="1"/>
    <col min="11800" max="11800" width="2.42578125" style="401" hidden="1" customWidth="1"/>
    <col min="11801" max="11804" width="2.5703125" style="401" hidden="1" customWidth="1"/>
    <col min="11805" max="11805" width="2.42578125" style="401" hidden="1" customWidth="1"/>
    <col min="11806" max="11809" width="2.5703125" style="401" hidden="1" customWidth="1"/>
    <col min="11810" max="11815" width="2.42578125" style="401" hidden="1" customWidth="1"/>
    <col min="11816" max="11816" width="1.5703125" style="401" hidden="1" customWidth="1"/>
    <col min="11817" max="12032" width="2.5703125" style="401" hidden="1"/>
    <col min="12033" max="12033" width="1.5703125" style="401" hidden="1" customWidth="1"/>
    <col min="12034" max="12034" width="0.85546875" style="401" hidden="1" customWidth="1"/>
    <col min="12035" max="12050" width="2.5703125" style="401" hidden="1" customWidth="1"/>
    <col min="12051" max="12051" width="4" style="401" hidden="1" customWidth="1"/>
    <col min="12052" max="12055" width="2.5703125" style="401" hidden="1" customWidth="1"/>
    <col min="12056" max="12056" width="2.42578125" style="401" hidden="1" customWidth="1"/>
    <col min="12057" max="12060" width="2.5703125" style="401" hidden="1" customWidth="1"/>
    <col min="12061" max="12061" width="2.42578125" style="401" hidden="1" customWidth="1"/>
    <col min="12062" max="12065" width="2.5703125" style="401" hidden="1" customWidth="1"/>
    <col min="12066" max="12071" width="2.42578125" style="401" hidden="1" customWidth="1"/>
    <col min="12072" max="12072" width="1.5703125" style="401" hidden="1" customWidth="1"/>
    <col min="12073" max="12288" width="2.5703125" style="401" hidden="1"/>
    <col min="12289" max="12289" width="1.5703125" style="401" hidden="1" customWidth="1"/>
    <col min="12290" max="12290" width="0.85546875" style="401" hidden="1" customWidth="1"/>
    <col min="12291" max="12306" width="2.5703125" style="401" hidden="1" customWidth="1"/>
    <col min="12307" max="12307" width="4" style="401" hidden="1" customWidth="1"/>
    <col min="12308" max="12311" width="2.5703125" style="401" hidden="1" customWidth="1"/>
    <col min="12312" max="12312" width="2.42578125" style="401" hidden="1" customWidth="1"/>
    <col min="12313" max="12316" width="2.5703125" style="401" hidden="1" customWidth="1"/>
    <col min="12317" max="12317" width="2.42578125" style="401" hidden="1" customWidth="1"/>
    <col min="12318" max="12321" width="2.5703125" style="401" hidden="1" customWidth="1"/>
    <col min="12322" max="12327" width="2.42578125" style="401" hidden="1" customWidth="1"/>
    <col min="12328" max="12328" width="1.5703125" style="401" hidden="1" customWidth="1"/>
    <col min="12329" max="12544" width="2.5703125" style="401" hidden="1"/>
    <col min="12545" max="12545" width="1.5703125" style="401" hidden="1" customWidth="1"/>
    <col min="12546" max="12546" width="0.85546875" style="401" hidden="1" customWidth="1"/>
    <col min="12547" max="12562" width="2.5703125" style="401" hidden="1" customWidth="1"/>
    <col min="12563" max="12563" width="4" style="401" hidden="1" customWidth="1"/>
    <col min="12564" max="12567" width="2.5703125" style="401" hidden="1" customWidth="1"/>
    <col min="12568" max="12568" width="2.42578125" style="401" hidden="1" customWidth="1"/>
    <col min="12569" max="12572" width="2.5703125" style="401" hidden="1" customWidth="1"/>
    <col min="12573" max="12573" width="2.42578125" style="401" hidden="1" customWidth="1"/>
    <col min="12574" max="12577" width="2.5703125" style="401" hidden="1" customWidth="1"/>
    <col min="12578" max="12583" width="2.42578125" style="401" hidden="1" customWidth="1"/>
    <col min="12584" max="12584" width="1.5703125" style="401" hidden="1" customWidth="1"/>
    <col min="12585" max="12800" width="2.5703125" style="401" hidden="1"/>
    <col min="12801" max="12801" width="1.5703125" style="401" hidden="1" customWidth="1"/>
    <col min="12802" max="12802" width="0.85546875" style="401" hidden="1" customWidth="1"/>
    <col min="12803" max="12818" width="2.5703125" style="401" hidden="1" customWidth="1"/>
    <col min="12819" max="12819" width="4" style="401" hidden="1" customWidth="1"/>
    <col min="12820" max="12823" width="2.5703125" style="401" hidden="1" customWidth="1"/>
    <col min="12824" max="12824" width="2.42578125" style="401" hidden="1" customWidth="1"/>
    <col min="12825" max="12828" width="2.5703125" style="401" hidden="1" customWidth="1"/>
    <col min="12829" max="12829" width="2.42578125" style="401" hidden="1" customWidth="1"/>
    <col min="12830" max="12833" width="2.5703125" style="401" hidden="1" customWidth="1"/>
    <col min="12834" max="12839" width="2.42578125" style="401" hidden="1" customWidth="1"/>
    <col min="12840" max="12840" width="1.5703125" style="401" hidden="1" customWidth="1"/>
    <col min="12841" max="13056" width="2.5703125" style="401" hidden="1"/>
    <col min="13057" max="13057" width="1.5703125" style="401" hidden="1" customWidth="1"/>
    <col min="13058" max="13058" width="0.85546875" style="401" hidden="1" customWidth="1"/>
    <col min="13059" max="13074" width="2.5703125" style="401" hidden="1" customWidth="1"/>
    <col min="13075" max="13075" width="4" style="401" hidden="1" customWidth="1"/>
    <col min="13076" max="13079" width="2.5703125" style="401" hidden="1" customWidth="1"/>
    <col min="13080" max="13080" width="2.42578125" style="401" hidden="1" customWidth="1"/>
    <col min="13081" max="13084" width="2.5703125" style="401" hidden="1" customWidth="1"/>
    <col min="13085" max="13085" width="2.42578125" style="401" hidden="1" customWidth="1"/>
    <col min="13086" max="13089" width="2.5703125" style="401" hidden="1" customWidth="1"/>
    <col min="13090" max="13095" width="2.42578125" style="401" hidden="1" customWidth="1"/>
    <col min="13096" max="13096" width="1.5703125" style="401" hidden="1" customWidth="1"/>
    <col min="13097" max="13312" width="2.5703125" style="401" hidden="1"/>
    <col min="13313" max="13313" width="1.5703125" style="401" hidden="1" customWidth="1"/>
    <col min="13314" max="13314" width="0.85546875" style="401" hidden="1" customWidth="1"/>
    <col min="13315" max="13330" width="2.5703125" style="401" hidden="1" customWidth="1"/>
    <col min="13331" max="13331" width="4" style="401" hidden="1" customWidth="1"/>
    <col min="13332" max="13335" width="2.5703125" style="401" hidden="1" customWidth="1"/>
    <col min="13336" max="13336" width="2.42578125" style="401" hidden="1" customWidth="1"/>
    <col min="13337" max="13340" width="2.5703125" style="401" hidden="1" customWidth="1"/>
    <col min="13341" max="13341" width="2.42578125" style="401" hidden="1" customWidth="1"/>
    <col min="13342" max="13345" width="2.5703125" style="401" hidden="1" customWidth="1"/>
    <col min="13346" max="13351" width="2.42578125" style="401" hidden="1" customWidth="1"/>
    <col min="13352" max="13352" width="1.5703125" style="401" hidden="1" customWidth="1"/>
    <col min="13353" max="13568" width="2.5703125" style="401" hidden="1"/>
    <col min="13569" max="13569" width="1.5703125" style="401" hidden="1" customWidth="1"/>
    <col min="13570" max="13570" width="0.85546875" style="401" hidden="1" customWidth="1"/>
    <col min="13571" max="13586" width="2.5703125" style="401" hidden="1" customWidth="1"/>
    <col min="13587" max="13587" width="4" style="401" hidden="1" customWidth="1"/>
    <col min="13588" max="13591" width="2.5703125" style="401" hidden="1" customWidth="1"/>
    <col min="13592" max="13592" width="2.42578125" style="401" hidden="1" customWidth="1"/>
    <col min="13593" max="13596" width="2.5703125" style="401" hidden="1" customWidth="1"/>
    <col min="13597" max="13597" width="2.42578125" style="401" hidden="1" customWidth="1"/>
    <col min="13598" max="13601" width="2.5703125" style="401" hidden="1" customWidth="1"/>
    <col min="13602" max="13607" width="2.42578125" style="401" hidden="1" customWidth="1"/>
    <col min="13608" max="13608" width="1.5703125" style="401" hidden="1" customWidth="1"/>
    <col min="13609" max="13824" width="2.5703125" style="401" hidden="1"/>
    <col min="13825" max="13825" width="1.5703125" style="401" hidden="1" customWidth="1"/>
    <col min="13826" max="13826" width="0.85546875" style="401" hidden="1" customWidth="1"/>
    <col min="13827" max="13842" width="2.5703125" style="401" hidden="1" customWidth="1"/>
    <col min="13843" max="13843" width="4" style="401" hidden="1" customWidth="1"/>
    <col min="13844" max="13847" width="2.5703125" style="401" hidden="1" customWidth="1"/>
    <col min="13848" max="13848" width="2.42578125" style="401" hidden="1" customWidth="1"/>
    <col min="13849" max="13852" width="2.5703125" style="401" hidden="1" customWidth="1"/>
    <col min="13853" max="13853" width="2.42578125" style="401" hidden="1" customWidth="1"/>
    <col min="13854" max="13857" width="2.5703125" style="401" hidden="1" customWidth="1"/>
    <col min="13858" max="13863" width="2.42578125" style="401" hidden="1" customWidth="1"/>
    <col min="13864" max="13864" width="1.5703125" style="401" hidden="1" customWidth="1"/>
    <col min="13865" max="14080" width="2.5703125" style="401" hidden="1"/>
    <col min="14081" max="14081" width="1.5703125" style="401" hidden="1" customWidth="1"/>
    <col min="14082" max="14082" width="0.85546875" style="401" hidden="1" customWidth="1"/>
    <col min="14083" max="14098" width="2.5703125" style="401" hidden="1" customWidth="1"/>
    <col min="14099" max="14099" width="4" style="401" hidden="1" customWidth="1"/>
    <col min="14100" max="14103" width="2.5703125" style="401" hidden="1" customWidth="1"/>
    <col min="14104" max="14104" width="2.42578125" style="401" hidden="1" customWidth="1"/>
    <col min="14105" max="14108" width="2.5703125" style="401" hidden="1" customWidth="1"/>
    <col min="14109" max="14109" width="2.42578125" style="401" hidden="1" customWidth="1"/>
    <col min="14110" max="14113" width="2.5703125" style="401" hidden="1" customWidth="1"/>
    <col min="14114" max="14119" width="2.42578125" style="401" hidden="1" customWidth="1"/>
    <col min="14120" max="14120" width="1.5703125" style="401" hidden="1" customWidth="1"/>
    <col min="14121" max="14336" width="2.5703125" style="401" hidden="1"/>
    <col min="14337" max="14337" width="1.5703125" style="401" hidden="1" customWidth="1"/>
    <col min="14338" max="14338" width="0.85546875" style="401" hidden="1" customWidth="1"/>
    <col min="14339" max="14354" width="2.5703125" style="401" hidden="1" customWidth="1"/>
    <col min="14355" max="14355" width="4" style="401" hidden="1" customWidth="1"/>
    <col min="14356" max="14359" width="2.5703125" style="401" hidden="1" customWidth="1"/>
    <col min="14360" max="14360" width="2.42578125" style="401" hidden="1" customWidth="1"/>
    <col min="14361" max="14364" width="2.5703125" style="401" hidden="1" customWidth="1"/>
    <col min="14365" max="14365" width="2.42578125" style="401" hidden="1" customWidth="1"/>
    <col min="14366" max="14369" width="2.5703125" style="401" hidden="1" customWidth="1"/>
    <col min="14370" max="14375" width="2.42578125" style="401" hidden="1" customWidth="1"/>
    <col min="14376" max="14376" width="1.5703125" style="401" hidden="1" customWidth="1"/>
    <col min="14377" max="14592" width="2.5703125" style="401" hidden="1"/>
    <col min="14593" max="14593" width="1.5703125" style="401" hidden="1" customWidth="1"/>
    <col min="14594" max="14594" width="0.85546875" style="401" hidden="1" customWidth="1"/>
    <col min="14595" max="14610" width="2.5703125" style="401" hidden="1" customWidth="1"/>
    <col min="14611" max="14611" width="4" style="401" hidden="1" customWidth="1"/>
    <col min="14612" max="14615" width="2.5703125" style="401" hidden="1" customWidth="1"/>
    <col min="14616" max="14616" width="2.42578125" style="401" hidden="1" customWidth="1"/>
    <col min="14617" max="14620" width="2.5703125" style="401" hidden="1" customWidth="1"/>
    <col min="14621" max="14621" width="2.42578125" style="401" hidden="1" customWidth="1"/>
    <col min="14622" max="14625" width="2.5703125" style="401" hidden="1" customWidth="1"/>
    <col min="14626" max="14631" width="2.42578125" style="401" hidden="1" customWidth="1"/>
    <col min="14632" max="14632" width="1.5703125" style="401" hidden="1" customWidth="1"/>
    <col min="14633" max="14848" width="2.5703125" style="401" hidden="1"/>
    <col min="14849" max="14849" width="1.5703125" style="401" hidden="1" customWidth="1"/>
    <col min="14850" max="14850" width="0.85546875" style="401" hidden="1" customWidth="1"/>
    <col min="14851" max="14866" width="2.5703125" style="401" hidden="1" customWidth="1"/>
    <col min="14867" max="14867" width="4" style="401" hidden="1" customWidth="1"/>
    <col min="14868" max="14871" width="2.5703125" style="401" hidden="1" customWidth="1"/>
    <col min="14872" max="14872" width="2.42578125" style="401" hidden="1" customWidth="1"/>
    <col min="14873" max="14876" width="2.5703125" style="401" hidden="1" customWidth="1"/>
    <col min="14877" max="14877" width="2.42578125" style="401" hidden="1" customWidth="1"/>
    <col min="14878" max="14881" width="2.5703125" style="401" hidden="1" customWidth="1"/>
    <col min="14882" max="14887" width="2.42578125" style="401" hidden="1" customWidth="1"/>
    <col min="14888" max="14888" width="1.5703125" style="401" hidden="1" customWidth="1"/>
    <col min="14889" max="15104" width="2.5703125" style="401" hidden="1"/>
    <col min="15105" max="15105" width="1.5703125" style="401" hidden="1" customWidth="1"/>
    <col min="15106" max="15106" width="0.85546875" style="401" hidden="1" customWidth="1"/>
    <col min="15107" max="15122" width="2.5703125" style="401" hidden="1" customWidth="1"/>
    <col min="15123" max="15123" width="4" style="401" hidden="1" customWidth="1"/>
    <col min="15124" max="15127" width="2.5703125" style="401" hidden="1" customWidth="1"/>
    <col min="15128" max="15128" width="2.42578125" style="401" hidden="1" customWidth="1"/>
    <col min="15129" max="15132" width="2.5703125" style="401" hidden="1" customWidth="1"/>
    <col min="15133" max="15133" width="2.42578125" style="401" hidden="1" customWidth="1"/>
    <col min="15134" max="15137" width="2.5703125" style="401" hidden="1" customWidth="1"/>
    <col min="15138" max="15143" width="2.42578125" style="401" hidden="1" customWidth="1"/>
    <col min="15144" max="15144" width="1.5703125" style="401" hidden="1" customWidth="1"/>
    <col min="15145" max="15360" width="2.5703125" style="401" hidden="1"/>
    <col min="15361" max="15361" width="1.5703125" style="401" hidden="1" customWidth="1"/>
    <col min="15362" max="15362" width="0.85546875" style="401" hidden="1" customWidth="1"/>
    <col min="15363" max="15378" width="2.5703125" style="401" hidden="1" customWidth="1"/>
    <col min="15379" max="15379" width="4" style="401" hidden="1" customWidth="1"/>
    <col min="15380" max="15383" width="2.5703125" style="401" hidden="1" customWidth="1"/>
    <col min="15384" max="15384" width="2.42578125" style="401" hidden="1" customWidth="1"/>
    <col min="15385" max="15388" width="2.5703125" style="401" hidden="1" customWidth="1"/>
    <col min="15389" max="15389" width="2.42578125" style="401" hidden="1" customWidth="1"/>
    <col min="15390" max="15393" width="2.5703125" style="401" hidden="1" customWidth="1"/>
    <col min="15394" max="15399" width="2.42578125" style="401" hidden="1" customWidth="1"/>
    <col min="15400" max="15400" width="1.5703125" style="401" hidden="1" customWidth="1"/>
    <col min="15401" max="15616" width="2.5703125" style="401" hidden="1"/>
    <col min="15617" max="15617" width="1.5703125" style="401" hidden="1" customWidth="1"/>
    <col min="15618" max="15618" width="0.85546875" style="401" hidden="1" customWidth="1"/>
    <col min="15619" max="15634" width="2.5703125" style="401" hidden="1" customWidth="1"/>
    <col min="15635" max="15635" width="4" style="401" hidden="1" customWidth="1"/>
    <col min="15636" max="15639" width="2.5703125" style="401" hidden="1" customWidth="1"/>
    <col min="15640" max="15640" width="2.42578125" style="401" hidden="1" customWidth="1"/>
    <col min="15641" max="15644" width="2.5703125" style="401" hidden="1" customWidth="1"/>
    <col min="15645" max="15645" width="2.42578125" style="401" hidden="1" customWidth="1"/>
    <col min="15646" max="15649" width="2.5703125" style="401" hidden="1" customWidth="1"/>
    <col min="15650" max="15655" width="2.42578125" style="401" hidden="1" customWidth="1"/>
    <col min="15656" max="15656" width="1.5703125" style="401" hidden="1" customWidth="1"/>
    <col min="15657" max="15872" width="2.5703125" style="401" hidden="1"/>
    <col min="15873" max="15873" width="1.5703125" style="401" hidden="1" customWidth="1"/>
    <col min="15874" max="15874" width="0.85546875" style="401" hidden="1" customWidth="1"/>
    <col min="15875" max="15890" width="2.5703125" style="401" hidden="1" customWidth="1"/>
    <col min="15891" max="15891" width="4" style="401" hidden="1" customWidth="1"/>
    <col min="15892" max="15895" width="2.5703125" style="401" hidden="1" customWidth="1"/>
    <col min="15896" max="15896" width="2.42578125" style="401" hidden="1" customWidth="1"/>
    <col min="15897" max="15900" width="2.5703125" style="401" hidden="1" customWidth="1"/>
    <col min="15901" max="15901" width="2.42578125" style="401" hidden="1" customWidth="1"/>
    <col min="15902" max="15905" width="2.5703125" style="401" hidden="1" customWidth="1"/>
    <col min="15906" max="15911" width="2.42578125" style="401" hidden="1" customWidth="1"/>
    <col min="15912" max="15912" width="1.5703125" style="401" hidden="1" customWidth="1"/>
    <col min="15913" max="16128" width="2.5703125" style="401" hidden="1"/>
    <col min="16129" max="16129" width="1.5703125" style="401" hidden="1" customWidth="1"/>
    <col min="16130" max="16130" width="0.85546875" style="401" hidden="1" customWidth="1"/>
    <col min="16131" max="16146" width="2.5703125" style="401" hidden="1" customWidth="1"/>
    <col min="16147" max="16147" width="4" style="401" hidden="1" customWidth="1"/>
    <col min="16148" max="16151" width="2.5703125" style="401" hidden="1" customWidth="1"/>
    <col min="16152" max="16152" width="2.42578125" style="401" hidden="1" customWidth="1"/>
    <col min="16153" max="16156" width="2.5703125" style="401" hidden="1" customWidth="1"/>
    <col min="16157" max="16157" width="2.42578125" style="401" hidden="1" customWidth="1"/>
    <col min="16158" max="16161" width="2.5703125" style="401" hidden="1" customWidth="1"/>
    <col min="16162" max="16167" width="2.42578125" style="401" hidden="1" customWidth="1"/>
    <col min="16168" max="16168" width="1.5703125" style="401" hidden="1" customWidth="1"/>
    <col min="16169" max="16384" width="2.5703125" style="401" hidden="1"/>
  </cols>
  <sheetData>
    <row r="1" spans="1:40" ht="12.95" customHeight="1">
      <c r="A1" s="2388" t="s">
        <v>1278</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row>
    <row r="2" spans="1:40" ht="12.95" customHeight="1" thickBot="1">
      <c r="A2" s="2389"/>
      <c r="B2" s="2389"/>
      <c r="C2" s="2389"/>
      <c r="D2" s="2389"/>
      <c r="E2" s="2389"/>
      <c r="F2" s="2389"/>
      <c r="G2" s="2389"/>
      <c r="H2" s="2389"/>
      <c r="I2" s="2389"/>
      <c r="J2" s="2389"/>
      <c r="K2" s="2389"/>
      <c r="L2" s="2389"/>
      <c r="M2" s="2389"/>
      <c r="N2" s="2389"/>
      <c r="O2" s="2389"/>
      <c r="P2" s="2389"/>
      <c r="Q2" s="2389"/>
      <c r="R2" s="2389"/>
      <c r="S2" s="2389"/>
      <c r="T2" s="2389"/>
      <c r="U2" s="2389"/>
      <c r="V2" s="2389"/>
      <c r="W2" s="2389"/>
      <c r="X2" s="2389"/>
      <c r="Y2" s="2389"/>
      <c r="Z2" s="2389"/>
      <c r="AA2" s="2389"/>
      <c r="AB2" s="2389"/>
      <c r="AC2" s="2389"/>
      <c r="AD2" s="2389"/>
      <c r="AE2" s="2389"/>
      <c r="AF2" s="2389"/>
      <c r="AG2" s="2389"/>
      <c r="AH2" s="2389"/>
      <c r="AI2" s="2389"/>
      <c r="AJ2" s="2389"/>
      <c r="AK2" s="2389"/>
      <c r="AL2" s="2389"/>
      <c r="AM2" s="2389"/>
      <c r="AN2" s="2389"/>
    </row>
    <row r="3" spans="1:40" ht="12.95"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2.95" customHeight="1">
      <c r="A4" s="403"/>
    </row>
    <row r="5" spans="1:40" ht="12.95" customHeight="1">
      <c r="A5" s="403" t="s">
        <v>318</v>
      </c>
      <c r="C5" s="403" t="s">
        <v>122</v>
      </c>
      <c r="F5" s="403"/>
    </row>
    <row r="6" spans="1:40" ht="12.95" customHeight="1">
      <c r="A6" s="403"/>
      <c r="C6" s="401" t="s">
        <v>1236</v>
      </c>
    </row>
    <row r="7" spans="1:40" ht="12.95" customHeight="1">
      <c r="B7" s="404"/>
      <c r="C7" s="405"/>
      <c r="D7" s="405"/>
      <c r="E7" s="405"/>
      <c r="F7" s="405"/>
      <c r="G7" s="405"/>
      <c r="H7" s="405"/>
      <c r="I7" s="405"/>
      <c r="J7" s="405"/>
      <c r="K7" s="405"/>
      <c r="L7" s="405"/>
      <c r="M7" s="405"/>
      <c r="N7" s="405"/>
      <c r="O7" s="405"/>
      <c r="P7" s="405"/>
      <c r="Q7" s="405"/>
      <c r="R7" s="405"/>
      <c r="S7" s="405"/>
      <c r="T7" s="2368" t="str">
        <f xml:space="preserve"> IF(T25=100%,'Sources and Basis Breakdown'!G2,'Sources and Basis Breakdown'!F2)</f>
        <v>30% PVC for New Const/
Rehabilitation
DDA/QCT
Building(s)</v>
      </c>
      <c r="U7" s="2368"/>
      <c r="V7" s="2368"/>
      <c r="W7" s="2368"/>
      <c r="X7" s="2368"/>
      <c r="Y7" s="2368" t="str">
        <f>IF(T25=100%,"",'Sources and Basis Breakdown'!G2)</f>
        <v>30% PVC for New Const/
Rehabilitation
NON-DDA/
NON-QCT Building(s)</v>
      </c>
      <c r="Z7" s="2368"/>
      <c r="AA7" s="2368"/>
      <c r="AB7" s="2368"/>
      <c r="AC7" s="2368"/>
      <c r="AD7" s="2368" t="str">
        <f xml:space="preserve"> IF(T25=100%, 'Sources and Basis Breakdown'!J2,'Sources and Basis Breakdown'!I2)</f>
        <v>30% PVC for Acquisition
DDA/QCT Building(s)</v>
      </c>
      <c r="AE7" s="2368"/>
      <c r="AF7" s="2368"/>
      <c r="AG7" s="2368"/>
      <c r="AH7" s="2368"/>
      <c r="AI7" s="2368" t="str">
        <f>IF(T25=100%,"",'Sources and Basis Breakdown'!J2)</f>
        <v>30% PVC for Acquisition
NON-DDA/
NON-QCT Building(s)</v>
      </c>
      <c r="AJ7" s="2368"/>
      <c r="AK7" s="2368"/>
      <c r="AL7" s="2368"/>
      <c r="AM7" s="2368"/>
    </row>
    <row r="8" spans="1:40" ht="12.95" customHeight="1">
      <c r="B8" s="406"/>
      <c r="T8" s="2368"/>
      <c r="U8" s="2368"/>
      <c r="V8" s="2368"/>
      <c r="W8" s="2368"/>
      <c r="X8" s="2368"/>
      <c r="Y8" s="2368"/>
      <c r="Z8" s="2368"/>
      <c r="AA8" s="2368"/>
      <c r="AB8" s="2368"/>
      <c r="AC8" s="2368"/>
      <c r="AD8" s="2368"/>
      <c r="AE8" s="2368"/>
      <c r="AF8" s="2368"/>
      <c r="AG8" s="2368"/>
      <c r="AH8" s="2368"/>
      <c r="AI8" s="2368"/>
      <c r="AJ8" s="2368"/>
      <c r="AK8" s="2368"/>
      <c r="AL8" s="2368"/>
      <c r="AM8" s="2368"/>
    </row>
    <row r="9" spans="1:40" ht="12.95" customHeight="1">
      <c r="B9" s="406"/>
      <c r="T9" s="2368"/>
      <c r="U9" s="2368"/>
      <c r="V9" s="2368"/>
      <c r="W9" s="2368"/>
      <c r="X9" s="2368"/>
      <c r="Y9" s="2368"/>
      <c r="Z9" s="2368"/>
      <c r="AA9" s="2368"/>
      <c r="AB9" s="2368"/>
      <c r="AC9" s="2368"/>
      <c r="AD9" s="2368"/>
      <c r="AE9" s="2368"/>
      <c r="AF9" s="2368"/>
      <c r="AG9" s="2368"/>
      <c r="AH9" s="2368"/>
      <c r="AI9" s="2368"/>
      <c r="AJ9" s="2368"/>
      <c r="AK9" s="2368"/>
      <c r="AL9" s="2368"/>
      <c r="AM9" s="2368"/>
    </row>
    <row r="10" spans="1:40" ht="12.95" customHeight="1">
      <c r="B10" s="407"/>
      <c r="C10" s="408"/>
      <c r="D10" s="408"/>
      <c r="E10" s="408"/>
      <c r="F10" s="408"/>
      <c r="G10" s="408"/>
      <c r="H10" s="408"/>
      <c r="I10" s="408"/>
      <c r="J10" s="408"/>
      <c r="K10" s="408"/>
      <c r="L10" s="408"/>
      <c r="M10" s="408"/>
      <c r="N10" s="408"/>
      <c r="O10" s="408"/>
      <c r="P10" s="408"/>
      <c r="Q10" s="408"/>
      <c r="R10" s="408"/>
      <c r="S10" s="408"/>
      <c r="T10" s="2368"/>
      <c r="U10" s="2368"/>
      <c r="V10" s="2368"/>
      <c r="W10" s="2368"/>
      <c r="X10" s="2368"/>
      <c r="Y10" s="2368"/>
      <c r="Z10" s="2368"/>
      <c r="AA10" s="2368"/>
      <c r="AB10" s="2368"/>
      <c r="AC10" s="2368"/>
      <c r="AD10" s="2368"/>
      <c r="AE10" s="2368"/>
      <c r="AF10" s="2368"/>
      <c r="AG10" s="2368"/>
      <c r="AH10" s="2368"/>
      <c r="AI10" s="2368"/>
      <c r="AJ10" s="2368"/>
      <c r="AK10" s="2368"/>
      <c r="AL10" s="2368"/>
      <c r="AM10" s="2368"/>
    </row>
    <row r="11" spans="1:40" ht="12.95" customHeight="1">
      <c r="B11" s="2354" t="s">
        <v>374</v>
      </c>
      <c r="C11" s="2355"/>
      <c r="D11" s="2355"/>
      <c r="E11" s="2355"/>
      <c r="F11" s="2355"/>
      <c r="G11" s="2355"/>
      <c r="H11" s="2355"/>
      <c r="I11" s="2355"/>
      <c r="J11" s="2355"/>
      <c r="K11" s="2355"/>
      <c r="L11" s="2355"/>
      <c r="M11" s="2355"/>
      <c r="N11" s="2355"/>
      <c r="O11" s="2355"/>
      <c r="P11" s="2355"/>
      <c r="Q11" s="2355"/>
      <c r="R11" s="2355"/>
      <c r="S11" s="2356"/>
      <c r="T11" s="2390">
        <f>IF('Sources and Basis Breakdown'!F107=0,'Sources and Basis Breakdown'!E107,'Sources and Basis Breakdown'!F107)</f>
        <v>99847352</v>
      </c>
      <c r="U11" s="2391"/>
      <c r="V11" s="2391"/>
      <c r="W11" s="2391"/>
      <c r="X11" s="2391"/>
      <c r="Y11" s="2390">
        <f>IF(Y7="",0,IF('Sources and Basis Breakdown'!G107+'Sources and Basis Breakdown'!F107='Sources and Basis Breakdown'!E107,'Sources and Basis Breakdown'!G107,0))</f>
        <v>0</v>
      </c>
      <c r="Z11" s="2391"/>
      <c r="AA11" s="2391"/>
      <c r="AB11" s="2391"/>
      <c r="AC11" s="2391"/>
      <c r="AD11" s="2391">
        <f>IF('Sources and Basis Breakdown'!I107=0,'Sources and Basis Breakdown'!H107,'Sources and Basis Breakdown'!I107)</f>
        <v>0</v>
      </c>
      <c r="AE11" s="2391"/>
      <c r="AF11" s="2391"/>
      <c r="AG11" s="2391"/>
      <c r="AH11" s="2391"/>
      <c r="AI11" s="2391">
        <f>IF(Y7="",0,IF('Sources and Basis Breakdown'!I107+'Sources and Basis Breakdown'!J107='Sources and Basis Breakdown'!H107,'Sources and Basis Breakdown'!J107,0))</f>
        <v>0</v>
      </c>
      <c r="AJ11" s="2391"/>
      <c r="AK11" s="2391"/>
      <c r="AL11" s="2391"/>
      <c r="AM11" s="2391"/>
    </row>
    <row r="12" spans="1:40" ht="12.95" customHeight="1">
      <c r="B12" s="2392" t="s">
        <v>495</v>
      </c>
      <c r="C12" s="1320"/>
      <c r="D12" s="1320"/>
      <c r="E12" s="1320"/>
      <c r="F12" s="1320"/>
      <c r="G12" s="1320"/>
      <c r="H12" s="1320"/>
      <c r="I12" s="1320"/>
      <c r="J12" s="1320"/>
      <c r="K12" s="1320"/>
      <c r="L12" s="1320"/>
      <c r="M12" s="1320"/>
      <c r="N12" s="1320"/>
      <c r="O12" s="1320"/>
      <c r="P12" s="1320"/>
      <c r="Q12" s="1320"/>
      <c r="R12" s="1320"/>
      <c r="S12" s="2393"/>
      <c r="T12" s="2383"/>
      <c r="U12" s="2384"/>
      <c r="V12" s="2384"/>
      <c r="W12" s="2384"/>
      <c r="X12" s="2385"/>
      <c r="Y12" s="2383"/>
      <c r="Z12" s="2384"/>
      <c r="AA12" s="2384"/>
      <c r="AB12" s="2384"/>
      <c r="AC12" s="2385"/>
      <c r="AD12" s="2383"/>
      <c r="AE12" s="2384"/>
      <c r="AF12" s="2384"/>
      <c r="AG12" s="2384"/>
      <c r="AH12" s="2385"/>
      <c r="AI12" s="2383"/>
      <c r="AJ12" s="2384"/>
      <c r="AK12" s="2384"/>
      <c r="AL12" s="2384"/>
      <c r="AM12" s="2385"/>
    </row>
    <row r="13" spans="1:40" ht="12.95" customHeight="1">
      <c r="B13" s="434"/>
      <c r="C13" s="2394" t="s">
        <v>496</v>
      </c>
      <c r="D13" s="2394"/>
      <c r="E13" s="2394"/>
      <c r="F13" s="2394"/>
      <c r="G13" s="2394"/>
      <c r="H13" s="2394"/>
      <c r="I13" s="2394"/>
      <c r="J13" s="2394"/>
      <c r="K13" s="2394"/>
      <c r="L13" s="2394"/>
      <c r="M13" s="2394"/>
      <c r="N13" s="2394"/>
      <c r="O13" s="2394"/>
      <c r="P13" s="2394"/>
      <c r="Q13" s="2394"/>
      <c r="R13" s="2394"/>
      <c r="S13" s="2395"/>
      <c r="T13" s="2386"/>
      <c r="U13" s="2387"/>
      <c r="V13" s="2387"/>
      <c r="W13" s="2387"/>
      <c r="X13" s="2387"/>
      <c r="Y13" s="2386"/>
      <c r="Z13" s="2387"/>
      <c r="AA13" s="2387"/>
      <c r="AB13" s="2387"/>
      <c r="AC13" s="2387"/>
      <c r="AD13" s="2387"/>
      <c r="AE13" s="2387"/>
      <c r="AF13" s="2387"/>
      <c r="AG13" s="2387"/>
      <c r="AH13" s="2387"/>
      <c r="AI13" s="2387"/>
      <c r="AJ13" s="2387"/>
      <c r="AK13" s="2387"/>
      <c r="AL13" s="2387"/>
      <c r="AM13" s="2387"/>
    </row>
    <row r="14" spans="1:40" ht="12.95" customHeight="1">
      <c r="B14" s="434"/>
      <c r="C14" s="2394" t="s">
        <v>497</v>
      </c>
      <c r="D14" s="2394"/>
      <c r="E14" s="2394"/>
      <c r="F14" s="2394"/>
      <c r="G14" s="2394"/>
      <c r="H14" s="2394"/>
      <c r="I14" s="2394"/>
      <c r="J14" s="2394"/>
      <c r="K14" s="2394"/>
      <c r="L14" s="2394"/>
      <c r="M14" s="2394"/>
      <c r="N14" s="2394"/>
      <c r="O14" s="2394"/>
      <c r="P14" s="2394"/>
      <c r="Q14" s="2394"/>
      <c r="R14" s="2394"/>
      <c r="S14" s="2395"/>
      <c r="T14" s="2376"/>
      <c r="U14" s="2377"/>
      <c r="V14" s="2377"/>
      <c r="W14" s="2377"/>
      <c r="X14" s="2377"/>
      <c r="Y14" s="2376"/>
      <c r="Z14" s="2377"/>
      <c r="AA14" s="2377"/>
      <c r="AB14" s="2377"/>
      <c r="AC14" s="2377"/>
      <c r="AD14" s="2377"/>
      <c r="AE14" s="2377"/>
      <c r="AF14" s="2377"/>
      <c r="AG14" s="2377"/>
      <c r="AH14" s="2377"/>
      <c r="AI14" s="2377"/>
      <c r="AJ14" s="2377"/>
      <c r="AK14" s="2377"/>
      <c r="AL14" s="2377"/>
      <c r="AM14" s="2377"/>
    </row>
    <row r="15" spans="1:40" ht="12.95" customHeight="1">
      <c r="B15" s="434"/>
      <c r="C15" s="2394" t="s">
        <v>498</v>
      </c>
      <c r="D15" s="2394"/>
      <c r="E15" s="2394"/>
      <c r="F15" s="2394"/>
      <c r="G15" s="2394"/>
      <c r="H15" s="2394"/>
      <c r="I15" s="2394"/>
      <c r="J15" s="2394"/>
      <c r="K15" s="2394"/>
      <c r="L15" s="2394"/>
      <c r="M15" s="2394"/>
      <c r="N15" s="2394"/>
      <c r="O15" s="2394"/>
      <c r="P15" s="2394"/>
      <c r="Q15" s="2394"/>
      <c r="R15" s="2394"/>
      <c r="S15" s="2395"/>
      <c r="T15" s="2376"/>
      <c r="U15" s="2377"/>
      <c r="V15" s="2377"/>
      <c r="W15" s="2377"/>
      <c r="X15" s="2377"/>
      <c r="Y15" s="2376"/>
      <c r="Z15" s="2377"/>
      <c r="AA15" s="2377"/>
      <c r="AB15" s="2377"/>
      <c r="AC15" s="2377"/>
      <c r="AD15" s="2377"/>
      <c r="AE15" s="2377"/>
      <c r="AF15" s="2377"/>
      <c r="AG15" s="2377"/>
      <c r="AH15" s="2377"/>
      <c r="AI15" s="2377"/>
      <c r="AJ15" s="2377"/>
      <c r="AK15" s="2377"/>
      <c r="AL15" s="2377"/>
      <c r="AM15" s="2377"/>
    </row>
    <row r="16" spans="1:40" ht="12.95" customHeight="1">
      <c r="B16" s="434"/>
      <c r="C16" s="2394" t="s">
        <v>803</v>
      </c>
      <c r="D16" s="2394"/>
      <c r="E16" s="2394"/>
      <c r="F16" s="2394"/>
      <c r="G16" s="2394"/>
      <c r="H16" s="2394"/>
      <c r="I16" s="2394"/>
      <c r="J16" s="2394"/>
      <c r="K16" s="2394"/>
      <c r="L16" s="2394"/>
      <c r="M16" s="2394"/>
      <c r="N16" s="2394"/>
      <c r="O16" s="2394"/>
      <c r="P16" s="2394"/>
      <c r="Q16" s="2394"/>
      <c r="R16" s="2394"/>
      <c r="S16" s="2395"/>
      <c r="T16" s="2376"/>
      <c r="U16" s="2377"/>
      <c r="V16" s="2377"/>
      <c r="W16" s="2377"/>
      <c r="X16" s="2377"/>
      <c r="Y16" s="2376"/>
      <c r="Z16" s="2377"/>
      <c r="AA16" s="2377"/>
      <c r="AB16" s="2377"/>
      <c r="AC16" s="2377"/>
      <c r="AD16" s="2377"/>
      <c r="AE16" s="2377"/>
      <c r="AF16" s="2377"/>
      <c r="AG16" s="2377"/>
      <c r="AH16" s="2377"/>
      <c r="AI16" s="2377"/>
      <c r="AJ16" s="2377"/>
      <c r="AK16" s="2377"/>
      <c r="AL16" s="2377"/>
      <c r="AM16" s="2377"/>
    </row>
    <row r="17" spans="1:40" ht="12.95" customHeight="1">
      <c r="B17" s="434"/>
      <c r="C17" s="2394" t="s">
        <v>499</v>
      </c>
      <c r="D17" s="2394"/>
      <c r="E17" s="2394"/>
      <c r="F17" s="2394"/>
      <c r="G17" s="2394"/>
      <c r="H17" s="2394"/>
      <c r="I17" s="2394"/>
      <c r="J17" s="2394"/>
      <c r="K17" s="2394"/>
      <c r="L17" s="2394"/>
      <c r="M17" s="2394"/>
      <c r="N17" s="2394"/>
      <c r="O17" s="2394"/>
      <c r="P17" s="2394"/>
      <c r="Q17" s="2394"/>
      <c r="R17" s="2394"/>
      <c r="S17" s="2395"/>
      <c r="T17" s="2376"/>
      <c r="U17" s="2377"/>
      <c r="V17" s="2377"/>
      <c r="W17" s="2377"/>
      <c r="X17" s="2377"/>
      <c r="Y17" s="2376"/>
      <c r="Z17" s="2377"/>
      <c r="AA17" s="2377"/>
      <c r="AB17" s="2377"/>
      <c r="AC17" s="2377"/>
      <c r="AD17" s="2377"/>
      <c r="AE17" s="2377"/>
      <c r="AF17" s="2377"/>
      <c r="AG17" s="2377"/>
      <c r="AH17" s="2377"/>
      <c r="AI17" s="2377"/>
      <c r="AJ17" s="2377"/>
      <c r="AK17" s="2377"/>
      <c r="AL17" s="2377"/>
      <c r="AM17" s="2377"/>
    </row>
    <row r="18" spans="1:40" ht="12.95" customHeight="1">
      <c r="A18"/>
      <c r="B18" s="1143"/>
      <c r="C18" s="1613" t="s">
        <v>958</v>
      </c>
      <c r="D18" s="1613"/>
      <c r="E18" s="1613"/>
      <c r="F18" s="1613"/>
      <c r="G18" s="1613"/>
      <c r="H18" s="1613"/>
      <c r="I18" s="1613"/>
      <c r="J18" s="1613"/>
      <c r="K18" s="1613"/>
      <c r="L18" s="1613"/>
      <c r="M18" s="1613"/>
      <c r="N18" s="1613"/>
      <c r="O18" s="1613"/>
      <c r="P18" s="1613"/>
      <c r="Q18" s="1613"/>
      <c r="R18" s="1613"/>
      <c r="S18" s="1614"/>
      <c r="T18" s="2376"/>
      <c r="U18" s="2377"/>
      <c r="V18" s="2377"/>
      <c r="W18" s="2377"/>
      <c r="X18" s="2377"/>
      <c r="Y18" s="2376"/>
      <c r="Z18" s="2377"/>
      <c r="AA18" s="2377"/>
      <c r="AB18" s="2377"/>
      <c r="AC18" s="2377"/>
      <c r="AD18" s="2377"/>
      <c r="AE18" s="2377"/>
      <c r="AF18" s="2377"/>
      <c r="AG18" s="2377"/>
      <c r="AH18" s="2377"/>
      <c r="AI18" s="2377"/>
      <c r="AJ18" s="2377"/>
      <c r="AK18" s="2377"/>
      <c r="AL18" s="2377"/>
      <c r="AM18" s="2377"/>
    </row>
    <row r="19" spans="1:40" ht="12.95" customHeight="1">
      <c r="B19" s="1143"/>
      <c r="C19" s="1613" t="s">
        <v>958</v>
      </c>
      <c r="D19" s="1613"/>
      <c r="E19" s="1613"/>
      <c r="F19" s="1613"/>
      <c r="G19" s="1613"/>
      <c r="H19" s="1613"/>
      <c r="I19" s="1613"/>
      <c r="J19" s="1613"/>
      <c r="K19" s="1613"/>
      <c r="L19" s="1613"/>
      <c r="M19" s="1613"/>
      <c r="N19" s="1613"/>
      <c r="O19" s="1613"/>
      <c r="P19" s="1613"/>
      <c r="Q19" s="1613"/>
      <c r="R19" s="1613"/>
      <c r="S19" s="1614"/>
      <c r="T19" s="2376"/>
      <c r="U19" s="2377"/>
      <c r="V19" s="2377"/>
      <c r="W19" s="2377"/>
      <c r="X19" s="2377"/>
      <c r="Y19" s="2376"/>
      <c r="Z19" s="2377"/>
      <c r="AA19" s="2377"/>
      <c r="AB19" s="2377"/>
      <c r="AC19" s="2377"/>
      <c r="AD19" s="2377"/>
      <c r="AE19" s="2377"/>
      <c r="AF19" s="2377"/>
      <c r="AG19" s="2377"/>
      <c r="AH19" s="2377"/>
      <c r="AI19" s="2377"/>
      <c r="AJ19" s="2377"/>
      <c r="AK19" s="2377"/>
      <c r="AL19" s="2377"/>
      <c r="AM19" s="2377"/>
    </row>
    <row r="20" spans="1:40" ht="12.95" customHeight="1">
      <c r="B20" s="2354" t="s">
        <v>500</v>
      </c>
      <c r="C20" s="2355"/>
      <c r="D20" s="2355"/>
      <c r="E20" s="2355"/>
      <c r="F20" s="2355"/>
      <c r="G20" s="2355"/>
      <c r="H20" s="2355"/>
      <c r="I20" s="2355"/>
      <c r="J20" s="2355"/>
      <c r="K20" s="2355"/>
      <c r="L20" s="2355"/>
      <c r="M20" s="2355"/>
      <c r="N20" s="2355"/>
      <c r="O20" s="2355"/>
      <c r="P20" s="2355"/>
      <c r="Q20" s="2355"/>
      <c r="R20" s="2355"/>
      <c r="S20" s="2356"/>
      <c r="T20" s="2367">
        <f>SUM(T13:X19)</f>
        <v>0</v>
      </c>
      <c r="U20" s="2348"/>
      <c r="V20" s="2348"/>
      <c r="W20" s="2348"/>
      <c r="X20" s="2348"/>
      <c r="Y20" s="2367">
        <f>SUM(Y13:AC19)</f>
        <v>0</v>
      </c>
      <c r="Z20" s="2348"/>
      <c r="AA20" s="2348"/>
      <c r="AB20" s="2348"/>
      <c r="AC20" s="2348"/>
      <c r="AD20" s="2358">
        <f>SUM(AD13:AH19)</f>
        <v>0</v>
      </c>
      <c r="AE20" s="2366"/>
      <c r="AF20" s="2366"/>
      <c r="AG20" s="2366"/>
      <c r="AH20" s="2367"/>
      <c r="AI20" s="2358">
        <f>SUM(AI13:AM19)</f>
        <v>0</v>
      </c>
      <c r="AJ20" s="2366"/>
      <c r="AK20" s="2366"/>
      <c r="AL20" s="2366"/>
      <c r="AM20" s="2367"/>
    </row>
    <row r="21" spans="1:40" ht="12.95" customHeight="1">
      <c r="B21" s="2354" t="s">
        <v>1261</v>
      </c>
      <c r="C21" s="2355"/>
      <c r="D21" s="2355"/>
      <c r="E21" s="2355"/>
      <c r="F21" s="2355"/>
      <c r="G21" s="2355"/>
      <c r="H21" s="2355"/>
      <c r="I21" s="2355"/>
      <c r="J21" s="2355"/>
      <c r="K21" s="2355"/>
      <c r="L21" s="2355"/>
      <c r="M21" s="2355"/>
      <c r="N21" s="2355"/>
      <c r="O21" s="2355"/>
      <c r="P21" s="2355"/>
      <c r="Q21" s="2355"/>
      <c r="R21" s="2355"/>
      <c r="S21" s="2356"/>
      <c r="T21" s="2376"/>
      <c r="U21" s="2377"/>
      <c r="V21" s="2377"/>
      <c r="W21" s="2377"/>
      <c r="X21" s="2377"/>
      <c r="Y21" s="2376"/>
      <c r="Z21" s="2377"/>
      <c r="AA21" s="2377"/>
      <c r="AB21" s="2377"/>
      <c r="AC21" s="2377"/>
      <c r="AD21" s="2383"/>
      <c r="AE21" s="2384"/>
      <c r="AF21" s="2384"/>
      <c r="AG21" s="2384"/>
      <c r="AH21" s="2385"/>
      <c r="AI21" s="2383"/>
      <c r="AJ21" s="2384"/>
      <c r="AK21" s="2384"/>
      <c r="AL21" s="2384"/>
      <c r="AM21" s="2385"/>
    </row>
    <row r="22" spans="1:40" ht="12.95" customHeight="1">
      <c r="B22" s="2354" t="s">
        <v>501</v>
      </c>
      <c r="C22" s="2355"/>
      <c r="D22" s="2355"/>
      <c r="E22" s="2355"/>
      <c r="F22" s="2355"/>
      <c r="G22" s="2355"/>
      <c r="H22" s="2355"/>
      <c r="I22" s="2355"/>
      <c r="J22" s="2355"/>
      <c r="K22" s="2355"/>
      <c r="L22" s="2355"/>
      <c r="M22" s="2355"/>
      <c r="N22" s="2355"/>
      <c r="O22" s="2355"/>
      <c r="P22" s="2355"/>
      <c r="Q22" s="2355"/>
      <c r="R22" s="2355"/>
      <c r="S22" s="2356"/>
      <c r="T22" s="2372">
        <f>(ABS(T20)+ABS(T21))*-1</f>
        <v>0</v>
      </c>
      <c r="U22" s="2373"/>
      <c r="V22" s="2373"/>
      <c r="W22" s="2373"/>
      <c r="X22" s="2373"/>
      <c r="Y22" s="2372">
        <f>(Y20+Y21)*-1</f>
        <v>0</v>
      </c>
      <c r="Z22" s="2373"/>
      <c r="AA22" s="2373"/>
      <c r="AB22" s="2373"/>
      <c r="AC22" s="2373"/>
      <c r="AD22" s="2374">
        <f>(AD20)*-1</f>
        <v>0</v>
      </c>
      <c r="AE22" s="2375"/>
      <c r="AF22" s="2375"/>
      <c r="AG22" s="2375"/>
      <c r="AH22" s="2372"/>
      <c r="AI22" s="2374">
        <f>(AI20)*-1</f>
        <v>0</v>
      </c>
      <c r="AJ22" s="2375"/>
      <c r="AK22" s="2375"/>
      <c r="AL22" s="2375"/>
      <c r="AM22" s="2372"/>
    </row>
    <row r="23" spans="1:40" ht="12.95" customHeight="1">
      <c r="B23" s="2354" t="s">
        <v>502</v>
      </c>
      <c r="C23" s="2355"/>
      <c r="D23" s="2355"/>
      <c r="E23" s="2355"/>
      <c r="F23" s="2355"/>
      <c r="G23" s="2355"/>
      <c r="H23" s="2355"/>
      <c r="I23" s="2355"/>
      <c r="J23" s="2355"/>
      <c r="K23" s="2355"/>
      <c r="L23" s="2355"/>
      <c r="M23" s="2355"/>
      <c r="N23" s="2355"/>
      <c r="O23" s="2355"/>
      <c r="P23" s="2355"/>
      <c r="Q23" s="2355"/>
      <c r="R23" s="2355"/>
      <c r="S23" s="2356"/>
      <c r="T23" s="2367">
        <f>T11+T22</f>
        <v>99847352</v>
      </c>
      <c r="U23" s="2348"/>
      <c r="V23" s="2348"/>
      <c r="W23" s="2348"/>
      <c r="X23" s="2348"/>
      <c r="Y23" s="2367">
        <f>Y11+Y22</f>
        <v>0</v>
      </c>
      <c r="Z23" s="2348"/>
      <c r="AA23" s="2348"/>
      <c r="AB23" s="2348"/>
      <c r="AC23" s="2348"/>
      <c r="AD23" s="2367">
        <f>AD11+AD22</f>
        <v>0</v>
      </c>
      <c r="AE23" s="2348"/>
      <c r="AF23" s="2348"/>
      <c r="AG23" s="2348"/>
      <c r="AH23" s="2348"/>
      <c r="AI23" s="2367">
        <f>AI11+AI22</f>
        <v>0</v>
      </c>
      <c r="AJ23" s="2348"/>
      <c r="AK23" s="2348"/>
      <c r="AL23" s="2348"/>
      <c r="AM23" s="2348"/>
    </row>
    <row r="24" spans="1:40" ht="12.95" customHeight="1">
      <c r="B24" s="2354" t="s">
        <v>959</v>
      </c>
      <c r="C24" s="2355"/>
      <c r="D24" s="2355"/>
      <c r="E24" s="2355"/>
      <c r="F24" s="2355"/>
      <c r="G24" s="2355"/>
      <c r="H24" s="2355"/>
      <c r="I24" s="2355"/>
      <c r="J24" s="2355"/>
      <c r="K24" s="2355"/>
      <c r="L24" s="2355"/>
      <c r="M24" s="2355"/>
      <c r="N24" s="2355"/>
      <c r="O24" s="2355"/>
      <c r="P24" s="2355"/>
      <c r="Q24" s="2355"/>
      <c r="R24" s="2355"/>
      <c r="S24" s="2356"/>
      <c r="T24" s="2358">
        <f>Application!AJ1062</f>
        <v>187519485.68000001</v>
      </c>
      <c r="U24" s="2366"/>
      <c r="V24" s="2366"/>
      <c r="W24" s="2366"/>
      <c r="X24" s="2366"/>
      <c r="Y24" s="2366"/>
      <c r="Z24" s="2366"/>
      <c r="AA24" s="2366"/>
      <c r="AB24" s="2366"/>
      <c r="AC24" s="2366"/>
      <c r="AD24" s="2366"/>
      <c r="AE24" s="2366"/>
      <c r="AF24" s="2366"/>
      <c r="AG24" s="2366"/>
      <c r="AH24" s="2366"/>
      <c r="AI24" s="2366"/>
      <c r="AJ24" s="2366"/>
      <c r="AK24" s="2366"/>
      <c r="AL24" s="2366"/>
      <c r="AM24" s="2367"/>
    </row>
    <row r="25" spans="1:40" ht="12.95" customHeight="1">
      <c r="B25" s="2398" t="s">
        <v>1262</v>
      </c>
      <c r="C25" s="2399"/>
      <c r="D25" s="2399"/>
      <c r="E25" s="2399"/>
      <c r="F25" s="2399"/>
      <c r="G25" s="2399"/>
      <c r="H25" s="2399"/>
      <c r="I25" s="2399"/>
      <c r="J25" s="2399"/>
      <c r="K25" s="2399"/>
      <c r="L25" s="2399"/>
      <c r="M25" s="2399"/>
      <c r="N25" s="2399"/>
      <c r="O25" s="2399"/>
      <c r="P25" s="2399"/>
      <c r="Q25" s="2399"/>
      <c r="R25" s="2399"/>
      <c r="S25" s="2400"/>
      <c r="T25" s="2380">
        <f>IF(OR(Application!T196="yes",Application!T195="yes"),1.3,1)</f>
        <v>1.3</v>
      </c>
      <c r="U25" s="2381"/>
      <c r="V25" s="2381"/>
      <c r="W25" s="2381"/>
      <c r="X25" s="2381"/>
      <c r="Y25" s="2380">
        <v>1</v>
      </c>
      <c r="Z25" s="2381"/>
      <c r="AA25" s="2381"/>
      <c r="AB25" s="2381"/>
      <c r="AC25" s="2381"/>
      <c r="AD25" s="2380">
        <v>1</v>
      </c>
      <c r="AE25" s="2381"/>
      <c r="AF25" s="2381"/>
      <c r="AG25" s="2381"/>
      <c r="AH25" s="2382"/>
      <c r="AI25" s="2380">
        <v>1</v>
      </c>
      <c r="AJ25" s="2381"/>
      <c r="AK25" s="2381"/>
      <c r="AL25" s="2381"/>
      <c r="AM25" s="2382"/>
    </row>
    <row r="26" spans="1:40" ht="12.95" customHeight="1">
      <c r="B26" s="2354" t="s">
        <v>503</v>
      </c>
      <c r="C26" s="2355"/>
      <c r="D26" s="2355"/>
      <c r="E26" s="2355"/>
      <c r="F26" s="2355"/>
      <c r="G26" s="2355"/>
      <c r="H26" s="2355"/>
      <c r="I26" s="2355"/>
      <c r="J26" s="2355"/>
      <c r="K26" s="2355"/>
      <c r="L26" s="2355"/>
      <c r="M26" s="2355"/>
      <c r="N26" s="2355"/>
      <c r="O26" s="2355"/>
      <c r="P26" s="2355"/>
      <c r="Q26" s="2355"/>
      <c r="R26" s="2355"/>
      <c r="S26" s="2356"/>
      <c r="T26" s="2367">
        <f>T23*T25</f>
        <v>129801557.60000001</v>
      </c>
      <c r="U26" s="2348"/>
      <c r="V26" s="2348"/>
      <c r="W26" s="2348"/>
      <c r="X26" s="2348"/>
      <c r="Y26" s="2367">
        <f>Y23*Y25</f>
        <v>0</v>
      </c>
      <c r="Z26" s="2348"/>
      <c r="AA26" s="2348"/>
      <c r="AB26" s="2348"/>
      <c r="AC26" s="2348"/>
      <c r="AD26" s="2367">
        <f>AD23*AD25</f>
        <v>0</v>
      </c>
      <c r="AE26" s="2348"/>
      <c r="AF26" s="2348"/>
      <c r="AG26" s="2348"/>
      <c r="AH26" s="2348"/>
      <c r="AI26" s="2367">
        <f>AI23*AI25</f>
        <v>0</v>
      </c>
      <c r="AJ26" s="2348"/>
      <c r="AK26" s="2348"/>
      <c r="AL26" s="2348"/>
      <c r="AM26" s="2348"/>
    </row>
    <row r="27" spans="1:40" ht="12.95" customHeight="1">
      <c r="A27" s="409"/>
      <c r="B27" s="2401" t="s">
        <v>425</v>
      </c>
      <c r="C27" s="2402"/>
      <c r="D27" s="2402"/>
      <c r="E27" s="2402"/>
      <c r="F27" s="2402"/>
      <c r="G27" s="2402"/>
      <c r="H27" s="2402"/>
      <c r="I27" s="2402"/>
      <c r="J27" s="2402"/>
      <c r="K27" s="2402"/>
      <c r="L27" s="2402"/>
      <c r="M27" s="2402"/>
      <c r="N27" s="2402"/>
      <c r="O27" s="2402"/>
      <c r="P27" s="2402"/>
      <c r="Q27" s="2402"/>
      <c r="R27" s="2402"/>
      <c r="S27" s="2403"/>
      <c r="T27" s="2378">
        <f>Application!$AG$454</f>
        <v>1</v>
      </c>
      <c r="U27" s="2379"/>
      <c r="V27" s="2379"/>
      <c r="W27" s="2379"/>
      <c r="X27" s="2379"/>
      <c r="Y27" s="2378">
        <f>Application!$AG$454</f>
        <v>1</v>
      </c>
      <c r="Z27" s="2379"/>
      <c r="AA27" s="2379"/>
      <c r="AB27" s="2379"/>
      <c r="AC27" s="2379"/>
      <c r="AD27" s="2378">
        <f>Application!$AG$454</f>
        <v>1</v>
      </c>
      <c r="AE27" s="2379"/>
      <c r="AF27" s="2379"/>
      <c r="AG27" s="2379"/>
      <c r="AH27" s="2379"/>
      <c r="AI27" s="2378">
        <f>Application!$AG$454</f>
        <v>1</v>
      </c>
      <c r="AJ27" s="2379"/>
      <c r="AK27" s="2379"/>
      <c r="AL27" s="2379"/>
      <c r="AM27" s="2379"/>
    </row>
    <row r="28" spans="1:40" ht="12.95" customHeight="1">
      <c r="A28" s="403"/>
      <c r="B28" s="2354" t="s">
        <v>504</v>
      </c>
      <c r="C28" s="2355"/>
      <c r="D28" s="2355"/>
      <c r="E28" s="2355"/>
      <c r="F28" s="2355"/>
      <c r="G28" s="2355"/>
      <c r="H28" s="2355"/>
      <c r="I28" s="2355"/>
      <c r="J28" s="2355"/>
      <c r="K28" s="2355"/>
      <c r="L28" s="2355"/>
      <c r="M28" s="2355"/>
      <c r="N28" s="2355"/>
      <c r="O28" s="2355"/>
      <c r="P28" s="2355"/>
      <c r="Q28" s="2355"/>
      <c r="R28" s="2355"/>
      <c r="S28" s="2356"/>
      <c r="T28" s="2367">
        <f>IF(ISERROR((T26*T27)),0,(T26*T27))</f>
        <v>129801557.60000001</v>
      </c>
      <c r="U28" s="2348"/>
      <c r="V28" s="2348"/>
      <c r="W28" s="2348"/>
      <c r="X28" s="2348"/>
      <c r="Y28" s="2367">
        <f>IF(ISERROR((Y26*Y27)),0,(Y26*Y27))</f>
        <v>0</v>
      </c>
      <c r="Z28" s="2348"/>
      <c r="AA28" s="2348"/>
      <c r="AB28" s="2348"/>
      <c r="AC28" s="2348"/>
      <c r="AD28" s="2367">
        <f>IF(ISERROR((AD26*AD27)),0,(AD26*AD27))</f>
        <v>0</v>
      </c>
      <c r="AE28" s="2348"/>
      <c r="AF28" s="2348"/>
      <c r="AG28" s="2348"/>
      <c r="AH28" s="2348"/>
      <c r="AI28" s="2367">
        <f>IF(ISERROR((AI26*AI27)),0,(AI26*AI27))</f>
        <v>0</v>
      </c>
      <c r="AJ28" s="2348"/>
      <c r="AK28" s="2348"/>
      <c r="AL28" s="2348"/>
      <c r="AM28" s="2348"/>
    </row>
    <row r="29" spans="1:40" ht="12.95" customHeight="1">
      <c r="B29" s="2354" t="s">
        <v>521</v>
      </c>
      <c r="C29" s="2355"/>
      <c r="D29" s="2355"/>
      <c r="E29" s="2355"/>
      <c r="F29" s="2355"/>
      <c r="G29" s="2355"/>
      <c r="H29" s="2355"/>
      <c r="I29" s="2355"/>
      <c r="J29" s="2355"/>
      <c r="K29" s="2355"/>
      <c r="L29" s="2355"/>
      <c r="M29" s="2355"/>
      <c r="N29" s="2355"/>
      <c r="O29" s="2355"/>
      <c r="P29" s="2355"/>
      <c r="Q29" s="2355"/>
      <c r="R29" s="2355"/>
      <c r="S29" s="2356"/>
      <c r="T29" s="2358">
        <f>T28+Y28+AD28+AI28</f>
        <v>129801557.60000001</v>
      </c>
      <c r="U29" s="2366"/>
      <c r="V29" s="2366"/>
      <c r="W29" s="2366"/>
      <c r="X29" s="2366"/>
      <c r="Y29" s="2366"/>
      <c r="Z29" s="2366"/>
      <c r="AA29" s="2366"/>
      <c r="AB29" s="2366"/>
      <c r="AC29" s="2366"/>
      <c r="AD29" s="2366"/>
      <c r="AE29" s="2366"/>
      <c r="AF29" s="2366"/>
      <c r="AG29" s="2366"/>
      <c r="AH29" s="2366"/>
      <c r="AI29" s="2366"/>
      <c r="AJ29" s="2366"/>
      <c r="AK29" s="2366"/>
      <c r="AL29" s="2366"/>
      <c r="AM29" s="2367"/>
    </row>
    <row r="30" spans="1:40" ht="12.95" customHeight="1">
      <c r="B30" s="2371" t="s">
        <v>1264</v>
      </c>
      <c r="C30" s="2371"/>
      <c r="D30" s="2371"/>
      <c r="E30" s="2371"/>
      <c r="F30" s="2371"/>
      <c r="G30" s="2371"/>
      <c r="H30" s="2371"/>
      <c r="I30" s="2371"/>
      <c r="J30" s="2371"/>
      <c r="K30" s="2371"/>
      <c r="L30" s="2371"/>
      <c r="M30" s="2371"/>
      <c r="N30" s="2371"/>
      <c r="O30" s="2371"/>
      <c r="P30" s="2371"/>
      <c r="Q30" s="2371"/>
      <c r="R30" s="2371"/>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row>
    <row r="31" spans="1:40" ht="12.95" customHeight="1">
      <c r="B31" s="2371" t="s">
        <v>1263</v>
      </c>
      <c r="C31" s="2371"/>
      <c r="D31" s="2371"/>
      <c r="E31" s="2371"/>
      <c r="F31" s="2371"/>
      <c r="G31" s="2371"/>
      <c r="H31" s="2371"/>
      <c r="I31" s="2371"/>
      <c r="J31" s="2371"/>
      <c r="K31" s="2371"/>
      <c r="L31" s="2371"/>
      <c r="M31" s="2371"/>
      <c r="N31" s="2371"/>
      <c r="O31" s="2371"/>
      <c r="P31" s="2371"/>
      <c r="Q31" s="2371"/>
      <c r="R31" s="2371"/>
      <c r="S31" s="2371"/>
      <c r="T31" s="2371"/>
      <c r="U31" s="2371"/>
      <c r="V31" s="2371"/>
      <c r="W31" s="2371"/>
      <c r="X31" s="2371"/>
      <c r="Y31" s="2371"/>
      <c r="Z31" s="2371"/>
      <c r="AA31" s="2371"/>
      <c r="AB31" s="2371"/>
      <c r="AC31" s="2371"/>
      <c r="AD31" s="2371"/>
      <c r="AE31" s="2371"/>
      <c r="AF31" s="2371"/>
      <c r="AG31" s="2371"/>
      <c r="AH31" s="2371"/>
      <c r="AI31" s="2371"/>
      <c r="AJ31" s="2371"/>
      <c r="AK31" s="2371"/>
      <c r="AL31" s="2371"/>
      <c r="AM31" s="2371"/>
      <c r="AN31" s="517"/>
    </row>
    <row r="32" spans="1:40" ht="12.95" customHeight="1">
      <c r="B32" s="433"/>
      <c r="C32" s="510" t="s">
        <v>386</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3" spans="1:76" ht="12.95" customHeight="1"/>
    <row r="34" spans="1:76" ht="12.95" customHeight="1">
      <c r="A34" s="403" t="s">
        <v>574</v>
      </c>
      <c r="C34" s="403" t="s">
        <v>566</v>
      </c>
    </row>
    <row r="35" spans="1:76" ht="12.95"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68" t="s">
        <v>1152</v>
      </c>
      <c r="Z35" s="2368"/>
      <c r="AA35" s="2368"/>
      <c r="AB35" s="2368"/>
      <c r="AC35" s="2368"/>
      <c r="AD35" s="2369" t="s">
        <v>368</v>
      </c>
      <c r="AE35" s="2369"/>
      <c r="AF35" s="2369"/>
      <c r="AG35" s="2369"/>
      <c r="AH35" s="2369"/>
    </row>
    <row r="36" spans="1:76" ht="12.95" customHeight="1">
      <c r="B36" s="406"/>
      <c r="X36" s="411"/>
      <c r="Y36" s="2368"/>
      <c r="Z36" s="2368"/>
      <c r="AA36" s="2368"/>
      <c r="AB36" s="2368"/>
      <c r="AC36" s="2368"/>
      <c r="AD36" s="2369"/>
      <c r="AE36" s="2369"/>
      <c r="AF36" s="2369"/>
      <c r="AG36" s="2369"/>
      <c r="AH36" s="2369"/>
    </row>
    <row r="37" spans="1:76" ht="12.95"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68"/>
      <c r="Z37" s="2368"/>
      <c r="AA37" s="2368"/>
      <c r="AB37" s="2368"/>
      <c r="AC37" s="2368"/>
      <c r="AD37" s="2369"/>
      <c r="AE37" s="2369"/>
      <c r="AF37" s="2369"/>
      <c r="AG37" s="2369"/>
      <c r="AH37" s="2369"/>
    </row>
    <row r="38" spans="1:76" ht="12.95" customHeight="1">
      <c r="A38" s="403"/>
      <c r="B38" s="2354" t="s">
        <v>504</v>
      </c>
      <c r="C38" s="2355"/>
      <c r="D38" s="2355"/>
      <c r="E38" s="2355"/>
      <c r="F38" s="2355"/>
      <c r="G38" s="2355"/>
      <c r="H38" s="2355"/>
      <c r="I38" s="2355"/>
      <c r="J38" s="2355"/>
      <c r="K38" s="2355"/>
      <c r="L38" s="2355"/>
      <c r="M38" s="2355"/>
      <c r="N38" s="2355"/>
      <c r="O38" s="2355"/>
      <c r="P38" s="2355"/>
      <c r="Q38" s="2355"/>
      <c r="R38" s="2355"/>
      <c r="S38" s="2355"/>
      <c r="T38" s="2355"/>
      <c r="U38" s="2355"/>
      <c r="V38" s="2355"/>
      <c r="W38" s="2355"/>
      <c r="X38" s="2356"/>
      <c r="Y38" s="2348">
        <f>IF(T24&gt;=(T23+Y23+AD23+AI23),T28+Y28,0)</f>
        <v>129801557.60000001</v>
      </c>
      <c r="Z38" s="2348"/>
      <c r="AA38" s="2348"/>
      <c r="AB38" s="2348"/>
      <c r="AC38" s="2348"/>
      <c r="AD38" s="2348">
        <f>IF(T24&gt;=(T23+Y23+AD23+AI23),AD28+AI28,0)</f>
        <v>0</v>
      </c>
      <c r="AE38" s="2348"/>
      <c r="AF38" s="2348"/>
      <c r="AG38" s="2348"/>
      <c r="AH38" s="2348"/>
    </row>
    <row r="39" spans="1:76" ht="12.95" customHeight="1">
      <c r="B39" s="2354" t="s">
        <v>1678</v>
      </c>
      <c r="C39" s="2355"/>
      <c r="D39" s="2355"/>
      <c r="E39" s="2355"/>
      <c r="F39" s="2355"/>
      <c r="G39" s="2355"/>
      <c r="H39" s="2355"/>
      <c r="I39" s="2355"/>
      <c r="J39" s="2355"/>
      <c r="K39" s="2355"/>
      <c r="L39" s="2355"/>
      <c r="M39" s="2355"/>
      <c r="N39" s="2355"/>
      <c r="O39" s="2355"/>
      <c r="P39" s="2355"/>
      <c r="Q39" s="2355"/>
      <c r="R39" s="2355"/>
      <c r="S39" s="2355"/>
      <c r="T39" s="2355"/>
      <c r="U39" s="2355"/>
      <c r="V39" s="2355"/>
      <c r="W39" s="2355"/>
      <c r="X39" s="2356"/>
      <c r="Y39" s="2370">
        <v>0.04</v>
      </c>
      <c r="Z39" s="2370"/>
      <c r="AA39" s="2370"/>
      <c r="AB39" s="2370"/>
      <c r="AC39" s="2370"/>
      <c r="AD39" s="2370">
        <v>0.04</v>
      </c>
      <c r="AE39" s="2370"/>
      <c r="AF39" s="2370"/>
      <c r="AG39" s="2370"/>
      <c r="AH39" s="2370"/>
    </row>
    <row r="40" spans="1:76" ht="12.95" customHeight="1">
      <c r="A40" s="403"/>
      <c r="B40" s="2354" t="s">
        <v>640</v>
      </c>
      <c r="C40" s="2355"/>
      <c r="D40" s="2355"/>
      <c r="E40" s="2355"/>
      <c r="F40" s="2355"/>
      <c r="G40" s="2355"/>
      <c r="H40" s="2355"/>
      <c r="I40" s="2355"/>
      <c r="J40" s="2355"/>
      <c r="K40" s="2355"/>
      <c r="L40" s="2355"/>
      <c r="M40" s="2355"/>
      <c r="N40" s="2355"/>
      <c r="O40" s="2355"/>
      <c r="P40" s="2355"/>
      <c r="Q40" s="2355"/>
      <c r="R40" s="2355"/>
      <c r="S40" s="2355"/>
      <c r="T40" s="2355"/>
      <c r="U40" s="2355"/>
      <c r="V40" s="2355"/>
      <c r="W40" s="2355"/>
      <c r="X40" s="2356"/>
      <c r="Y40" s="2348">
        <f>ROUND(Y38*Y39,0)</f>
        <v>5192062</v>
      </c>
      <c r="Z40" s="2348"/>
      <c r="AA40" s="2348"/>
      <c r="AB40" s="2348"/>
      <c r="AC40" s="2348"/>
      <c r="AD40" s="2367">
        <f>ROUND(AD38*AD39,0)</f>
        <v>0</v>
      </c>
      <c r="AE40" s="2348"/>
      <c r="AF40" s="2348"/>
      <c r="AG40" s="2348"/>
      <c r="AH40" s="2348"/>
    </row>
    <row r="41" spans="1:76" ht="12.95" customHeight="1">
      <c r="B41" s="2354" t="s">
        <v>641</v>
      </c>
      <c r="C41" s="2355"/>
      <c r="D41" s="2355"/>
      <c r="E41" s="2355"/>
      <c r="F41" s="2355"/>
      <c r="G41" s="2355"/>
      <c r="H41" s="2355"/>
      <c r="I41" s="2355"/>
      <c r="J41" s="2355"/>
      <c r="K41" s="2355"/>
      <c r="L41" s="2355"/>
      <c r="M41" s="2355"/>
      <c r="N41" s="2355"/>
      <c r="O41" s="2355"/>
      <c r="P41" s="2355"/>
      <c r="Q41" s="2355"/>
      <c r="R41" s="2355"/>
      <c r="S41" s="2355"/>
      <c r="T41" s="2355"/>
      <c r="U41" s="2355"/>
      <c r="V41" s="2355"/>
      <c r="W41" s="2355"/>
      <c r="X41" s="2356"/>
      <c r="Y41" s="2358">
        <f>Y40+AD40</f>
        <v>5192062</v>
      </c>
      <c r="Z41" s="2366"/>
      <c r="AA41" s="2366"/>
      <c r="AB41" s="2366"/>
      <c r="AC41" s="2366"/>
      <c r="AD41" s="2366"/>
      <c r="AE41" s="2366"/>
      <c r="AF41" s="2366"/>
      <c r="AG41" s="2366"/>
      <c r="AH41" s="2367"/>
    </row>
    <row r="42" spans="1:76" ht="12.95" customHeight="1">
      <c r="A42" s="403"/>
      <c r="B42" s="925"/>
      <c r="C42" s="925"/>
      <c r="D42" s="925"/>
      <c r="E42" s="925"/>
      <c r="F42" s="925"/>
      <c r="G42" s="925"/>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row>
    <row r="43" spans="1:76" ht="12.95"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4" customFormat="1" ht="12.95" customHeight="1" thickBot="1">
      <c r="A44" s="2365" t="s">
        <v>1274</v>
      </c>
      <c r="B44" s="2365"/>
      <c r="C44" s="2365"/>
      <c r="D44" s="2365"/>
      <c r="E44" s="2365"/>
      <c r="F44" s="2365"/>
      <c r="G44" s="2365"/>
      <c r="H44" s="2365"/>
      <c r="I44" s="2365"/>
      <c r="J44" s="2365"/>
      <c r="K44" s="2365"/>
      <c r="L44" s="2365"/>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c r="AS44" s="2365"/>
      <c r="AT44" s="2365"/>
      <c r="AU44" s="2365"/>
      <c r="AV44" s="2365"/>
      <c r="AW44" s="2365"/>
      <c r="AX44" s="2365"/>
      <c r="AY44" s="2365"/>
      <c r="AZ44" s="2365"/>
      <c r="BA44" s="2365"/>
      <c r="BB44" s="2365"/>
      <c r="BC44" s="2365"/>
      <c r="BD44" s="2365"/>
      <c r="BE44" s="2365"/>
      <c r="BF44" s="2365"/>
      <c r="BG44" s="2365"/>
      <c r="BH44" s="2365"/>
      <c r="BI44" s="2365"/>
      <c r="BJ44" s="2365"/>
      <c r="BK44" s="2365"/>
      <c r="BL44" s="2365"/>
      <c r="BM44" s="2365"/>
      <c r="BN44" s="2365"/>
      <c r="BO44" s="2365"/>
      <c r="BP44" s="2365"/>
      <c r="BQ44" s="2365"/>
      <c r="BR44" s="2365"/>
      <c r="BS44" s="2365"/>
      <c r="BT44" s="2365"/>
      <c r="BU44" s="2365"/>
      <c r="BV44" s="2365"/>
      <c r="BW44" s="2365"/>
      <c r="BX44" s="2365"/>
    </row>
    <row r="45" spans="1:76" s="204" customFormat="1" ht="12.95" customHeight="1" thickTop="1"/>
    <row r="46" spans="1:76" ht="12.95" customHeight="1">
      <c r="A46" s="403" t="s">
        <v>584</v>
      </c>
      <c r="C46" s="403" t="s">
        <v>281</v>
      </c>
    </row>
    <row r="47" spans="1:76" ht="12.95" customHeight="1">
      <c r="D47" s="403" t="s">
        <v>282</v>
      </c>
      <c r="AB47" s="2362">
        <f>'Sources and Uses Budget'!B105-MAX(IF('Sources and Uses Budget'!B15="",0,'Sources and Uses Budget'!B15),IF(Application!AG403="",0,Application!AG403))</f>
        <v>107547654</v>
      </c>
      <c r="AC47" s="2363"/>
      <c r="AD47" s="2363"/>
      <c r="AE47" s="2363"/>
      <c r="AF47" s="2364"/>
    </row>
    <row r="48" spans="1:76" ht="12.95" customHeight="1">
      <c r="D48" s="403" t="s">
        <v>21</v>
      </c>
      <c r="AB48" s="2362">
        <f>Application!AO647-MAX(IF('Sources and Uses Budget'!B15="",0,'Sources and Uses Budget'!B15),IF(Application!AG403="",0,Application!AG403))</f>
        <v>63779676</v>
      </c>
      <c r="AC48" s="2363"/>
      <c r="AD48" s="2363"/>
      <c r="AE48" s="2363"/>
      <c r="AF48" s="2364"/>
    </row>
    <row r="49" spans="1:76" ht="12.95" customHeight="1">
      <c r="D49" s="403" t="s">
        <v>91</v>
      </c>
      <c r="AB49" s="2362">
        <f>AB47-AB48</f>
        <v>43767978</v>
      </c>
      <c r="AC49" s="2363"/>
      <c r="AD49" s="2363"/>
      <c r="AE49" s="2363"/>
      <c r="AF49" s="2364"/>
    </row>
    <row r="50" spans="1:76" ht="12.95" customHeight="1">
      <c r="D50" s="403" t="s">
        <v>679</v>
      </c>
      <c r="AA50" s="414"/>
      <c r="AB50" s="2350">
        <f>(43962977-195000)/Y41/10</f>
        <v>0.84297870479975001</v>
      </c>
      <c r="AC50" s="2351"/>
      <c r="AD50" s="2351"/>
      <c r="AE50" s="2351"/>
      <c r="AF50" s="2352"/>
    </row>
    <row r="51" spans="1:76" s="416" customFormat="1" ht="12.95" customHeight="1">
      <c r="A51" s="401"/>
      <c r="B51" s="401"/>
      <c r="C51" s="401"/>
      <c r="D51" s="401"/>
      <c r="E51" s="2361" t="s">
        <v>2534</v>
      </c>
      <c r="F51" s="2361"/>
      <c r="G51" s="2361"/>
      <c r="H51" s="2361"/>
      <c r="I51" s="2361"/>
      <c r="J51" s="2361"/>
      <c r="K51" s="2361"/>
      <c r="L51" s="2361"/>
      <c r="M51" s="2361"/>
      <c r="N51" s="2361"/>
      <c r="O51" s="2361"/>
      <c r="P51" s="2361"/>
      <c r="Q51" s="2361"/>
      <c r="R51" s="2361"/>
      <c r="S51" s="2361"/>
      <c r="T51" s="2361"/>
      <c r="U51" s="2361"/>
      <c r="V51" s="2361"/>
      <c r="W51" s="2361"/>
      <c r="X51" s="2361"/>
      <c r="Y51" s="2361"/>
      <c r="Z51" s="2361"/>
      <c r="AA51" s="415"/>
      <c r="AB51" s="415"/>
      <c r="AC51" s="415"/>
      <c r="AD51" s="415"/>
      <c r="AE51" s="415"/>
      <c r="AF51" s="415"/>
      <c r="AG51" s="401"/>
      <c r="AH51" s="401"/>
      <c r="AI51" s="401"/>
      <c r="AJ51" s="401"/>
      <c r="AK51" s="401"/>
      <c r="AL51" s="401"/>
      <c r="AM51" s="401"/>
      <c r="AN51" s="401"/>
    </row>
    <row r="52" spans="1:76" s="416" customFormat="1" ht="12.95" customHeight="1">
      <c r="A52" s="401"/>
      <c r="B52" s="401"/>
      <c r="C52" s="401"/>
      <c r="D52" s="401"/>
      <c r="E52" s="2361"/>
      <c r="F52" s="2361"/>
      <c r="G52" s="2361"/>
      <c r="H52" s="2361"/>
      <c r="I52" s="2361"/>
      <c r="J52" s="2361"/>
      <c r="K52" s="2361"/>
      <c r="L52" s="2361"/>
      <c r="M52" s="2361"/>
      <c r="N52" s="2361"/>
      <c r="O52" s="2361"/>
      <c r="P52" s="2361"/>
      <c r="Q52" s="2361"/>
      <c r="R52" s="2361"/>
      <c r="S52" s="2361"/>
      <c r="T52" s="2361"/>
      <c r="U52" s="2361"/>
      <c r="V52" s="2361"/>
      <c r="W52" s="2361"/>
      <c r="X52" s="2361"/>
      <c r="Y52" s="2361"/>
      <c r="Z52" s="2361"/>
      <c r="AA52" s="417"/>
      <c r="AB52" s="417"/>
      <c r="AC52" s="417"/>
      <c r="AD52" s="417"/>
      <c r="AE52" s="417"/>
      <c r="AF52" s="417"/>
      <c r="AG52" s="418"/>
      <c r="AH52" s="401"/>
      <c r="AI52" s="401"/>
      <c r="AJ52" s="401"/>
      <c r="AK52" s="401"/>
      <c r="AL52" s="401"/>
      <c r="AM52" s="401"/>
      <c r="AN52" s="401"/>
    </row>
    <row r="53" spans="1:76" ht="12.95"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2.95" customHeight="1">
      <c r="D54" s="403" t="s">
        <v>331</v>
      </c>
      <c r="AB54" s="2362">
        <f>ROUND(IF(ISERROR((AB49/AB50)),0,(AB49/AB50)),0)</f>
        <v>51920621</v>
      </c>
      <c r="AC54" s="2363"/>
      <c r="AD54" s="2363"/>
      <c r="AE54" s="2363"/>
      <c r="AF54" s="2364"/>
    </row>
    <row r="55" spans="1:76" ht="12.95" customHeight="1">
      <c r="D55" s="403" t="s">
        <v>332</v>
      </c>
      <c r="AB55" s="2362">
        <f>(AB54/10)</f>
        <v>5192062.0999999996</v>
      </c>
      <c r="AC55" s="2363"/>
      <c r="AD55" s="2363"/>
      <c r="AE55" s="2363"/>
      <c r="AF55" s="2364"/>
    </row>
    <row r="56" spans="1:76" ht="12.95" customHeight="1">
      <c r="D56" s="403" t="s">
        <v>754</v>
      </c>
      <c r="AB56" s="2362">
        <f>ROUND((IF((Y41&lt;AB55),Y41,AB55)),0)</f>
        <v>5192062</v>
      </c>
      <c r="AC56" s="2363"/>
      <c r="AD56" s="2363"/>
      <c r="AE56" s="2363"/>
      <c r="AF56" s="2364"/>
    </row>
    <row r="57" spans="1:76" ht="12.95" customHeight="1">
      <c r="D57" s="403" t="s">
        <v>753</v>
      </c>
      <c r="AB57" s="2362">
        <f>ROUND((10*AB56*AB50),0)</f>
        <v>43767977</v>
      </c>
      <c r="AC57" s="2363"/>
      <c r="AD57" s="2363"/>
      <c r="AE57" s="2363"/>
      <c r="AF57" s="2364"/>
    </row>
    <row r="58" spans="1:76" ht="12.95" customHeight="1">
      <c r="D58" s="403"/>
      <c r="AB58" s="422"/>
      <c r="AC58" s="422"/>
      <c r="AD58" s="422"/>
      <c r="AE58" s="422"/>
      <c r="AF58" s="422"/>
    </row>
    <row r="59" spans="1:76" ht="12.95" customHeight="1">
      <c r="D59" s="403" t="s">
        <v>752</v>
      </c>
      <c r="AB59" s="2346">
        <f>AB49-AB57</f>
        <v>1</v>
      </c>
      <c r="AC59" s="2346"/>
      <c r="AD59" s="2346"/>
      <c r="AE59" s="2346"/>
      <c r="AF59" s="2346"/>
    </row>
    <row r="60" spans="1:76" ht="12.95" customHeight="1">
      <c r="D60" s="403"/>
      <c r="AB60" s="422"/>
      <c r="AC60" s="422"/>
      <c r="AD60" s="422"/>
      <c r="AE60" s="422"/>
      <c r="AF60" s="422"/>
    </row>
    <row r="61" spans="1:76" s="204" customFormat="1" ht="12.95" customHeight="1" thickBot="1">
      <c r="A61" s="2365" t="str">
        <f>IF(Application!AP205="yes","Farmworker State Credit", "State Credit" )</f>
        <v>State Credit</v>
      </c>
      <c r="B61" s="2365"/>
      <c r="C61" s="2365"/>
      <c r="D61" s="2365"/>
      <c r="E61" s="2365"/>
      <c r="F61" s="2365"/>
      <c r="G61" s="2365"/>
      <c r="H61" s="2365"/>
      <c r="I61" s="2365"/>
      <c r="J61" s="2365"/>
      <c r="K61" s="2365"/>
      <c r="L61" s="2365"/>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c r="AS61" s="2365"/>
      <c r="AT61" s="2365"/>
      <c r="AU61" s="2365"/>
      <c r="AV61" s="2365"/>
      <c r="AW61" s="2365"/>
      <c r="AX61" s="2365"/>
      <c r="AY61" s="2365"/>
      <c r="AZ61" s="2365"/>
      <c r="BA61" s="2365"/>
      <c r="BB61" s="2365"/>
      <c r="BC61" s="2365"/>
      <c r="BD61" s="2365"/>
      <c r="BE61" s="2365"/>
      <c r="BF61" s="2365"/>
      <c r="BG61" s="2365"/>
      <c r="BH61" s="2365"/>
      <c r="BI61" s="2365"/>
      <c r="BJ61" s="2365"/>
      <c r="BK61" s="2365"/>
      <c r="BL61" s="2365"/>
      <c r="BM61" s="2365"/>
      <c r="BN61" s="2365"/>
      <c r="BO61" s="2365"/>
      <c r="BP61" s="2365"/>
      <c r="BQ61" s="2365"/>
      <c r="BR61" s="2365"/>
      <c r="BS61" s="2365"/>
      <c r="BT61" s="2365"/>
      <c r="BU61" s="2365"/>
      <c r="BV61" s="2365"/>
      <c r="BW61" s="2365"/>
      <c r="BX61" s="2365"/>
    </row>
    <row r="62" spans="1:76" s="204" customFormat="1" ht="12.95" customHeight="1" thickTop="1"/>
    <row r="63" spans="1:76" ht="12.95" customHeight="1">
      <c r="A63" s="403" t="s">
        <v>587</v>
      </c>
      <c r="C63" s="205" t="s">
        <v>1246</v>
      </c>
      <c r="Y63" s="2357" t="s">
        <v>982</v>
      </c>
      <c r="Z63" s="2357"/>
      <c r="AA63" s="2357"/>
      <c r="AB63" s="2357"/>
      <c r="AC63" s="2357"/>
      <c r="AD63" s="2357" t="s">
        <v>368</v>
      </c>
      <c r="AE63" s="2357"/>
      <c r="AF63" s="2357"/>
      <c r="AG63" s="2357"/>
      <c r="AH63" s="2357"/>
    </row>
    <row r="64" spans="1:76" ht="12.95" customHeight="1">
      <c r="C64" s="403"/>
      <c r="D64" s="376" t="s">
        <v>1247</v>
      </c>
      <c r="E64" s="419"/>
      <c r="F64" s="419"/>
      <c r="G64" s="419"/>
      <c r="H64" s="419"/>
      <c r="I64" s="419"/>
      <c r="J64" s="419"/>
      <c r="K64" s="419"/>
      <c r="L64" s="419"/>
      <c r="M64" s="419"/>
      <c r="N64" s="419"/>
      <c r="O64" s="419"/>
      <c r="P64" s="419"/>
      <c r="Q64" s="419"/>
      <c r="R64" s="419"/>
      <c r="S64" s="419"/>
      <c r="T64" s="419"/>
      <c r="U64" s="419"/>
      <c r="V64" s="419"/>
      <c r="W64" s="419"/>
      <c r="X64" s="419"/>
      <c r="Y64" s="2358">
        <f>IF(Application!$Z$205="(select)",0,((T23*T27)+Y28))</f>
        <v>0</v>
      </c>
      <c r="Z64" s="2359"/>
      <c r="AA64" s="2359"/>
      <c r="AB64" s="2359"/>
      <c r="AC64" s="2360"/>
      <c r="AD64" s="2358">
        <f>IF(AND(OR(Application!D211="At-Risk",Application!D211="At-Risk and Special Needs"),Application!M367="yes"),AD28+AI28,0)</f>
        <v>0</v>
      </c>
      <c r="AE64" s="2359"/>
      <c r="AF64" s="2359"/>
      <c r="AG64" s="2359"/>
      <c r="AH64" s="2360"/>
    </row>
    <row r="65" spans="1:37" ht="12.95" customHeight="1">
      <c r="C65" s="403"/>
      <c r="E65" s="1011" t="s">
        <v>1823</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7" ht="22.5" customHeight="1">
      <c r="C66" s="403"/>
      <c r="E66" s="1011" t="s">
        <v>1824</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7" ht="12.95" customHeight="1">
      <c r="C67" s="403"/>
      <c r="D67" s="403" t="s">
        <v>269</v>
      </c>
      <c r="E67" s="420"/>
      <c r="F67" s="420"/>
      <c r="G67" s="420"/>
      <c r="H67" s="420"/>
      <c r="I67" s="420"/>
      <c r="J67" s="420"/>
      <c r="K67" s="420"/>
      <c r="L67" s="420"/>
      <c r="M67" s="420"/>
      <c r="N67" s="420"/>
      <c r="O67" s="420"/>
      <c r="P67" s="420"/>
      <c r="Q67" s="420"/>
      <c r="R67" s="420"/>
      <c r="S67" s="420"/>
      <c r="T67" s="420"/>
      <c r="U67" s="420"/>
      <c r="V67" s="420"/>
      <c r="W67" s="420"/>
      <c r="X67" s="420"/>
      <c r="Y67" s="2347">
        <f>IF(OR(Application!Z205="State Farmworker Credit",Application!Z205="$500M (Farmworker Housing)"),0.75,IF(Application!Z205="15% set-aside",0.13,IF(Application!Z205="15% set-aside with qualifying low value rehab",0.95,IF(Application!Z205="$500M",0.3,0))))</f>
        <v>0</v>
      </c>
      <c r="Z67" s="2347"/>
      <c r="AA67" s="2347"/>
      <c r="AB67" s="2347"/>
      <c r="AC67" s="2347"/>
      <c r="AD67" s="2347">
        <f>IF(Application!Z205="15% set-aside with qualifying low value rehab", 0.95,IF(OR(Application!D211="At-Risk",'Points System'!B26="Yes"),0.13,0))</f>
        <v>0</v>
      </c>
      <c r="AE67" s="2347"/>
      <c r="AF67" s="2347"/>
      <c r="AG67" s="2347"/>
      <c r="AH67" s="2347"/>
    </row>
    <row r="68" spans="1:37" ht="12.95" customHeight="1">
      <c r="C68" s="403"/>
      <c r="D68" s="205" t="s">
        <v>2177</v>
      </c>
      <c r="Y68" s="2348">
        <f>IF(AND(T25=1.3,OR(Y67=0.13,Y67=0.95),NOT(Application!T212&gt;=50%)),0,ROUND(Y64*Y67,0))</f>
        <v>0</v>
      </c>
      <c r="Z68" s="2349"/>
      <c r="AA68" s="2349"/>
      <c r="AB68" s="2349"/>
      <c r="AC68" s="2349"/>
      <c r="AD68" s="2348">
        <f>IF(AND(T25=1.3,AD67&gt;0,NOT(Application!T212&gt;=50%)),0,ROUND(AD64*AD67,0))</f>
        <v>0</v>
      </c>
      <c r="AE68" s="2349"/>
      <c r="AF68" s="2349"/>
      <c r="AG68" s="2349"/>
      <c r="AH68" s="2349"/>
      <c r="AK68" s="1191"/>
    </row>
    <row r="69" spans="1:37" ht="12.95" customHeight="1">
      <c r="C69" s="403"/>
      <c r="D69" s="205" t="s">
        <v>2178</v>
      </c>
      <c r="Y69" s="2348">
        <f>IF(OR(Application!Z205="State Farmworker Credit",Application!Z205="$500M (Farmworker Housing)"),Y68+AD68,MIN(Y68+AD68,200000*(Application!G761+Application!O785)))</f>
        <v>0</v>
      </c>
      <c r="Z69" s="2348"/>
      <c r="AA69" s="2348"/>
      <c r="AB69" s="2348"/>
      <c r="AC69" s="2348"/>
      <c r="AD69" s="2348"/>
      <c r="AE69" s="2348"/>
      <c r="AF69" s="2348"/>
      <c r="AG69" s="2348"/>
      <c r="AH69" s="2348"/>
    </row>
    <row r="70" spans="1:37" ht="12.95" customHeight="1">
      <c r="C70" s="403"/>
      <c r="E70" s="403"/>
      <c r="AB70" s="421"/>
      <c r="AC70" s="421"/>
      <c r="AD70" s="421"/>
      <c r="AE70" s="421"/>
      <c r="AF70" s="421"/>
    </row>
    <row r="71" spans="1:37" ht="12.95" customHeight="1">
      <c r="A71" s="403" t="s">
        <v>588</v>
      </c>
      <c r="C71" s="205" t="s">
        <v>283</v>
      </c>
    </row>
    <row r="72" spans="1:37" ht="12.95" customHeight="1">
      <c r="A72" s="403"/>
      <c r="C72" s="403"/>
      <c r="D72" s="205" t="s">
        <v>1248</v>
      </c>
      <c r="AB72" s="2350"/>
      <c r="AC72" s="2351"/>
      <c r="AD72" s="2351"/>
      <c r="AE72" s="2351"/>
      <c r="AF72" s="2352"/>
    </row>
    <row r="73" spans="1:37" ht="12.95" customHeight="1">
      <c r="A73" s="403"/>
      <c r="C73" s="403"/>
      <c r="D73" s="403"/>
      <c r="E73" s="2353" t="s">
        <v>1249</v>
      </c>
      <c r="F73" s="2353"/>
      <c r="G73" s="2353"/>
      <c r="H73" s="2353"/>
      <c r="I73" s="2353"/>
      <c r="J73" s="2353"/>
      <c r="K73" s="2353"/>
      <c r="L73" s="2353"/>
      <c r="M73" s="2353"/>
      <c r="N73" s="2353"/>
      <c r="O73" s="2353"/>
      <c r="P73" s="2353"/>
      <c r="Q73" s="2353"/>
      <c r="R73" s="2353"/>
      <c r="S73" s="2353"/>
      <c r="T73" s="2353"/>
      <c r="U73" s="2353"/>
      <c r="V73" s="2353"/>
      <c r="W73" s="2353"/>
      <c r="X73" s="2353"/>
      <c r="Y73" s="2353"/>
      <c r="Z73" s="2353"/>
      <c r="AA73" s="2353"/>
      <c r="AB73" s="437"/>
      <c r="AC73" s="437"/>
    </row>
    <row r="74" spans="1:37" ht="12.95" customHeight="1">
      <c r="A74" s="403"/>
      <c r="C74" s="403"/>
      <c r="D74" s="403"/>
      <c r="E74" s="2353"/>
      <c r="F74" s="2353"/>
      <c r="G74" s="2353"/>
      <c r="H74" s="2353"/>
      <c r="I74" s="2353"/>
      <c r="J74" s="2353"/>
      <c r="K74" s="2353"/>
      <c r="L74" s="2353"/>
      <c r="M74" s="2353"/>
      <c r="N74" s="2353"/>
      <c r="O74" s="2353"/>
      <c r="P74" s="2353"/>
      <c r="Q74" s="2353"/>
      <c r="R74" s="2353"/>
      <c r="S74" s="2353"/>
      <c r="T74" s="2353"/>
      <c r="U74" s="2353"/>
      <c r="V74" s="2353"/>
      <c r="W74" s="2353"/>
      <c r="X74" s="2353"/>
      <c r="Y74" s="2353"/>
      <c r="Z74" s="2353"/>
      <c r="AA74" s="2353"/>
      <c r="AB74" s="437"/>
      <c r="AC74" s="437"/>
    </row>
    <row r="75" spans="1:37" ht="12.95" customHeight="1">
      <c r="A75" s="403"/>
      <c r="C75" s="403"/>
      <c r="D75" s="403"/>
      <c r="E75" s="2353"/>
      <c r="F75" s="2353"/>
      <c r="G75" s="2353"/>
      <c r="H75" s="2353"/>
      <c r="I75" s="2353"/>
      <c r="J75" s="2353"/>
      <c r="K75" s="2353"/>
      <c r="L75" s="2353"/>
      <c r="M75" s="2353"/>
      <c r="N75" s="2353"/>
      <c r="O75" s="2353"/>
      <c r="P75" s="2353"/>
      <c r="Q75" s="2353"/>
      <c r="R75" s="2353"/>
      <c r="S75" s="2353"/>
      <c r="T75" s="2353"/>
      <c r="U75" s="2353"/>
      <c r="V75" s="2353"/>
      <c r="W75" s="2353"/>
      <c r="X75" s="2353"/>
      <c r="Y75" s="2353"/>
      <c r="Z75" s="2353"/>
      <c r="AA75" s="2353"/>
      <c r="AB75" s="437"/>
      <c r="AC75" s="437"/>
    </row>
    <row r="76" spans="1:37" ht="12.95"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7" ht="12.95" customHeight="1">
      <c r="C77" s="403"/>
      <c r="D77" s="205" t="s">
        <v>1250</v>
      </c>
      <c r="AB77" s="2341">
        <f>ROUND(IF(ISERROR((AB59/AB72)),0,(AB59/AB72)),0)</f>
        <v>0</v>
      </c>
      <c r="AC77" s="2341"/>
      <c r="AD77" s="2341"/>
      <c r="AE77" s="2341"/>
      <c r="AF77" s="2341"/>
    </row>
    <row r="78" spans="1:37" ht="12.95" customHeight="1">
      <c r="C78" s="403"/>
      <c r="D78" s="205" t="s">
        <v>1251</v>
      </c>
      <c r="AB78" s="2342">
        <f>ROUNDUP(MIN(Y69,AB77),0)</f>
        <v>0</v>
      </c>
      <c r="AC78" s="2343"/>
      <c r="AD78" s="2343"/>
      <c r="AE78" s="2343"/>
      <c r="AF78" s="2344"/>
    </row>
    <row r="79" spans="1:37" ht="12.95" customHeight="1">
      <c r="C79" s="403"/>
      <c r="D79" s="205" t="s">
        <v>1252</v>
      </c>
      <c r="AB79" s="2345">
        <f>AB78*AB72</f>
        <v>0</v>
      </c>
      <c r="AC79" s="2345"/>
      <c r="AD79" s="2345"/>
      <c r="AE79" s="2345"/>
      <c r="AF79" s="2345"/>
    </row>
    <row r="80" spans="1:37" ht="12.95" customHeight="1">
      <c r="C80" s="403"/>
      <c r="D80" s="403"/>
      <c r="AB80" s="424"/>
      <c r="AC80" s="424"/>
      <c r="AD80" s="424"/>
      <c r="AE80" s="424"/>
      <c r="AF80" s="424"/>
    </row>
    <row r="81" spans="1:78" ht="12.95" customHeight="1">
      <c r="D81" s="403" t="s">
        <v>752</v>
      </c>
      <c r="AB81" s="2346">
        <f>AB49-(AB57+AB79)</f>
        <v>1</v>
      </c>
      <c r="AC81" s="2346"/>
      <c r="AD81" s="2346"/>
      <c r="AE81" s="2346"/>
      <c r="AF81" s="2346"/>
    </row>
    <row r="82" spans="1:78" ht="12.95" customHeight="1">
      <c r="F82" s="521"/>
      <c r="J82" s="521" t="str">
        <f>IF(AB81&gt;0,"FUNDING GAP MUST NOT EXCEED ZERO","")</f>
        <v>FUNDING GAP MUST NOT EXCEED ZERO</v>
      </c>
    </row>
    <row r="83" spans="1:78" ht="12.95" customHeight="1">
      <c r="D83" s="522"/>
    </row>
    <row r="84" spans="1:78" ht="12.95" customHeight="1" thickBot="1">
      <c r="A84" s="2365"/>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2365"/>
      <c r="AM84" s="2365"/>
      <c r="AN84" s="2365"/>
      <c r="AO84" s="2365"/>
      <c r="AP84" s="2365"/>
      <c r="AQ84" s="2365"/>
      <c r="AR84" s="2365"/>
      <c r="AS84" s="2365"/>
      <c r="AT84" s="2365"/>
      <c r="AU84" s="2365"/>
      <c r="AV84" s="2365"/>
      <c r="AW84" s="2365"/>
      <c r="AX84" s="2365"/>
      <c r="AY84" s="2365"/>
      <c r="AZ84" s="2365"/>
      <c r="BA84" s="2365"/>
      <c r="BB84" s="2365"/>
      <c r="BC84" s="2365"/>
      <c r="BD84" s="2365"/>
      <c r="BE84" s="2365"/>
      <c r="BF84" s="2365"/>
      <c r="BG84" s="2365"/>
      <c r="BH84" s="2365"/>
      <c r="BI84" s="2365"/>
      <c r="BJ84" s="2365"/>
      <c r="BK84" s="2365"/>
      <c r="BL84" s="2365"/>
      <c r="BM84" s="2365"/>
      <c r="BN84" s="2365"/>
      <c r="BO84" s="2365"/>
      <c r="BP84" s="2365"/>
      <c r="BQ84" s="2365"/>
      <c r="BR84" s="2365"/>
      <c r="BS84" s="2365"/>
      <c r="BT84" s="2365"/>
      <c r="BU84" s="2365"/>
      <c r="BV84" s="2365"/>
      <c r="BW84" s="2365"/>
      <c r="BX84" s="2365"/>
    </row>
    <row r="85" spans="1:78" ht="12.95" customHeight="1" thickTop="1"/>
    <row r="86" spans="1:78" ht="12.95" hidden="1" customHeight="1">
      <c r="A86" s="403"/>
      <c r="C86" s="205"/>
    </row>
    <row r="87" spans="1:78" ht="12.95" hidden="1" customHeight="1">
      <c r="D87" s="205"/>
      <c r="AB87" s="2397"/>
      <c r="AC87" s="2397"/>
      <c r="AD87" s="2397"/>
      <c r="AE87" s="2397"/>
      <c r="AF87" s="2397"/>
    </row>
    <row r="88" spans="1:78" ht="12.95" hidden="1" customHeight="1" thickBot="1">
      <c r="D88" s="205"/>
      <c r="AB88" s="2396"/>
      <c r="AC88" s="2396"/>
      <c r="AD88" s="2396"/>
      <c r="AE88" s="2396"/>
      <c r="AF88" s="2396"/>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AM132" sqref="AM13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3"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40" t="s">
        <v>1297</v>
      </c>
      <c r="B1" s="2440"/>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2440"/>
      <c r="AA1" s="2440"/>
      <c r="AB1" s="2440"/>
      <c r="AC1" s="2440"/>
      <c r="AD1" s="2440"/>
      <c r="AE1" s="2440"/>
      <c r="AF1" s="2440"/>
      <c r="AG1" s="2440"/>
      <c r="AH1" s="2440"/>
      <c r="AI1" s="2440"/>
      <c r="AJ1" s="2440"/>
      <c r="AK1" s="2440"/>
      <c r="AL1" s="2440"/>
      <c r="AM1" s="2440"/>
    </row>
    <row r="2" spans="1:41" s="535" customFormat="1" ht="12.75" customHeight="1" thickBot="1">
      <c r="A2" s="2441"/>
      <c r="B2" s="2441"/>
      <c r="C2" s="2441"/>
      <c r="D2" s="2441"/>
      <c r="E2" s="2441"/>
      <c r="F2" s="2441"/>
      <c r="G2" s="2441"/>
      <c r="H2" s="2441"/>
      <c r="I2" s="2441"/>
      <c r="J2" s="2441"/>
      <c r="K2" s="2441"/>
      <c r="L2" s="2441"/>
      <c r="M2" s="2441"/>
      <c r="N2" s="2441"/>
      <c r="O2" s="2441"/>
      <c r="P2" s="2441"/>
      <c r="Q2" s="2441"/>
      <c r="R2" s="2441"/>
      <c r="S2" s="2441"/>
      <c r="T2" s="2441"/>
      <c r="U2" s="2441"/>
      <c r="V2" s="2441"/>
      <c r="W2" s="2441"/>
      <c r="X2" s="2441"/>
      <c r="Y2" s="2441"/>
      <c r="Z2" s="2441"/>
      <c r="AA2" s="2441"/>
      <c r="AB2" s="2441"/>
      <c r="AC2" s="2441"/>
      <c r="AD2" s="2441"/>
      <c r="AE2" s="2441"/>
      <c r="AF2" s="2441"/>
      <c r="AG2" s="2441"/>
      <c r="AH2" s="2441"/>
      <c r="AI2" s="2441"/>
      <c r="AJ2" s="2441"/>
      <c r="AK2" s="2441"/>
      <c r="AL2" s="2441"/>
      <c r="AM2" s="2441"/>
      <c r="AN2" s="534"/>
    </row>
    <row r="3" spans="1:41"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1" s="535" customFormat="1" ht="12.75" customHeight="1">
      <c r="A4" s="537" t="s">
        <v>1298</v>
      </c>
      <c r="B4" s="538" t="s">
        <v>1299</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1"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1"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1" s="535" customFormat="1" ht="12.75" customHeight="1">
      <c r="A7" s="537" t="s">
        <v>1300</v>
      </c>
      <c r="B7" s="538" t="s">
        <v>2547</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33" t="s">
        <v>1301</v>
      </c>
      <c r="AF7" s="2433"/>
      <c r="AG7" s="2433"/>
      <c r="AH7" s="2433"/>
      <c r="AI7" s="2433"/>
      <c r="AJ7" s="2433"/>
      <c r="AK7" s="2433"/>
      <c r="AL7" s="539"/>
      <c r="AM7" s="539"/>
      <c r="AN7" s="534"/>
    </row>
    <row r="8" spans="1:41" s="535" customFormat="1" ht="12.75" customHeight="1">
      <c r="A8" s="537"/>
      <c r="B8" s="538" t="s">
        <v>1716</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1"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1" s="535" customFormat="1" ht="12.75" customHeight="1">
      <c r="A10" s="538"/>
      <c r="B10" s="538" t="s">
        <v>2550</v>
      </c>
      <c r="C10" s="545"/>
      <c r="D10" s="545"/>
      <c r="E10" s="554"/>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4"/>
      <c r="AO10" s="553"/>
    </row>
    <row r="11" spans="1:41" s="535" customFormat="1" ht="12.75" customHeight="1">
      <c r="A11" s="545"/>
      <c r="B11" s="545"/>
      <c r="C11" s="545"/>
      <c r="D11" s="545"/>
      <c r="E11" s="555"/>
      <c r="F11" s="539"/>
      <c r="G11" s="539"/>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4"/>
      <c r="AO11" s="553"/>
    </row>
    <row r="12" spans="1:41" s="535" customFormat="1" ht="12.75" customHeight="1">
      <c r="A12" s="539"/>
      <c r="B12" s="2405" t="s">
        <v>589</v>
      </c>
      <c r="C12" s="2405"/>
      <c r="D12" s="539"/>
      <c r="E12" s="2421" t="s">
        <v>2548</v>
      </c>
      <c r="F12" s="2422"/>
      <c r="G12" s="2422"/>
      <c r="H12" s="2422"/>
      <c r="I12" s="2422"/>
      <c r="J12" s="2422"/>
      <c r="K12" s="2422"/>
      <c r="L12" s="2422"/>
      <c r="M12" s="2422"/>
      <c r="N12" s="2422"/>
      <c r="O12" s="2422"/>
      <c r="P12" s="2422"/>
      <c r="Q12" s="2422"/>
      <c r="R12" s="2422"/>
      <c r="S12" s="2422"/>
      <c r="T12" s="2422"/>
      <c r="U12" s="2422"/>
      <c r="V12" s="2422"/>
      <c r="W12" s="2422"/>
      <c r="X12" s="2422"/>
      <c r="Y12" s="2422"/>
      <c r="Z12" s="2422"/>
      <c r="AA12" s="2422"/>
      <c r="AB12" s="2422"/>
      <c r="AC12" s="2422"/>
      <c r="AD12" s="2422"/>
      <c r="AE12" s="2422"/>
      <c r="AF12" s="2422"/>
      <c r="AG12" s="2422"/>
      <c r="AH12" s="2422"/>
      <c r="AI12" s="2422"/>
      <c r="AJ12" s="2423"/>
      <c r="AK12" s="539"/>
      <c r="AL12" s="539"/>
      <c r="AM12" s="539"/>
      <c r="AN12" s="534"/>
      <c r="AO12" s="556"/>
    </row>
    <row r="13" spans="1:41" s="535" customFormat="1" ht="12.75" customHeight="1">
      <c r="A13" s="539"/>
      <c r="D13" s="545"/>
      <c r="E13" s="2450"/>
      <c r="F13" s="2451"/>
      <c r="G13" s="2451"/>
      <c r="H13" s="2451"/>
      <c r="I13" s="2451"/>
      <c r="J13" s="2451"/>
      <c r="K13" s="2451"/>
      <c r="L13" s="2451"/>
      <c r="M13" s="2451"/>
      <c r="N13" s="2451"/>
      <c r="O13" s="2451"/>
      <c r="P13" s="2451"/>
      <c r="Q13" s="2451"/>
      <c r="R13" s="2451"/>
      <c r="S13" s="2451"/>
      <c r="T13" s="2451"/>
      <c r="U13" s="2451"/>
      <c r="V13" s="2451"/>
      <c r="W13" s="2451"/>
      <c r="X13" s="2451"/>
      <c r="Y13" s="2451"/>
      <c r="Z13" s="2451"/>
      <c r="AA13" s="2451"/>
      <c r="AB13" s="2451"/>
      <c r="AC13" s="2451"/>
      <c r="AD13" s="2451"/>
      <c r="AE13" s="2451"/>
      <c r="AF13" s="2451"/>
      <c r="AG13" s="2451"/>
      <c r="AH13" s="2451"/>
      <c r="AI13" s="2451"/>
      <c r="AJ13" s="2452"/>
      <c r="AK13" s="539"/>
      <c r="AL13" s="539"/>
      <c r="AM13" s="539"/>
      <c r="AN13" s="534"/>
      <c r="AO13" s="556"/>
    </row>
    <row r="14" spans="1:41" s="535" customFormat="1" ht="12.75" customHeight="1">
      <c r="A14" s="539"/>
      <c r="D14" s="539"/>
      <c r="E14" s="2424"/>
      <c r="F14" s="2425"/>
      <c r="G14" s="2425"/>
      <c r="H14" s="2425"/>
      <c r="I14" s="2425"/>
      <c r="J14" s="2425"/>
      <c r="K14" s="2425"/>
      <c r="L14" s="2425"/>
      <c r="M14" s="2425"/>
      <c r="N14" s="2425"/>
      <c r="O14" s="2425"/>
      <c r="P14" s="2425"/>
      <c r="Q14" s="2425"/>
      <c r="R14" s="2425"/>
      <c r="S14" s="2425"/>
      <c r="T14" s="2425"/>
      <c r="U14" s="2425"/>
      <c r="V14" s="2425"/>
      <c r="W14" s="2425"/>
      <c r="X14" s="2425"/>
      <c r="Y14" s="2425"/>
      <c r="Z14" s="2425"/>
      <c r="AA14" s="2425"/>
      <c r="AB14" s="2425"/>
      <c r="AC14" s="2425"/>
      <c r="AD14" s="2425"/>
      <c r="AE14" s="2425"/>
      <c r="AF14" s="2425"/>
      <c r="AG14" s="2425"/>
      <c r="AH14" s="2425"/>
      <c r="AI14" s="2425"/>
      <c r="AJ14" s="2426"/>
      <c r="AK14" s="539"/>
      <c r="AL14" s="539"/>
      <c r="AM14" s="539"/>
      <c r="AN14" s="534"/>
    </row>
    <row r="15" spans="1:41" s="535" customFormat="1" ht="12.75" customHeight="1">
      <c r="A15" s="539"/>
      <c r="B15" s="539"/>
      <c r="C15" s="539"/>
      <c r="D15" s="545"/>
      <c r="E15" s="555"/>
      <c r="F15" s="553"/>
      <c r="G15" s="553"/>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row>
    <row r="16" spans="1:41" s="535" customFormat="1" ht="12.75" customHeight="1">
      <c r="A16" s="539"/>
      <c r="B16" s="2405" t="s">
        <v>589</v>
      </c>
      <c r="C16" s="2405"/>
      <c r="D16" s="539"/>
      <c r="E16" s="2421" t="s">
        <v>2549</v>
      </c>
      <c r="F16" s="2422"/>
      <c r="G16" s="2422"/>
      <c r="H16" s="2422"/>
      <c r="I16" s="2422"/>
      <c r="J16" s="2422"/>
      <c r="K16" s="2422"/>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c r="AH16" s="2422"/>
      <c r="AI16" s="2422"/>
      <c r="AJ16" s="2423"/>
      <c r="AK16" s="539"/>
      <c r="AL16" s="539"/>
      <c r="AM16" s="539"/>
      <c r="AN16" s="534"/>
    </row>
    <row r="17" spans="1:50" s="535" customFormat="1" ht="12.75" customHeight="1">
      <c r="A17" s="539"/>
      <c r="B17" s="539"/>
      <c r="C17" s="539"/>
      <c r="D17" s="539"/>
      <c r="E17" s="2450"/>
      <c r="F17" s="2451"/>
      <c r="G17" s="2451"/>
      <c r="H17" s="2451"/>
      <c r="I17" s="2451"/>
      <c r="J17" s="2451"/>
      <c r="K17" s="2451"/>
      <c r="L17" s="24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2"/>
      <c r="AK17" s="539"/>
      <c r="AL17" s="539"/>
      <c r="AM17" s="539"/>
      <c r="AN17" s="534"/>
    </row>
    <row r="18" spans="1:50" s="535" customFormat="1" ht="12.75" customHeight="1">
      <c r="A18" s="539"/>
      <c r="B18" s="539"/>
      <c r="C18" s="1134"/>
      <c r="D18" s="539"/>
      <c r="E18" s="2424"/>
      <c r="F18" s="2425"/>
      <c r="G18" s="2425"/>
      <c r="H18" s="2425"/>
      <c r="I18" s="2425"/>
      <c r="J18" s="2425"/>
      <c r="K18" s="2425"/>
      <c r="L18" s="2425"/>
      <c r="M18" s="2425"/>
      <c r="N18" s="2425"/>
      <c r="O18" s="2425"/>
      <c r="P18" s="2425"/>
      <c r="Q18" s="2425"/>
      <c r="R18" s="2425"/>
      <c r="S18" s="2425"/>
      <c r="T18" s="2425"/>
      <c r="U18" s="2425"/>
      <c r="V18" s="2425"/>
      <c r="W18" s="2425"/>
      <c r="X18" s="2425"/>
      <c r="Y18" s="2425"/>
      <c r="Z18" s="2425"/>
      <c r="AA18" s="2425"/>
      <c r="AB18" s="2425"/>
      <c r="AC18" s="2425"/>
      <c r="AD18" s="2425"/>
      <c r="AE18" s="2425"/>
      <c r="AF18" s="2425"/>
      <c r="AG18" s="2425"/>
      <c r="AH18" s="2425"/>
      <c r="AI18" s="2425"/>
      <c r="AJ18" s="2426"/>
      <c r="AK18" s="539"/>
      <c r="AL18" s="539"/>
      <c r="AM18" s="539"/>
      <c r="AN18" s="534"/>
      <c r="AO18" s="553"/>
    </row>
    <row r="19" spans="1:50" s="535" customFormat="1" ht="12.75" customHeight="1">
      <c r="A19" s="539"/>
      <c r="B19" s="539"/>
      <c r="C19" s="539"/>
      <c r="D19" s="545"/>
      <c r="E19" s="557"/>
      <c r="F19" s="553"/>
      <c r="G19" s="553"/>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4"/>
    </row>
    <row r="20" spans="1:50" s="535" customFormat="1" ht="12.75" customHeight="1">
      <c r="A20" s="539"/>
      <c r="B20" s="2405" t="s">
        <v>589</v>
      </c>
      <c r="C20" s="2405"/>
      <c r="D20" s="539"/>
      <c r="E20" s="2421" t="s">
        <v>1978</v>
      </c>
      <c r="F20" s="2422"/>
      <c r="G20" s="2422"/>
      <c r="H20" s="2422"/>
      <c r="I20" s="2422"/>
      <c r="J20" s="2422"/>
      <c r="K20" s="2422"/>
      <c r="L20" s="2422"/>
      <c r="M20" s="2422"/>
      <c r="N20" s="2422"/>
      <c r="O20" s="2422"/>
      <c r="P20" s="2422"/>
      <c r="Q20" s="2422"/>
      <c r="R20" s="2422"/>
      <c r="S20" s="2422"/>
      <c r="T20" s="2422"/>
      <c r="U20" s="2422"/>
      <c r="V20" s="2422"/>
      <c r="W20" s="2422"/>
      <c r="X20" s="2422"/>
      <c r="Y20" s="2422"/>
      <c r="Z20" s="2422"/>
      <c r="AA20" s="2422"/>
      <c r="AB20" s="2422"/>
      <c r="AC20" s="2422"/>
      <c r="AD20" s="2422"/>
      <c r="AE20" s="2422"/>
      <c r="AF20" s="2422"/>
      <c r="AG20" s="2422"/>
      <c r="AH20" s="2422"/>
      <c r="AI20" s="2422"/>
      <c r="AJ20" s="2423"/>
      <c r="AK20" s="539"/>
      <c r="AL20" s="539"/>
      <c r="AM20" s="539"/>
      <c r="AN20" s="534"/>
    </row>
    <row r="21" spans="1:50" s="535" customFormat="1" ht="12.75" customHeight="1">
      <c r="A21" s="539"/>
      <c r="B21" s="545"/>
      <c r="C21" s="545"/>
      <c r="D21" s="545"/>
      <c r="E21" s="2424"/>
      <c r="F21" s="2425"/>
      <c r="G21" s="2425"/>
      <c r="H21" s="2425"/>
      <c r="I21" s="2425"/>
      <c r="J21" s="2425"/>
      <c r="K21" s="2425"/>
      <c r="L21" s="2425"/>
      <c r="M21" s="2425"/>
      <c r="N21" s="2425"/>
      <c r="O21" s="2425"/>
      <c r="P21" s="2425"/>
      <c r="Q21" s="2425"/>
      <c r="R21" s="2425"/>
      <c r="S21" s="2425"/>
      <c r="T21" s="2425"/>
      <c r="U21" s="2425"/>
      <c r="V21" s="2425"/>
      <c r="W21" s="2425"/>
      <c r="X21" s="2425"/>
      <c r="Y21" s="2425"/>
      <c r="Z21" s="2425"/>
      <c r="AA21" s="2425"/>
      <c r="AB21" s="2425"/>
      <c r="AC21" s="2425"/>
      <c r="AD21" s="2425"/>
      <c r="AE21" s="2425"/>
      <c r="AF21" s="2425"/>
      <c r="AG21" s="2425"/>
      <c r="AH21" s="2425"/>
      <c r="AI21" s="2425"/>
      <c r="AJ21" s="2426"/>
      <c r="AK21" s="539"/>
      <c r="AL21" s="539"/>
      <c r="AM21" s="539"/>
      <c r="AN21" s="534"/>
      <c r="AO21" s="535">
        <f>IF(AND(B12="Yes",B16="Yes",B20="Yes"),10,0)</f>
        <v>0</v>
      </c>
      <c r="AP21" s="535" t="s">
        <v>1303</v>
      </c>
      <c r="AX21" s="538"/>
    </row>
    <row r="22" spans="1:50" s="535" customFormat="1" ht="12.75" customHeight="1">
      <c r="A22" s="539"/>
      <c r="B22" s="545"/>
      <c r="C22" s="545"/>
      <c r="D22" s="545"/>
      <c r="E22" s="557"/>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4"/>
      <c r="AX22" s="538"/>
    </row>
    <row r="23" spans="1:50" s="535" customFormat="1" ht="12.75" customHeight="1">
      <c r="A23" s="537"/>
      <c r="B23" s="1195" t="s">
        <v>2551</v>
      </c>
      <c r="C23" s="538"/>
      <c r="D23" s="538"/>
      <c r="E23" s="538"/>
      <c r="F23" s="538"/>
      <c r="G23" s="538"/>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42"/>
      <c r="AF23" s="542"/>
      <c r="AG23" s="542"/>
      <c r="AH23" s="542"/>
      <c r="AI23" s="542"/>
      <c r="AJ23" s="542"/>
      <c r="AK23" s="542"/>
      <c r="AL23" s="539"/>
      <c r="AM23" s="539"/>
      <c r="AN23" s="534"/>
    </row>
    <row r="24" spans="1:50" s="535" customFormat="1" ht="12.75" customHeight="1">
      <c r="A24" s="539"/>
      <c r="C24" s="1197" t="s">
        <v>2552</v>
      </c>
      <c r="D24" s="1134"/>
      <c r="E24" s="1134"/>
      <c r="F24" s="1134"/>
      <c r="G24" s="1134"/>
      <c r="H24" s="1134"/>
      <c r="I24" s="1134"/>
      <c r="J24" s="1134"/>
      <c r="K24" s="1134"/>
      <c r="L24" s="1134"/>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539"/>
      <c r="AL24" s="539"/>
      <c r="AM24" s="539"/>
      <c r="AN24" s="534"/>
      <c r="AO24" s="446"/>
      <c r="AP24" s="543"/>
    </row>
    <row r="25" spans="1:50" s="535" customFormat="1" ht="12.75" customHeight="1">
      <c r="A25" s="539"/>
      <c r="B25" s="544"/>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4"/>
      <c r="AP25" s="14"/>
    </row>
    <row r="26" spans="1:50" s="535" customFormat="1" ht="12.75" customHeight="1">
      <c r="A26" s="539"/>
      <c r="B26" s="2405" t="s">
        <v>589</v>
      </c>
      <c r="C26" s="2405"/>
      <c r="D26" s="545"/>
      <c r="E26" s="546" t="s">
        <v>1302</v>
      </c>
      <c r="F26" s="547"/>
      <c r="G26" s="547"/>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2442"/>
      <c r="AH26" s="2442"/>
      <c r="AI26" s="2442"/>
      <c r="AJ26" s="2443"/>
      <c r="AK26" s="539"/>
      <c r="AL26" s="539"/>
      <c r="AM26" s="539"/>
      <c r="AN26" s="534"/>
      <c r="AO26" s="535">
        <f>IF($B26="yes",20,0)</f>
        <v>0</v>
      </c>
      <c r="AP26" s="14" t="s">
        <v>1303</v>
      </c>
    </row>
    <row r="27" spans="1:50" s="535" customFormat="1" ht="12.75" customHeight="1">
      <c r="A27" s="539"/>
      <c r="B27" s="539"/>
      <c r="C27" s="539"/>
      <c r="D27" s="14"/>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8"/>
      <c r="AP27" s="14"/>
    </row>
    <row r="28" spans="1:50" s="535" customFormat="1" ht="12.75" customHeight="1">
      <c r="A28" s="539"/>
      <c r="B28" s="539"/>
      <c r="C28" s="1196" t="s">
        <v>2553</v>
      </c>
      <c r="D28" s="548"/>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4"/>
      <c r="AO28" s="548"/>
      <c r="AP28" s="14"/>
    </row>
    <row r="29" spans="1:50" s="535" customFormat="1" ht="12.75" customHeight="1">
      <c r="A29" s="539"/>
      <c r="B29" s="539"/>
      <c r="C29" s="1196"/>
      <c r="D29" s="548"/>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8"/>
      <c r="AP29" s="14"/>
    </row>
    <row r="30" spans="1:50" s="535" customFormat="1" ht="12.75" customHeight="1">
      <c r="A30" s="539"/>
      <c r="B30" s="2405" t="s">
        <v>589</v>
      </c>
      <c r="C30" s="2405"/>
      <c r="D30" s="545"/>
      <c r="E30" s="2406" t="s">
        <v>2556</v>
      </c>
      <c r="F30" s="2407"/>
      <c r="G30" s="2407"/>
      <c r="H30" s="2407"/>
      <c r="I30" s="2407"/>
      <c r="J30" s="2407"/>
      <c r="K30" s="2407"/>
      <c r="L30" s="2407"/>
      <c r="M30" s="2407"/>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8"/>
      <c r="AK30" s="539"/>
      <c r="AL30" s="539"/>
      <c r="AM30" s="539"/>
      <c r="AN30" s="534"/>
      <c r="AO30" s="548">
        <f>IF($B30="yes",9,0)</f>
        <v>0</v>
      </c>
    </row>
    <row r="31" spans="1:50" s="535" customFormat="1" ht="12.75" customHeight="1">
      <c r="A31" s="539"/>
      <c r="B31" s="539"/>
      <c r="C31" s="539"/>
      <c r="E31" s="2409"/>
      <c r="F31" s="2410"/>
      <c r="G31" s="2410"/>
      <c r="H31" s="2410"/>
      <c r="I31" s="2410"/>
      <c r="J31" s="2410"/>
      <c r="K31" s="2410"/>
      <c r="L31" s="2410"/>
      <c r="M31" s="2410"/>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1"/>
      <c r="AK31" s="539"/>
      <c r="AL31" s="539"/>
      <c r="AM31" s="539"/>
      <c r="AN31" s="534"/>
      <c r="AO31" s="548">
        <f>IF($B33="yes",9,0)</f>
        <v>0</v>
      </c>
    </row>
    <row r="32" spans="1:50" s="535" customFormat="1" ht="12.75" customHeight="1">
      <c r="A32" s="539"/>
      <c r="B32" s="539"/>
      <c r="C32" s="539"/>
      <c r="F32" s="901"/>
      <c r="G32" s="901"/>
      <c r="H32" s="901"/>
      <c r="I32" s="901"/>
      <c r="J32" s="901"/>
      <c r="K32" s="901"/>
      <c r="L32" s="901"/>
      <c r="M32" s="901"/>
      <c r="N32" s="901"/>
      <c r="O32" s="901"/>
      <c r="P32" s="901"/>
      <c r="Q32" s="901"/>
      <c r="R32" s="901"/>
      <c r="S32" s="901"/>
      <c r="T32" s="901"/>
      <c r="U32" s="901"/>
      <c r="V32" s="901"/>
      <c r="W32" s="901"/>
      <c r="X32" s="901"/>
      <c r="Y32" s="901"/>
      <c r="Z32" s="901"/>
      <c r="AA32" s="901"/>
      <c r="AB32" s="901"/>
      <c r="AC32" s="901"/>
      <c r="AD32" s="901"/>
      <c r="AE32" s="901"/>
      <c r="AF32" s="901"/>
      <c r="AG32" s="901"/>
      <c r="AH32" s="901"/>
      <c r="AI32" s="901"/>
      <c r="AJ32" s="901"/>
      <c r="AK32" s="539"/>
      <c r="AL32" s="539"/>
      <c r="AM32" s="539"/>
      <c r="AN32" s="534"/>
      <c r="AO32" s="548">
        <f>IF($B37="yes",9,0)</f>
        <v>0</v>
      </c>
    </row>
    <row r="33" spans="1:43" s="535" customFormat="1" ht="12.75" customHeight="1">
      <c r="A33" s="539"/>
      <c r="B33" s="2405" t="s">
        <v>589</v>
      </c>
      <c r="C33" s="2405"/>
      <c r="D33" s="545"/>
      <c r="E33" s="2406" t="s">
        <v>2557</v>
      </c>
      <c r="F33" s="2407"/>
      <c r="G33" s="2407"/>
      <c r="H33" s="2407"/>
      <c r="I33" s="2407"/>
      <c r="J33" s="2407"/>
      <c r="K33" s="2407"/>
      <c r="L33" s="2407"/>
      <c r="M33" s="2407"/>
      <c r="N33" s="2407"/>
      <c r="O33" s="2407"/>
      <c r="P33" s="2407"/>
      <c r="Q33" s="2407"/>
      <c r="R33" s="2407"/>
      <c r="S33" s="2407"/>
      <c r="T33" s="2407"/>
      <c r="U33" s="2407"/>
      <c r="V33" s="2407"/>
      <c r="W33" s="2407"/>
      <c r="X33" s="2407"/>
      <c r="Y33" s="2407"/>
      <c r="Z33" s="2407"/>
      <c r="AA33" s="2407"/>
      <c r="AB33" s="2407"/>
      <c r="AC33" s="2407"/>
      <c r="AD33" s="2407"/>
      <c r="AE33" s="2407"/>
      <c r="AF33" s="2407"/>
      <c r="AG33" s="2407"/>
      <c r="AH33" s="2407"/>
      <c r="AI33" s="2407"/>
      <c r="AJ33" s="2408"/>
      <c r="AK33" s="539"/>
      <c r="AL33" s="539"/>
      <c r="AM33" s="539"/>
      <c r="AN33" s="534"/>
      <c r="AO33" s="548">
        <f>IF($B39="yes",9,0)</f>
        <v>0</v>
      </c>
    </row>
    <row r="34" spans="1:43" s="535" customFormat="1" ht="12.75" customHeight="1">
      <c r="A34" s="539"/>
      <c r="B34" s="539"/>
      <c r="C34" s="539"/>
      <c r="D34" s="545"/>
      <c r="E34" s="2447"/>
      <c r="F34" s="2448"/>
      <c r="G34" s="2448"/>
      <c r="H34" s="2448"/>
      <c r="I34" s="2448"/>
      <c r="J34" s="2448"/>
      <c r="K34" s="2448"/>
      <c r="L34" s="2448"/>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9"/>
      <c r="AK34" s="539"/>
      <c r="AL34" s="539"/>
      <c r="AM34" s="539"/>
      <c r="AN34" s="534"/>
      <c r="AO34" s="535">
        <f>MAX(AO30,AO31,AO32,AO33)</f>
        <v>0</v>
      </c>
      <c r="AP34" s="535" t="s">
        <v>1303</v>
      </c>
    </row>
    <row r="35" spans="1:43" s="535" customFormat="1" ht="12.75" customHeight="1">
      <c r="A35" s="539"/>
      <c r="B35" s="539"/>
      <c r="C35" s="539"/>
      <c r="E35" s="2409"/>
      <c r="F35" s="2410"/>
      <c r="G35" s="2410"/>
      <c r="H35" s="2410"/>
      <c r="I35" s="2410"/>
      <c r="J35" s="2410"/>
      <c r="K35" s="2410"/>
      <c r="L35" s="2410"/>
      <c r="M35" s="2410"/>
      <c r="N35" s="2410"/>
      <c r="O35" s="2410"/>
      <c r="P35" s="2410"/>
      <c r="Q35" s="2410"/>
      <c r="R35" s="2410"/>
      <c r="S35" s="2410"/>
      <c r="T35" s="2410"/>
      <c r="U35" s="2410"/>
      <c r="V35" s="2410"/>
      <c r="W35" s="2410"/>
      <c r="X35" s="2410"/>
      <c r="Y35" s="2410"/>
      <c r="Z35" s="2410"/>
      <c r="AA35" s="2410"/>
      <c r="AB35" s="2410"/>
      <c r="AC35" s="2410"/>
      <c r="AD35" s="2410"/>
      <c r="AE35" s="2410"/>
      <c r="AF35" s="2410"/>
      <c r="AG35" s="2410"/>
      <c r="AH35" s="2410"/>
      <c r="AI35" s="2410"/>
      <c r="AJ35" s="2411"/>
      <c r="AK35" s="539"/>
      <c r="AL35" s="539"/>
      <c r="AM35" s="539"/>
      <c r="AN35" s="534"/>
    </row>
    <row r="36" spans="1:43" s="535" customFormat="1" ht="12.75" customHeight="1">
      <c r="A36" s="539"/>
      <c r="B36" s="539"/>
      <c r="C36" s="539"/>
      <c r="F36" s="901"/>
      <c r="G36" s="901"/>
      <c r="H36" s="901"/>
      <c r="I36" s="901"/>
      <c r="J36" s="901"/>
      <c r="K36" s="901"/>
      <c r="L36" s="901"/>
      <c r="M36" s="901"/>
      <c r="N36" s="901"/>
      <c r="O36" s="901"/>
      <c r="P36" s="901"/>
      <c r="Q36" s="901"/>
      <c r="R36" s="901"/>
      <c r="S36" s="901"/>
      <c r="T36" s="901"/>
      <c r="U36" s="901"/>
      <c r="V36" s="901"/>
      <c r="W36" s="901"/>
      <c r="X36" s="901"/>
      <c r="Y36" s="901"/>
      <c r="Z36" s="901"/>
      <c r="AA36" s="901"/>
      <c r="AB36" s="901"/>
      <c r="AC36" s="901"/>
      <c r="AD36" s="901"/>
      <c r="AE36" s="901"/>
      <c r="AF36" s="901"/>
      <c r="AG36" s="901"/>
      <c r="AH36" s="901"/>
      <c r="AI36" s="901"/>
      <c r="AJ36" s="901"/>
      <c r="AK36" s="539"/>
      <c r="AL36" s="539"/>
      <c r="AM36" s="539"/>
      <c r="AN36" s="534"/>
    </row>
    <row r="37" spans="1:43" s="535" customFormat="1" ht="12.75" customHeight="1">
      <c r="A37" s="539"/>
      <c r="B37" s="2405" t="s">
        <v>589</v>
      </c>
      <c r="C37" s="2405"/>
      <c r="D37" s="1135"/>
      <c r="E37" s="2412" t="s">
        <v>2561</v>
      </c>
      <c r="F37" s="2413"/>
      <c r="G37" s="2413"/>
      <c r="H37" s="2413"/>
      <c r="I37" s="2413"/>
      <c r="J37" s="2413"/>
      <c r="K37" s="2413"/>
      <c r="L37" s="2413"/>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4"/>
      <c r="AK37" s="1135"/>
      <c r="AL37" s="539"/>
      <c r="AM37" s="539"/>
      <c r="AN37" s="534"/>
    </row>
    <row r="38" spans="1:43" s="535" customFormat="1" ht="12.75" customHeight="1">
      <c r="A38" s="539"/>
      <c r="B38" s="539"/>
      <c r="C38" s="539"/>
      <c r="E38" s="539"/>
      <c r="F38" s="539"/>
      <c r="G38" s="539"/>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4"/>
      <c r="AO38" s="553"/>
    </row>
    <row r="39" spans="1:43" s="535" customFormat="1" ht="12.75" customHeight="1">
      <c r="A39" s="539"/>
      <c r="B39" s="2405" t="s">
        <v>589</v>
      </c>
      <c r="C39" s="2405"/>
      <c r="D39" s="1135"/>
      <c r="E39" s="2412" t="s">
        <v>2558</v>
      </c>
      <c r="F39" s="2413"/>
      <c r="G39" s="2413"/>
      <c r="H39" s="2413"/>
      <c r="I39" s="2413"/>
      <c r="J39" s="2413"/>
      <c r="K39" s="2413"/>
      <c r="L39" s="2413"/>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4"/>
      <c r="AK39" s="1135"/>
      <c r="AL39" s="539"/>
      <c r="AM39" s="539"/>
      <c r="AN39" s="534"/>
    </row>
    <row r="40" spans="1:43" s="535" customFormat="1" ht="12.75" customHeight="1">
      <c r="A40" s="539"/>
      <c r="B40" s="539"/>
      <c r="C40" s="539"/>
      <c r="E40" s="539"/>
      <c r="F40" s="539"/>
      <c r="G40" s="539"/>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4"/>
    </row>
    <row r="41" spans="1:43" s="535" customFormat="1" ht="12.75" customHeight="1">
      <c r="A41" s="539"/>
      <c r="B41" s="539"/>
      <c r="C41" s="1196" t="s">
        <v>2554</v>
      </c>
      <c r="D41" s="548"/>
      <c r="E41" s="539"/>
      <c r="F41" s="539"/>
      <c r="G41" s="539"/>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4"/>
      <c r="AP41" s="14"/>
    </row>
    <row r="42" spans="1:43" s="535" customFormat="1" ht="12.75" customHeight="1">
      <c r="A42" s="539"/>
      <c r="B42" s="539"/>
      <c r="C42" s="1196"/>
      <c r="D42" s="548"/>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48"/>
      <c r="AP42" s="14"/>
    </row>
    <row r="43" spans="1:43" s="535" customFormat="1" ht="12.75" customHeight="1">
      <c r="A43" s="539"/>
      <c r="B43" s="2405" t="s">
        <v>589</v>
      </c>
      <c r="C43" s="2405"/>
      <c r="D43" s="545"/>
      <c r="E43" s="2415" t="s">
        <v>2560</v>
      </c>
      <c r="F43" s="2416"/>
      <c r="G43" s="2416"/>
      <c r="H43" s="2416"/>
      <c r="I43" s="2416"/>
      <c r="J43" s="2416"/>
      <c r="K43" s="2416"/>
      <c r="L43" s="2416"/>
      <c r="M43" s="2416"/>
      <c r="N43" s="2416"/>
      <c r="O43" s="2416"/>
      <c r="P43" s="2416"/>
      <c r="Q43" s="2416"/>
      <c r="R43" s="2416"/>
      <c r="S43" s="2416"/>
      <c r="T43" s="2416"/>
      <c r="U43" s="2416"/>
      <c r="V43" s="2416"/>
      <c r="W43" s="2416"/>
      <c r="X43" s="2416"/>
      <c r="Y43" s="2416"/>
      <c r="Z43" s="2416"/>
      <c r="AA43" s="2416"/>
      <c r="AB43" s="2416"/>
      <c r="AC43" s="2416"/>
      <c r="AD43" s="2416"/>
      <c r="AE43" s="2416"/>
      <c r="AF43" s="2416"/>
      <c r="AG43" s="2416"/>
      <c r="AH43" s="2416"/>
      <c r="AI43" s="2416"/>
      <c r="AJ43" s="2417"/>
      <c r="AK43" s="539"/>
      <c r="AL43" s="539"/>
      <c r="AM43" s="539"/>
      <c r="AN43" s="534"/>
      <c r="AO43" s="548">
        <f>IF($B43="yes",8,0)</f>
        <v>0</v>
      </c>
      <c r="AP43" s="14"/>
    </row>
    <row r="44" spans="1:43" s="535" customFormat="1" ht="12.75" customHeight="1">
      <c r="A44" s="539"/>
      <c r="B44" s="539"/>
      <c r="C44" s="539"/>
      <c r="D44" s="549"/>
      <c r="E44" s="2418"/>
      <c r="F44" s="2419"/>
      <c r="G44" s="2419"/>
      <c r="H44" s="2419"/>
      <c r="I44" s="2419"/>
      <c r="J44" s="2419"/>
      <c r="K44" s="2419"/>
      <c r="L44" s="2419"/>
      <c r="M44" s="2419"/>
      <c r="N44" s="2419"/>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20"/>
      <c r="AK44" s="539"/>
      <c r="AL44" s="539"/>
      <c r="AM44" s="539"/>
      <c r="AN44" s="534"/>
      <c r="AO44" s="548">
        <f>IF($B46="yes",8,0)</f>
        <v>0</v>
      </c>
    </row>
    <row r="45" spans="1:43" s="535" customFormat="1" ht="12.75" customHeight="1">
      <c r="A45" s="539"/>
      <c r="B45" s="539"/>
      <c r="C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4"/>
      <c r="AO45" s="548">
        <f>IF($B49="yes",8,0)</f>
        <v>0</v>
      </c>
      <c r="AP45" s="14"/>
    </row>
    <row r="46" spans="1:43" s="535" customFormat="1" ht="12.75" customHeight="1">
      <c r="A46" s="539"/>
      <c r="B46" s="2405" t="s">
        <v>589</v>
      </c>
      <c r="C46" s="2405"/>
      <c r="D46" s="545"/>
      <c r="E46" s="2406" t="s">
        <v>2559</v>
      </c>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39"/>
      <c r="AL46" s="539"/>
      <c r="AM46" s="539"/>
      <c r="AN46" s="534"/>
      <c r="AO46" s="548">
        <f>IF($B52="yes",8,0)</f>
        <v>0</v>
      </c>
    </row>
    <row r="47" spans="1:43" s="535" customFormat="1" ht="12.75" customHeight="1">
      <c r="A47" s="539"/>
      <c r="B47" s="539"/>
      <c r="C47" s="539"/>
      <c r="D47" s="548"/>
      <c r="E47" s="2409"/>
      <c r="F47" s="2410"/>
      <c r="G47" s="2410"/>
      <c r="H47" s="2410"/>
      <c r="I47" s="2410"/>
      <c r="J47" s="2410"/>
      <c r="K47" s="2410"/>
      <c r="L47" s="2410"/>
      <c r="M47" s="2410"/>
      <c r="N47" s="2410"/>
      <c r="O47" s="2410"/>
      <c r="P47" s="2410"/>
      <c r="Q47" s="2410"/>
      <c r="R47" s="2410"/>
      <c r="S47" s="2410"/>
      <c r="T47" s="2410"/>
      <c r="U47" s="2410"/>
      <c r="V47" s="2410"/>
      <c r="W47" s="2410"/>
      <c r="X47" s="2410"/>
      <c r="Y47" s="2410"/>
      <c r="Z47" s="2410"/>
      <c r="AA47" s="2410"/>
      <c r="AB47" s="2410"/>
      <c r="AC47" s="2410"/>
      <c r="AD47" s="2410"/>
      <c r="AE47" s="2410"/>
      <c r="AF47" s="2410"/>
      <c r="AG47" s="2410"/>
      <c r="AH47" s="2410"/>
      <c r="AI47" s="2410"/>
      <c r="AJ47" s="2411"/>
      <c r="AK47" s="539"/>
      <c r="AL47" s="539"/>
      <c r="AM47" s="539"/>
      <c r="AN47" s="534"/>
      <c r="AO47" s="535">
        <f>MAX(AO43,AO44,AO45,AO46)</f>
        <v>0</v>
      </c>
      <c r="AP47" s="535" t="s">
        <v>1303</v>
      </c>
      <c r="AQ47" s="553"/>
    </row>
    <row r="48" spans="1:43" s="535" customFormat="1" ht="12.75" customHeight="1">
      <c r="A48" s="539"/>
      <c r="B48" s="539"/>
      <c r="C48" s="539"/>
      <c r="D48" s="54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row>
    <row r="49" spans="1:42" s="535" customFormat="1" ht="12.75" customHeight="1">
      <c r="A49" s="539"/>
      <c r="B49" s="2405" t="s">
        <v>589</v>
      </c>
      <c r="C49" s="2405"/>
      <c r="D49" s="545"/>
      <c r="E49" s="2421" t="s">
        <v>2639</v>
      </c>
      <c r="F49" s="2422"/>
      <c r="G49" s="2422"/>
      <c r="H49" s="2422"/>
      <c r="I49" s="2422"/>
      <c r="J49" s="2422"/>
      <c r="K49" s="2422"/>
      <c r="L49" s="2422"/>
      <c r="M49" s="2422"/>
      <c r="N49" s="2422"/>
      <c r="O49" s="2422"/>
      <c r="P49" s="2422"/>
      <c r="Q49" s="2422"/>
      <c r="R49" s="2422"/>
      <c r="S49" s="2422"/>
      <c r="T49" s="2422"/>
      <c r="U49" s="2422"/>
      <c r="V49" s="2422"/>
      <c r="W49" s="2422"/>
      <c r="X49" s="2422"/>
      <c r="Y49" s="2422"/>
      <c r="Z49" s="2422"/>
      <c r="AA49" s="2422"/>
      <c r="AB49" s="2422"/>
      <c r="AC49" s="2422"/>
      <c r="AD49" s="2422"/>
      <c r="AE49" s="2422"/>
      <c r="AF49" s="2422"/>
      <c r="AG49" s="2422"/>
      <c r="AH49" s="2422"/>
      <c r="AI49" s="2422"/>
      <c r="AJ49" s="2423"/>
      <c r="AK49" s="539"/>
      <c r="AL49" s="539"/>
      <c r="AM49" s="539"/>
      <c r="AN49" s="534"/>
      <c r="AO49" s="548"/>
    </row>
    <row r="50" spans="1:42" s="535" customFormat="1" ht="12.75" customHeight="1">
      <c r="A50" s="539"/>
      <c r="B50" s="539"/>
      <c r="C50" s="539"/>
      <c r="D50" s="548"/>
      <c r="E50" s="2424"/>
      <c r="F50" s="2425"/>
      <c r="G50" s="2425"/>
      <c r="H50" s="2425"/>
      <c r="I50" s="2425"/>
      <c r="J50" s="2425"/>
      <c r="K50" s="2425"/>
      <c r="L50" s="2425"/>
      <c r="M50" s="2425"/>
      <c r="N50" s="2425"/>
      <c r="O50" s="2425"/>
      <c r="P50" s="2425"/>
      <c r="Q50" s="2425"/>
      <c r="R50" s="2425"/>
      <c r="S50" s="2425"/>
      <c r="T50" s="2425"/>
      <c r="U50" s="2425"/>
      <c r="V50" s="2425"/>
      <c r="W50" s="2425"/>
      <c r="X50" s="2425"/>
      <c r="Y50" s="2425"/>
      <c r="Z50" s="2425"/>
      <c r="AA50" s="2425"/>
      <c r="AB50" s="2425"/>
      <c r="AC50" s="2425"/>
      <c r="AD50" s="2425"/>
      <c r="AE50" s="2425"/>
      <c r="AF50" s="2425"/>
      <c r="AG50" s="2425"/>
      <c r="AH50" s="2425"/>
      <c r="AI50" s="2425"/>
      <c r="AJ50" s="2426"/>
      <c r="AK50" s="539"/>
      <c r="AL50" s="539"/>
      <c r="AM50" s="539"/>
      <c r="AN50" s="534"/>
    </row>
    <row r="51" spans="1:42" s="535" customFormat="1" ht="12.75" customHeight="1">
      <c r="A51" s="539"/>
      <c r="B51" s="539"/>
      <c r="C51" s="539"/>
      <c r="D51" s="548"/>
      <c r="E51" s="539"/>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48"/>
    </row>
    <row r="52" spans="1:42" s="535" customFormat="1" ht="12.75" customHeight="1">
      <c r="A52" s="539"/>
      <c r="B52" s="2405" t="s">
        <v>589</v>
      </c>
      <c r="C52" s="2405"/>
      <c r="D52" s="545"/>
      <c r="E52" s="2412" t="s">
        <v>2640</v>
      </c>
      <c r="F52" s="2413"/>
      <c r="G52" s="2413"/>
      <c r="H52" s="2413"/>
      <c r="I52" s="2413"/>
      <c r="J52" s="2413"/>
      <c r="K52" s="2413"/>
      <c r="L52" s="2413"/>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4"/>
      <c r="AK52" s="539"/>
      <c r="AL52" s="539"/>
      <c r="AM52" s="539"/>
      <c r="AN52" s="534"/>
      <c r="AO52" s="548"/>
    </row>
    <row r="53" spans="1:42" s="535" customFormat="1" ht="12.75" customHeight="1">
      <c r="A53" s="539"/>
      <c r="B53" s="539"/>
      <c r="C53" s="539"/>
      <c r="D53" s="548"/>
      <c r="E53" s="539"/>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4"/>
      <c r="AO53" s="548"/>
    </row>
    <row r="54" spans="1:42" s="535" customFormat="1" ht="12.75" customHeight="1">
      <c r="A54" s="539"/>
      <c r="B54" s="539"/>
      <c r="C54" s="1196" t="s">
        <v>2555</v>
      </c>
      <c r="D54" s="548"/>
      <c r="E54" s="539"/>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4"/>
      <c r="AO54" s="548"/>
      <c r="AP54" s="14"/>
    </row>
    <row r="55" spans="1:42" s="535" customFormat="1" ht="12.75" customHeight="1">
      <c r="A55" s="539"/>
      <c r="B55" s="539"/>
      <c r="C55" s="1196"/>
      <c r="D55" s="548"/>
      <c r="E55" s="539"/>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c r="AO55" s="548">
        <f>IF($B56="yes",7,0)</f>
        <v>0</v>
      </c>
      <c r="AP55" s="14"/>
    </row>
    <row r="56" spans="1:42" s="535" customFormat="1" ht="12.75" customHeight="1">
      <c r="A56" s="539"/>
      <c r="B56" s="2405" t="s">
        <v>589</v>
      </c>
      <c r="C56" s="2405"/>
      <c r="D56" s="545"/>
      <c r="E56" s="2421" t="s">
        <v>2562</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39"/>
      <c r="AL56" s="539"/>
      <c r="AM56" s="539"/>
      <c r="AN56" s="534"/>
      <c r="AO56" s="548">
        <f>IF($B59="yes",7,0)</f>
        <v>0</v>
      </c>
    </row>
    <row r="57" spans="1:42" s="535" customFormat="1" ht="12.75" customHeight="1">
      <c r="A57" s="539"/>
      <c r="B57" s="539"/>
      <c r="C57" s="539"/>
      <c r="D57" s="548"/>
      <c r="E57" s="2424"/>
      <c r="F57" s="2425"/>
      <c r="G57" s="2425"/>
      <c r="H57" s="2425"/>
      <c r="I57" s="2425"/>
      <c r="J57" s="2425"/>
      <c r="K57" s="2425"/>
      <c r="L57" s="2425"/>
      <c r="M57" s="2425"/>
      <c r="N57" s="2425"/>
      <c r="O57" s="2425"/>
      <c r="P57" s="2425"/>
      <c r="Q57" s="2425"/>
      <c r="R57" s="2425"/>
      <c r="S57" s="2425"/>
      <c r="T57" s="2425"/>
      <c r="U57" s="2425"/>
      <c r="V57" s="2425"/>
      <c r="W57" s="2425"/>
      <c r="X57" s="2425"/>
      <c r="Y57" s="2425"/>
      <c r="Z57" s="2425"/>
      <c r="AA57" s="2425"/>
      <c r="AB57" s="2425"/>
      <c r="AC57" s="2425"/>
      <c r="AD57" s="2425"/>
      <c r="AE57" s="2425"/>
      <c r="AF57" s="2425"/>
      <c r="AG57" s="2425"/>
      <c r="AH57" s="2425"/>
      <c r="AI57" s="2425"/>
      <c r="AJ57" s="2426"/>
      <c r="AK57" s="539"/>
      <c r="AL57" s="539"/>
      <c r="AM57" s="539"/>
      <c r="AN57" s="534"/>
      <c r="AO57" s="535">
        <f>MAX(AO55:AO56)</f>
        <v>0</v>
      </c>
      <c r="AP57" s="535" t="s">
        <v>1303</v>
      </c>
    </row>
    <row r="58" spans="1:42" s="535" customFormat="1" ht="12.75" customHeight="1">
      <c r="A58" s="539"/>
      <c r="B58" s="539"/>
      <c r="C58" s="539"/>
      <c r="D58" s="548"/>
      <c r="E58" s="539"/>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4"/>
      <c r="AO58" s="548"/>
    </row>
    <row r="59" spans="1:42" s="535" customFormat="1" ht="12.75" customHeight="1">
      <c r="A59" s="539"/>
      <c r="B59" s="2405" t="s">
        <v>589</v>
      </c>
      <c r="C59" s="2405"/>
      <c r="D59" s="545"/>
      <c r="E59" s="2412" t="s">
        <v>2563</v>
      </c>
      <c r="F59" s="2413"/>
      <c r="G59" s="2413"/>
      <c r="H59" s="2413"/>
      <c r="I59" s="2413"/>
      <c r="J59" s="2413"/>
      <c r="K59" s="2413"/>
      <c r="L59" s="2413"/>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4"/>
      <c r="AK59" s="539"/>
      <c r="AL59" s="539"/>
      <c r="AM59" s="539"/>
      <c r="AN59" s="534"/>
      <c r="AO59" s="548"/>
    </row>
    <row r="60" spans="1:42" s="535" customFormat="1" ht="12.75" customHeight="1">
      <c r="A60" s="539"/>
      <c r="B60" s="539"/>
      <c r="C60" s="539"/>
      <c r="E60" s="53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O60" s="535">
        <f>IF(AO26&gt;0,AO26,SUM(AO21,MAX(AO34,AO47,AO57)))</f>
        <v>0</v>
      </c>
      <c r="AP60" s="535" t="s">
        <v>1303</v>
      </c>
    </row>
    <row r="61" spans="1:42" s="535" customFormat="1" ht="12.75" customHeight="1">
      <c r="A61" s="558"/>
      <c r="B61" s="559"/>
      <c r="C61" s="559"/>
      <c r="D61" s="559"/>
      <c r="E61" s="559"/>
      <c r="F61" s="559"/>
      <c r="G61" s="560"/>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2"/>
      <c r="AJ61" s="562" t="s">
        <v>2564</v>
      </c>
      <c r="AK61" s="2444">
        <f>AO60</f>
        <v>0</v>
      </c>
      <c r="AL61" s="2445"/>
      <c r="AM61" s="2446"/>
      <c r="AN61" s="534"/>
    </row>
    <row r="62" spans="1:42" s="535" customFormat="1" ht="12.75" customHeight="1" thickBot="1">
      <c r="A62" s="563"/>
      <c r="B62" s="564"/>
      <c r="C62" s="565"/>
      <c r="D62" s="565"/>
      <c r="E62" s="565"/>
      <c r="F62" s="565"/>
      <c r="G62" s="565"/>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5"/>
      <c r="AJ62" s="565"/>
      <c r="AK62" s="565"/>
      <c r="AL62" s="565"/>
      <c r="AM62" s="566"/>
      <c r="AN62" s="534"/>
    </row>
    <row r="63" spans="1:42" s="535" customFormat="1" ht="12.75" customHeight="1" thickTop="1">
      <c r="A63" s="567"/>
      <c r="B63" s="568"/>
      <c r="C63" s="569"/>
      <c r="D63" s="569"/>
      <c r="E63" s="569"/>
      <c r="F63" s="569"/>
      <c r="G63" s="569"/>
      <c r="H63" s="569"/>
      <c r="I63" s="570"/>
      <c r="J63" s="570"/>
      <c r="K63" s="570"/>
      <c r="L63" s="570"/>
      <c r="M63" s="570"/>
      <c r="N63" s="570"/>
      <c r="O63" s="570"/>
      <c r="P63" s="570"/>
      <c r="Q63" s="570"/>
      <c r="R63" s="567"/>
      <c r="S63" s="538"/>
      <c r="T63" s="538"/>
      <c r="U63" s="538"/>
      <c r="V63" s="538"/>
      <c r="W63" s="538"/>
      <c r="X63" s="538"/>
      <c r="Y63" s="538"/>
      <c r="Z63" s="538"/>
      <c r="AA63" s="538"/>
      <c r="AB63" s="538"/>
      <c r="AC63" s="538"/>
      <c r="AD63" s="538"/>
      <c r="AE63" s="538"/>
      <c r="AF63" s="567"/>
      <c r="AG63" s="538"/>
      <c r="AH63" s="538"/>
      <c r="AI63" s="538"/>
      <c r="AJ63" s="538"/>
      <c r="AK63" s="548"/>
      <c r="AL63" s="548"/>
      <c r="AM63" s="548"/>
      <c r="AN63" s="534"/>
    </row>
    <row r="64" spans="1:42" s="535" customFormat="1" ht="12.75" customHeight="1">
      <c r="A64" s="537" t="s">
        <v>1304</v>
      </c>
      <c r="B64" s="538" t="s">
        <v>1305</v>
      </c>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2433" t="s">
        <v>1306</v>
      </c>
      <c r="AF64" s="2433"/>
      <c r="AG64" s="2433"/>
      <c r="AH64" s="2433"/>
      <c r="AI64" s="2433"/>
      <c r="AJ64" s="2433"/>
      <c r="AK64" s="2433"/>
      <c r="AL64" s="539"/>
      <c r="AM64" s="539"/>
      <c r="AN64" s="534"/>
    </row>
    <row r="65" spans="1:42" s="535" customFormat="1" ht="12.75" customHeight="1">
      <c r="A65" s="537"/>
      <c r="B65" s="538" t="s">
        <v>1715</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42"/>
      <c r="AF65" s="542"/>
      <c r="AG65" s="542"/>
      <c r="AH65" s="542"/>
      <c r="AI65" s="542"/>
      <c r="AJ65" s="542"/>
      <c r="AK65" s="542"/>
      <c r="AL65" s="539"/>
      <c r="AM65" s="539"/>
      <c r="AN65" s="534"/>
    </row>
    <row r="66" spans="1:42" s="535" customFormat="1" ht="12.75" customHeight="1">
      <c r="A66" s="537"/>
      <c r="B66" s="538"/>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2405" t="s">
        <v>589</v>
      </c>
      <c r="C67" s="2405"/>
      <c r="D67" s="545" t="s">
        <v>1307</v>
      </c>
      <c r="E67" s="2415" t="s">
        <v>1979</v>
      </c>
      <c r="F67" s="2416"/>
      <c r="G67" s="2416"/>
      <c r="H67" s="2416"/>
      <c r="I67" s="2416"/>
      <c r="J67" s="2416"/>
      <c r="K67" s="2416"/>
      <c r="L67" s="2416"/>
      <c r="M67" s="2416"/>
      <c r="N67" s="2416"/>
      <c r="O67" s="2416"/>
      <c r="P67" s="2416"/>
      <c r="Q67" s="2416"/>
      <c r="R67" s="2416"/>
      <c r="S67" s="2416"/>
      <c r="T67" s="2416"/>
      <c r="U67" s="2416"/>
      <c r="V67" s="2416"/>
      <c r="W67" s="2416"/>
      <c r="X67" s="2416"/>
      <c r="Y67" s="2416"/>
      <c r="Z67" s="2416"/>
      <c r="AA67" s="2416"/>
      <c r="AB67" s="2416"/>
      <c r="AC67" s="2416"/>
      <c r="AD67" s="2416"/>
      <c r="AE67" s="2416"/>
      <c r="AF67" s="2416"/>
      <c r="AG67" s="2416"/>
      <c r="AH67" s="2416"/>
      <c r="AI67" s="2416"/>
      <c r="AJ67" s="2417"/>
      <c r="AK67" s="542"/>
      <c r="AL67" s="539"/>
      <c r="AM67" s="539"/>
      <c r="AN67" s="534"/>
      <c r="AO67" s="548">
        <f>IF($B67="yes",10,0)</f>
        <v>0</v>
      </c>
    </row>
    <row r="68" spans="1:42" s="535" customFormat="1" ht="12.75" customHeight="1">
      <c r="A68" s="537"/>
      <c r="B68" s="539"/>
      <c r="C68" s="539"/>
      <c r="D68" s="549"/>
      <c r="E68" s="2434"/>
      <c r="F68" s="2435"/>
      <c r="G68" s="2435"/>
      <c r="H68" s="2435"/>
      <c r="I68" s="2435"/>
      <c r="J68" s="2435"/>
      <c r="K68" s="2435"/>
      <c r="L68" s="2435"/>
      <c r="M68" s="2435"/>
      <c r="N68" s="2435"/>
      <c r="O68" s="2435"/>
      <c r="P68" s="2435"/>
      <c r="Q68" s="2435"/>
      <c r="R68" s="2435"/>
      <c r="S68" s="2435"/>
      <c r="T68" s="2435"/>
      <c r="U68" s="2435"/>
      <c r="V68" s="2435"/>
      <c r="W68" s="2435"/>
      <c r="X68" s="2435"/>
      <c r="Y68" s="2435"/>
      <c r="Z68" s="2435"/>
      <c r="AA68" s="2435"/>
      <c r="AB68" s="2435"/>
      <c r="AC68" s="2435"/>
      <c r="AD68" s="2435"/>
      <c r="AE68" s="2435"/>
      <c r="AF68" s="2435"/>
      <c r="AG68" s="2435"/>
      <c r="AH68" s="2435"/>
      <c r="AI68" s="2435"/>
      <c r="AJ68" s="2436"/>
      <c r="AK68" s="542"/>
      <c r="AL68" s="539"/>
      <c r="AM68" s="539"/>
      <c r="AN68" s="534"/>
      <c r="AO68" s="548">
        <f>IF(AND($B73="yes",OR(E74="Yes",E75="Yes",E76="Yes")),10,0)</f>
        <v>0</v>
      </c>
    </row>
    <row r="69" spans="1:42" s="535" customFormat="1" ht="12.75" customHeight="1">
      <c r="A69" s="537"/>
      <c r="B69" s="539"/>
      <c r="C69" s="539"/>
      <c r="D69" s="549"/>
      <c r="E69" s="2434"/>
      <c r="F69" s="2435"/>
      <c r="G69" s="2435"/>
      <c r="H69" s="2435"/>
      <c r="I69" s="2435"/>
      <c r="J69" s="2435"/>
      <c r="K69" s="2435"/>
      <c r="L69" s="2435"/>
      <c r="M69" s="2435"/>
      <c r="N69" s="2435"/>
      <c r="O69" s="2435"/>
      <c r="P69" s="2435"/>
      <c r="Q69" s="2435"/>
      <c r="R69" s="2435"/>
      <c r="S69" s="2435"/>
      <c r="T69" s="2435"/>
      <c r="U69" s="2435"/>
      <c r="V69" s="2435"/>
      <c r="W69" s="2435"/>
      <c r="X69" s="2435"/>
      <c r="Y69" s="2435"/>
      <c r="Z69" s="2435"/>
      <c r="AA69" s="2435"/>
      <c r="AB69" s="2435"/>
      <c r="AC69" s="2435"/>
      <c r="AD69" s="2435"/>
      <c r="AE69" s="2435"/>
      <c r="AF69" s="2435"/>
      <c r="AG69" s="2435"/>
      <c r="AH69" s="2435"/>
      <c r="AI69" s="2435"/>
      <c r="AJ69" s="2436"/>
      <c r="AK69" s="542"/>
      <c r="AL69" s="539"/>
      <c r="AM69" s="539"/>
      <c r="AN69" s="534"/>
      <c r="AO69" s="548">
        <f>IF($B78="yes",10,0)</f>
        <v>10</v>
      </c>
    </row>
    <row r="70" spans="1:42" s="535" customFormat="1" ht="12.75" customHeight="1">
      <c r="A70" s="537"/>
      <c r="B70" s="539"/>
      <c r="C70" s="539"/>
      <c r="D70" s="549"/>
      <c r="E70" s="2434"/>
      <c r="F70" s="2435"/>
      <c r="G70" s="2435"/>
      <c r="H70" s="2435"/>
      <c r="I70" s="2435"/>
      <c r="J70" s="2435"/>
      <c r="K70" s="2435"/>
      <c r="L70" s="2435"/>
      <c r="M70" s="2435"/>
      <c r="N70" s="2435"/>
      <c r="O70" s="2435"/>
      <c r="P70" s="2435"/>
      <c r="Q70" s="2435"/>
      <c r="R70" s="2435"/>
      <c r="S70" s="2435"/>
      <c r="T70" s="2435"/>
      <c r="U70" s="2435"/>
      <c r="V70" s="2435"/>
      <c r="W70" s="2435"/>
      <c r="X70" s="2435"/>
      <c r="Y70" s="2435"/>
      <c r="Z70" s="2435"/>
      <c r="AA70" s="2435"/>
      <c r="AB70" s="2435"/>
      <c r="AC70" s="2435"/>
      <c r="AD70" s="2435"/>
      <c r="AE70" s="2435"/>
      <c r="AF70" s="2435"/>
      <c r="AG70" s="2435"/>
      <c r="AH70" s="2435"/>
      <c r="AI70" s="2435"/>
      <c r="AJ70" s="2436"/>
      <c r="AK70" s="542"/>
      <c r="AL70" s="539"/>
      <c r="AM70" s="539"/>
      <c r="AN70" s="534"/>
      <c r="AO70" s="548">
        <f>IF($B81="yes",10,0)</f>
        <v>0</v>
      </c>
    </row>
    <row r="71" spans="1:42" s="535" customFormat="1" ht="12.75" customHeight="1">
      <c r="A71" s="537"/>
      <c r="B71" s="539"/>
      <c r="C71" s="539"/>
      <c r="D71" s="549"/>
      <c r="E71" s="2418"/>
      <c r="F71" s="2419"/>
      <c r="G71" s="2419"/>
      <c r="H71" s="2419"/>
      <c r="I71" s="2419"/>
      <c r="J71" s="2419"/>
      <c r="K71" s="2419"/>
      <c r="L71" s="2419"/>
      <c r="M71" s="2419"/>
      <c r="N71" s="2419"/>
      <c r="O71" s="2419"/>
      <c r="P71" s="2419"/>
      <c r="Q71" s="2419"/>
      <c r="R71" s="2419"/>
      <c r="S71" s="2419"/>
      <c r="T71" s="2419"/>
      <c r="U71" s="2419"/>
      <c r="V71" s="2419"/>
      <c r="W71" s="2419"/>
      <c r="X71" s="2419"/>
      <c r="Y71" s="2419"/>
      <c r="Z71" s="2419"/>
      <c r="AA71" s="2419"/>
      <c r="AB71" s="2419"/>
      <c r="AC71" s="2419"/>
      <c r="AD71" s="2419"/>
      <c r="AE71" s="2419"/>
      <c r="AF71" s="2419"/>
      <c r="AG71" s="2419"/>
      <c r="AH71" s="2419"/>
      <c r="AI71" s="2419"/>
      <c r="AJ71" s="2420"/>
      <c r="AK71" s="542"/>
      <c r="AL71" s="539"/>
      <c r="AM71" s="539"/>
      <c r="AN71" s="534"/>
      <c r="AO71" s="535">
        <f>IF(SUM(AO67:AO69)&gt;10,10,(SUM(AO67:AO69)))</f>
        <v>10</v>
      </c>
      <c r="AP71" s="571" t="s">
        <v>1308</v>
      </c>
    </row>
    <row r="72" spans="1:42" s="535" customFormat="1" ht="12.75" customHeight="1">
      <c r="A72" s="537"/>
      <c r="B72" s="539"/>
      <c r="C72" s="539"/>
      <c r="E72" s="539"/>
      <c r="F72" s="539"/>
      <c r="G72" s="539"/>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42"/>
      <c r="AL72" s="539"/>
      <c r="AM72" s="539"/>
      <c r="AN72" s="534"/>
    </row>
    <row r="73" spans="1:42" s="535" customFormat="1" ht="12.75" customHeight="1">
      <c r="A73" s="537"/>
      <c r="B73" s="2405" t="s">
        <v>589</v>
      </c>
      <c r="C73" s="2405"/>
      <c r="D73" s="545" t="s">
        <v>1309</v>
      </c>
      <c r="E73" s="966" t="s">
        <v>1711</v>
      </c>
      <c r="F73" s="967"/>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8"/>
      <c r="AK73" s="542"/>
      <c r="AL73" s="539"/>
      <c r="AM73" s="539"/>
      <c r="AN73" s="534"/>
    </row>
    <row r="74" spans="1:42" s="535" customFormat="1" ht="12.75" customHeight="1">
      <c r="A74" s="537"/>
      <c r="B74" s="539"/>
      <c r="C74" s="539"/>
      <c r="D74" s="548"/>
      <c r="E74" s="2437" t="s">
        <v>589</v>
      </c>
      <c r="F74" s="2405"/>
      <c r="G74" s="572"/>
      <c r="H74" s="555" t="s">
        <v>1310</v>
      </c>
      <c r="I74" s="903"/>
      <c r="J74" s="572"/>
      <c r="K74" s="572"/>
      <c r="L74" s="572"/>
      <c r="M74" s="572"/>
      <c r="N74" s="572"/>
      <c r="O74" s="572"/>
      <c r="P74" s="572"/>
      <c r="Q74" s="572"/>
      <c r="R74" s="572"/>
      <c r="S74" s="572"/>
      <c r="T74" s="572"/>
      <c r="U74" s="572"/>
      <c r="V74" s="572"/>
      <c r="W74" s="572"/>
      <c r="X74" s="572"/>
      <c r="Y74" s="572"/>
      <c r="Z74" s="572"/>
      <c r="AA74" s="572"/>
      <c r="AB74" s="572"/>
      <c r="AC74" s="572"/>
      <c r="AD74" s="572"/>
      <c r="AE74" s="572"/>
      <c r="AF74" s="572"/>
      <c r="AG74" s="572"/>
      <c r="AH74" s="572"/>
      <c r="AI74" s="572"/>
      <c r="AJ74" s="969"/>
      <c r="AK74" s="542"/>
      <c r="AL74" s="539"/>
      <c r="AM74" s="539"/>
      <c r="AN74" s="534"/>
    </row>
    <row r="75" spans="1:42" s="535" customFormat="1" ht="12.75" customHeight="1">
      <c r="A75" s="537"/>
      <c r="B75" s="539"/>
      <c r="C75" s="539"/>
      <c r="D75" s="548"/>
      <c r="E75" s="2431" t="s">
        <v>589</v>
      </c>
      <c r="F75" s="2432"/>
      <c r="G75" s="572"/>
      <c r="H75" s="555" t="s">
        <v>1311</v>
      </c>
      <c r="I75" s="572"/>
      <c r="J75" s="572"/>
      <c r="K75" s="572"/>
      <c r="L75" s="572"/>
      <c r="M75" s="572"/>
      <c r="N75" s="572"/>
      <c r="O75" s="572"/>
      <c r="P75" s="572"/>
      <c r="Q75" s="572"/>
      <c r="R75" s="572"/>
      <c r="S75" s="572"/>
      <c r="T75" s="572"/>
      <c r="U75" s="572"/>
      <c r="V75" s="572"/>
      <c r="W75" s="572"/>
      <c r="X75" s="572"/>
      <c r="Y75" s="572"/>
      <c r="Z75" s="572"/>
      <c r="AA75" s="572"/>
      <c r="AB75" s="572"/>
      <c r="AC75" s="572"/>
      <c r="AD75" s="572"/>
      <c r="AE75" s="572"/>
      <c r="AF75" s="572"/>
      <c r="AG75" s="572"/>
      <c r="AH75" s="572"/>
      <c r="AI75" s="572"/>
      <c r="AJ75" s="969"/>
      <c r="AK75" s="542"/>
      <c r="AL75" s="539"/>
      <c r="AM75" s="539"/>
      <c r="AN75" s="534"/>
    </row>
    <row r="76" spans="1:42" s="535" customFormat="1" ht="12.75" customHeight="1">
      <c r="A76" s="537"/>
      <c r="B76" s="539"/>
      <c r="C76" s="539"/>
      <c r="D76" s="548"/>
      <c r="E76" s="2431" t="s">
        <v>589</v>
      </c>
      <c r="F76" s="2432"/>
      <c r="G76" s="901"/>
      <c r="H76" s="1198" t="s">
        <v>1726</v>
      </c>
      <c r="I76" s="901"/>
      <c r="J76" s="901"/>
      <c r="K76" s="901"/>
      <c r="L76" s="901"/>
      <c r="M76" s="901"/>
      <c r="N76" s="901"/>
      <c r="O76" s="901"/>
      <c r="P76" s="901"/>
      <c r="Q76" s="901"/>
      <c r="R76" s="901"/>
      <c r="S76" s="901"/>
      <c r="T76" s="901"/>
      <c r="U76" s="901"/>
      <c r="V76" s="901"/>
      <c r="W76" s="901"/>
      <c r="X76" s="901"/>
      <c r="Y76" s="901"/>
      <c r="Z76" s="901"/>
      <c r="AA76" s="901"/>
      <c r="AB76" s="901"/>
      <c r="AC76" s="901"/>
      <c r="AD76" s="901"/>
      <c r="AE76" s="901"/>
      <c r="AF76" s="901"/>
      <c r="AG76" s="901"/>
      <c r="AH76" s="901"/>
      <c r="AI76" s="901"/>
      <c r="AJ76" s="902"/>
      <c r="AK76" s="542"/>
      <c r="AL76" s="539"/>
      <c r="AM76" s="539"/>
      <c r="AN76" s="534"/>
    </row>
    <row r="77" spans="1:42" s="535" customFormat="1" ht="12.75" customHeight="1">
      <c r="A77" s="537"/>
      <c r="B77" s="539"/>
      <c r="C77" s="539"/>
      <c r="D77" s="549"/>
      <c r="E77" s="539"/>
      <c r="F77" s="539"/>
      <c r="G77" s="539"/>
      <c r="H77" s="539"/>
      <c r="I77" s="539"/>
      <c r="J77" s="539"/>
      <c r="K77" s="539"/>
      <c r="L77" s="539"/>
      <c r="M77" s="539"/>
      <c r="N77" s="539"/>
      <c r="O77" s="539"/>
      <c r="P77" s="539"/>
      <c r="Q77" s="539"/>
      <c r="R77" s="539"/>
      <c r="S77" s="539"/>
      <c r="T77" s="539"/>
      <c r="U77" s="539"/>
      <c r="V77" s="539"/>
      <c r="W77" s="539"/>
      <c r="X77" s="539"/>
      <c r="Y77" s="539"/>
      <c r="Z77" s="539"/>
      <c r="AA77" s="539"/>
      <c r="AB77" s="539"/>
      <c r="AC77" s="539"/>
      <c r="AD77" s="539"/>
      <c r="AE77" s="539"/>
      <c r="AF77" s="539"/>
      <c r="AG77" s="539"/>
      <c r="AH77" s="539"/>
      <c r="AI77" s="539"/>
      <c r="AJ77" s="539"/>
      <c r="AK77" s="542"/>
      <c r="AL77" s="539"/>
      <c r="AM77" s="539"/>
      <c r="AN77" s="534"/>
    </row>
    <row r="78" spans="1:42" s="535" customFormat="1" ht="12.75" customHeight="1">
      <c r="A78" s="537"/>
      <c r="B78" s="2405" t="s">
        <v>543</v>
      </c>
      <c r="C78" s="2405"/>
      <c r="D78" s="545" t="s">
        <v>1312</v>
      </c>
      <c r="E78" s="2421" t="s">
        <v>1727</v>
      </c>
      <c r="F78" s="2422"/>
      <c r="G78" s="2422"/>
      <c r="H78" s="2422"/>
      <c r="I78" s="2422"/>
      <c r="J78" s="2422"/>
      <c r="K78" s="2422"/>
      <c r="L78" s="2422"/>
      <c r="M78" s="2422"/>
      <c r="N78" s="2422"/>
      <c r="O78" s="2422"/>
      <c r="P78" s="2422"/>
      <c r="Q78" s="2422"/>
      <c r="R78" s="2422"/>
      <c r="S78" s="2422"/>
      <c r="T78" s="2422"/>
      <c r="U78" s="2422"/>
      <c r="V78" s="2422"/>
      <c r="W78" s="2422"/>
      <c r="X78" s="2422"/>
      <c r="Y78" s="2422"/>
      <c r="Z78" s="2422"/>
      <c r="AA78" s="2422"/>
      <c r="AB78" s="2422"/>
      <c r="AC78" s="2422"/>
      <c r="AD78" s="2422"/>
      <c r="AE78" s="2422"/>
      <c r="AF78" s="2422"/>
      <c r="AG78" s="2422"/>
      <c r="AH78" s="2422"/>
      <c r="AI78" s="2422"/>
      <c r="AJ78" s="2423"/>
      <c r="AK78" s="542"/>
      <c r="AL78" s="539"/>
      <c r="AM78" s="539"/>
      <c r="AN78" s="534"/>
    </row>
    <row r="79" spans="1:42" s="535" customFormat="1" ht="12.75" customHeight="1">
      <c r="A79" s="537"/>
      <c r="B79" s="539"/>
      <c r="C79" s="539"/>
      <c r="E79" s="2424"/>
      <c r="F79" s="2425"/>
      <c r="G79" s="2425"/>
      <c r="H79" s="2425"/>
      <c r="I79" s="2425"/>
      <c r="J79" s="2425"/>
      <c r="K79" s="2425"/>
      <c r="L79" s="2425"/>
      <c r="M79" s="2425"/>
      <c r="N79" s="2425"/>
      <c r="O79" s="2425"/>
      <c r="P79" s="2425"/>
      <c r="Q79" s="2425"/>
      <c r="R79" s="2425"/>
      <c r="S79" s="2425"/>
      <c r="T79" s="2425"/>
      <c r="U79" s="2425"/>
      <c r="V79" s="2425"/>
      <c r="W79" s="2425"/>
      <c r="X79" s="2425"/>
      <c r="Y79" s="2425"/>
      <c r="Z79" s="2425"/>
      <c r="AA79" s="2425"/>
      <c r="AB79" s="2425"/>
      <c r="AC79" s="2425"/>
      <c r="AD79" s="2425"/>
      <c r="AE79" s="2425"/>
      <c r="AF79" s="2425"/>
      <c r="AG79" s="2425"/>
      <c r="AH79" s="2425"/>
      <c r="AI79" s="2425"/>
      <c r="AJ79" s="2426"/>
      <c r="AK79" s="542"/>
      <c r="AL79" s="539"/>
      <c r="AM79" s="539"/>
      <c r="AN79" s="534"/>
    </row>
    <row r="80" spans="1:42" s="535" customFormat="1" ht="12.75" customHeight="1">
      <c r="A80" s="537"/>
      <c r="B80" s="539"/>
      <c r="C80" s="539"/>
      <c r="D80" s="548"/>
      <c r="E80" s="548"/>
      <c r="F80" s="572"/>
      <c r="G80" s="572"/>
      <c r="H80" s="572"/>
      <c r="I80" s="572"/>
      <c r="J80" s="572"/>
      <c r="K80" s="572"/>
      <c r="L80" s="572"/>
      <c r="M80" s="572"/>
      <c r="N80" s="572"/>
      <c r="O80" s="572"/>
      <c r="P80" s="572"/>
      <c r="Q80" s="572"/>
      <c r="R80" s="572"/>
      <c r="S80" s="572"/>
      <c r="T80" s="572"/>
      <c r="U80" s="572"/>
      <c r="V80" s="572"/>
      <c r="W80" s="572"/>
      <c r="X80" s="572"/>
      <c r="Y80" s="572"/>
      <c r="Z80" s="572"/>
      <c r="AA80" s="572"/>
      <c r="AB80" s="572"/>
      <c r="AC80" s="572"/>
      <c r="AD80" s="572"/>
      <c r="AE80" s="572"/>
      <c r="AF80" s="572"/>
      <c r="AG80" s="572"/>
      <c r="AH80" s="572"/>
      <c r="AI80" s="572"/>
      <c r="AJ80" s="969"/>
      <c r="AK80" s="542"/>
      <c r="AL80" s="539"/>
      <c r="AM80" s="539"/>
      <c r="AN80" s="534"/>
    </row>
    <row r="81" spans="1:43" s="535" customFormat="1" ht="12.75" customHeight="1">
      <c r="A81" s="537"/>
      <c r="B81" s="2405" t="s">
        <v>589</v>
      </c>
      <c r="C81" s="2405"/>
      <c r="D81" s="545" t="s">
        <v>1459</v>
      </c>
      <c r="E81" s="2412" t="s">
        <v>1725</v>
      </c>
      <c r="F81" s="2413"/>
      <c r="G81" s="2413"/>
      <c r="H81" s="2413"/>
      <c r="I81" s="2413"/>
      <c r="J81" s="2413"/>
      <c r="K81" s="2413"/>
      <c r="L81" s="2413"/>
      <c r="M81" s="2413"/>
      <c r="N81" s="2413"/>
      <c r="O81" s="2413"/>
      <c r="P81" s="2413"/>
      <c r="Q81" s="2413"/>
      <c r="R81" s="2413"/>
      <c r="S81" s="2413"/>
      <c r="T81" s="2413"/>
      <c r="U81" s="2413"/>
      <c r="V81" s="2413"/>
      <c r="W81" s="2413"/>
      <c r="X81" s="2413"/>
      <c r="Y81" s="2413"/>
      <c r="Z81" s="2413"/>
      <c r="AA81" s="2413"/>
      <c r="AB81" s="2413"/>
      <c r="AC81" s="2413"/>
      <c r="AD81" s="2413"/>
      <c r="AE81" s="2413"/>
      <c r="AF81" s="2413"/>
      <c r="AG81" s="2413"/>
      <c r="AH81" s="2413"/>
      <c r="AI81" s="2413"/>
      <c r="AJ81" s="2414"/>
      <c r="AK81" s="542"/>
      <c r="AL81" s="539"/>
      <c r="AM81" s="539"/>
      <c r="AN81" s="534"/>
    </row>
    <row r="82" spans="1:43" s="535" customFormat="1" ht="12.75" customHeight="1">
      <c r="A82" s="537"/>
      <c r="B82" s="539"/>
      <c r="C82" s="539"/>
      <c r="D82" s="548"/>
      <c r="E82" s="539"/>
      <c r="F82" s="539"/>
      <c r="G82" s="539"/>
      <c r="H82" s="539"/>
      <c r="I82" s="539"/>
      <c r="J82" s="539"/>
      <c r="K82" s="539"/>
      <c r="L82" s="539"/>
      <c r="M82" s="539"/>
      <c r="N82" s="539"/>
      <c r="O82" s="539"/>
      <c r="P82" s="539"/>
      <c r="Q82" s="539"/>
      <c r="R82" s="539"/>
      <c r="S82" s="539"/>
      <c r="T82" s="539"/>
      <c r="U82" s="539"/>
      <c r="V82" s="539"/>
      <c r="W82" s="539"/>
      <c r="X82" s="539"/>
      <c r="Y82" s="539"/>
      <c r="Z82" s="539"/>
      <c r="AA82" s="539"/>
      <c r="AB82" s="539"/>
      <c r="AC82" s="539"/>
      <c r="AD82" s="539"/>
      <c r="AE82" s="539"/>
      <c r="AF82" s="539"/>
      <c r="AG82" s="539"/>
      <c r="AH82" s="539"/>
      <c r="AI82" s="539"/>
      <c r="AJ82" s="539"/>
      <c r="AK82" s="542"/>
      <c r="AL82" s="539"/>
      <c r="AM82" s="539"/>
      <c r="AN82" s="534"/>
    </row>
    <row r="83" spans="1:43" s="535" customFormat="1" ht="12.75" customHeight="1">
      <c r="A83" s="558"/>
      <c r="B83" s="559"/>
      <c r="C83" s="559"/>
      <c r="D83" s="559"/>
      <c r="E83" s="559"/>
      <c r="F83" s="559"/>
      <c r="G83" s="560"/>
      <c r="H83" s="561"/>
      <c r="I83" s="561"/>
      <c r="J83" s="561"/>
      <c r="K83" s="561"/>
      <c r="L83" s="561"/>
      <c r="M83" s="561"/>
      <c r="N83" s="561"/>
      <c r="O83" s="561"/>
      <c r="P83" s="561"/>
      <c r="Q83" s="561"/>
      <c r="R83" s="561"/>
      <c r="S83" s="561"/>
      <c r="T83" s="561"/>
      <c r="U83" s="561"/>
      <c r="V83" s="561"/>
      <c r="W83" s="561"/>
      <c r="X83" s="561"/>
      <c r="Y83" s="561"/>
      <c r="Z83" s="561"/>
      <c r="AA83" s="561"/>
      <c r="AB83" s="561"/>
      <c r="AC83" s="561"/>
      <c r="AD83" s="561"/>
      <c r="AE83" s="561"/>
      <c r="AF83" s="561"/>
      <c r="AG83" s="561"/>
      <c r="AH83" s="561"/>
      <c r="AI83" s="562"/>
      <c r="AJ83" s="562" t="s">
        <v>1313</v>
      </c>
      <c r="AK83" s="2444">
        <f>IF(AK61&gt;0,0,AO71)</f>
        <v>10</v>
      </c>
      <c r="AL83" s="2445"/>
      <c r="AM83" s="2446"/>
      <c r="AN83" s="534"/>
    </row>
    <row r="84" spans="1:43" s="535" customFormat="1" ht="12.75" customHeight="1" thickBot="1">
      <c r="A84" s="563"/>
      <c r="B84" s="564"/>
      <c r="C84" s="565"/>
      <c r="D84" s="565"/>
      <c r="E84" s="565"/>
      <c r="F84" s="565"/>
      <c r="G84" s="565"/>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5"/>
      <c r="AJ84" s="565"/>
      <c r="AK84" s="565"/>
      <c r="AL84" s="565"/>
      <c r="AM84" s="566"/>
      <c r="AN84" s="534"/>
    </row>
    <row r="85" spans="1:43" s="535" customFormat="1" ht="12.75" customHeight="1" thickTop="1">
      <c r="A85" s="567"/>
      <c r="B85" s="568"/>
      <c r="C85" s="569"/>
      <c r="D85" s="569"/>
      <c r="E85" s="569"/>
      <c r="F85" s="569"/>
      <c r="G85" s="569"/>
      <c r="H85" s="569"/>
      <c r="I85" s="570"/>
      <c r="J85" s="570"/>
      <c r="K85" s="570"/>
      <c r="L85" s="570"/>
      <c r="M85" s="570"/>
      <c r="N85" s="570"/>
      <c r="O85" s="570"/>
      <c r="P85" s="570"/>
      <c r="Q85" s="570"/>
      <c r="R85" s="567"/>
      <c r="S85" s="538"/>
      <c r="T85" s="538"/>
      <c r="U85" s="538"/>
      <c r="V85" s="538"/>
      <c r="W85" s="538"/>
      <c r="X85" s="538"/>
      <c r="Y85" s="538"/>
      <c r="Z85" s="538"/>
      <c r="AA85" s="538"/>
      <c r="AB85" s="538"/>
      <c r="AC85" s="538"/>
      <c r="AD85" s="538"/>
      <c r="AE85" s="538"/>
      <c r="AF85" s="567"/>
      <c r="AG85" s="538"/>
      <c r="AH85" s="538"/>
      <c r="AI85" s="538"/>
      <c r="AJ85" s="538"/>
      <c r="AK85" s="548"/>
      <c r="AL85" s="548"/>
      <c r="AM85" s="548"/>
      <c r="AN85" s="534"/>
    </row>
    <row r="86" spans="1:43" s="535" customFormat="1" ht="12.75" customHeight="1">
      <c r="A86" s="537" t="s">
        <v>1314</v>
      </c>
      <c r="B86" s="538" t="s">
        <v>1315</v>
      </c>
      <c r="C86" s="538"/>
      <c r="D86" s="538"/>
      <c r="E86" s="538"/>
      <c r="F86" s="538"/>
      <c r="G86" s="538"/>
      <c r="H86" s="538"/>
      <c r="I86" s="538"/>
      <c r="J86" s="538"/>
      <c r="K86" s="538"/>
      <c r="L86" s="538"/>
      <c r="M86" s="538"/>
      <c r="N86" s="538"/>
      <c r="O86" s="538"/>
      <c r="P86" s="538"/>
      <c r="Q86" s="538"/>
      <c r="R86" s="538"/>
      <c r="S86" s="538"/>
      <c r="T86" s="538"/>
      <c r="U86" s="538"/>
      <c r="V86" s="538"/>
      <c r="W86" s="538"/>
      <c r="X86" s="538"/>
      <c r="Y86" s="538"/>
      <c r="Z86" s="538"/>
      <c r="AA86" s="538"/>
      <c r="AB86" s="538"/>
      <c r="AC86" s="538"/>
      <c r="AD86" s="538"/>
      <c r="AE86" s="2433" t="s">
        <v>1301</v>
      </c>
      <c r="AF86" s="2433"/>
      <c r="AG86" s="2433"/>
      <c r="AH86" s="2433"/>
      <c r="AI86" s="2433"/>
      <c r="AJ86" s="2433"/>
      <c r="AK86" s="2433"/>
      <c r="AL86" s="539"/>
      <c r="AM86" s="539"/>
      <c r="AN86" s="534"/>
    </row>
    <row r="87" spans="1:43" s="535" customFormat="1" ht="12.75" customHeight="1">
      <c r="A87" s="537"/>
      <c r="B87" s="538" t="s">
        <v>1316</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542"/>
      <c r="AF87" s="542"/>
      <c r="AG87" s="542"/>
      <c r="AH87" s="542"/>
      <c r="AI87" s="542"/>
      <c r="AJ87" s="542"/>
      <c r="AK87" s="542"/>
      <c r="AL87" s="539"/>
      <c r="AM87" s="539"/>
      <c r="AN87" s="534"/>
    </row>
    <row r="88" spans="1:43" s="535" customFormat="1" ht="12.75" customHeight="1">
      <c r="A88" s="537"/>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2405" t="s">
        <v>543</v>
      </c>
      <c r="C89" s="2405"/>
      <c r="D89" s="545" t="s">
        <v>1307</v>
      </c>
      <c r="E89" s="2415" t="s">
        <v>1317</v>
      </c>
      <c r="F89" s="2416"/>
      <c r="G89" s="2416"/>
      <c r="H89" s="2416"/>
      <c r="I89" s="2416"/>
      <c r="J89" s="2416"/>
      <c r="K89" s="2416"/>
      <c r="L89" s="2416"/>
      <c r="M89" s="2416"/>
      <c r="N89" s="2416"/>
      <c r="O89" s="2416"/>
      <c r="P89" s="2416"/>
      <c r="Q89" s="2416"/>
      <c r="R89" s="2416"/>
      <c r="S89" s="2416"/>
      <c r="T89" s="2416"/>
      <c r="U89" s="2416"/>
      <c r="V89" s="2416"/>
      <c r="W89" s="2416"/>
      <c r="X89" s="2416"/>
      <c r="Y89" s="2416"/>
      <c r="Z89" s="2416"/>
      <c r="AA89" s="2416"/>
      <c r="AB89" s="2416"/>
      <c r="AC89" s="2416"/>
      <c r="AD89" s="2416"/>
      <c r="AE89" s="2416"/>
      <c r="AF89" s="2416"/>
      <c r="AG89" s="2416"/>
      <c r="AH89" s="2416"/>
      <c r="AI89" s="2416"/>
      <c r="AJ89" s="2417"/>
      <c r="AK89" s="542"/>
      <c r="AL89" s="539"/>
      <c r="AM89" s="539"/>
      <c r="AN89" s="534"/>
    </row>
    <row r="90" spans="1:43" s="535" customFormat="1" ht="12.75" customHeight="1">
      <c r="A90" s="537"/>
      <c r="B90" s="538"/>
      <c r="C90" s="538"/>
      <c r="D90" s="538"/>
      <c r="E90" s="2434"/>
      <c r="F90" s="2435"/>
      <c r="G90" s="2435"/>
      <c r="H90" s="2435"/>
      <c r="I90" s="2435"/>
      <c r="J90" s="2435"/>
      <c r="K90" s="2435"/>
      <c r="L90" s="2435"/>
      <c r="M90" s="2435"/>
      <c r="N90" s="2435"/>
      <c r="O90" s="2435"/>
      <c r="P90" s="2435"/>
      <c r="Q90" s="2435"/>
      <c r="R90" s="2435"/>
      <c r="S90" s="2435"/>
      <c r="T90" s="2435"/>
      <c r="U90" s="2435"/>
      <c r="V90" s="2435"/>
      <c r="W90" s="2435"/>
      <c r="X90" s="2435"/>
      <c r="Y90" s="2435"/>
      <c r="Z90" s="2435"/>
      <c r="AA90" s="2435"/>
      <c r="AB90" s="2435"/>
      <c r="AC90" s="2435"/>
      <c r="AD90" s="2435"/>
      <c r="AE90" s="2435"/>
      <c r="AF90" s="2435"/>
      <c r="AG90" s="2435"/>
      <c r="AH90" s="2435"/>
      <c r="AI90" s="2435"/>
      <c r="AJ90" s="2436"/>
      <c r="AK90" s="542"/>
      <c r="AL90" s="539"/>
      <c r="AM90" s="539"/>
      <c r="AN90" s="534"/>
    </row>
    <row r="91" spans="1:43" s="535" customFormat="1" ht="12.75" customHeight="1">
      <c r="A91" s="537"/>
      <c r="B91" s="538"/>
      <c r="C91" s="538"/>
      <c r="D91" s="538"/>
      <c r="E91" s="573"/>
      <c r="F91" s="574"/>
      <c r="G91" s="574"/>
      <c r="H91" s="574"/>
      <c r="I91" s="574"/>
      <c r="J91" s="574"/>
      <c r="K91" s="574"/>
      <c r="L91" s="574"/>
      <c r="M91" s="574"/>
      <c r="N91" s="574"/>
      <c r="O91" s="574"/>
      <c r="P91" s="574"/>
      <c r="Q91" s="574"/>
      <c r="R91" s="574"/>
      <c r="S91" s="574"/>
      <c r="T91" s="574"/>
      <c r="U91" s="574"/>
      <c r="V91" s="574"/>
      <c r="W91" s="574"/>
      <c r="X91" s="574"/>
      <c r="Y91" s="574"/>
      <c r="Z91" s="575"/>
      <c r="AA91" s="575"/>
      <c r="AB91" s="575"/>
      <c r="AC91" s="574"/>
      <c r="AD91" s="574"/>
      <c r="AE91" s="574"/>
      <c r="AF91" s="574"/>
      <c r="AG91" s="574"/>
      <c r="AH91" s="574"/>
      <c r="AI91" s="574"/>
      <c r="AJ91" s="576"/>
      <c r="AK91" s="542"/>
      <c r="AL91" s="539"/>
      <c r="AM91" s="539"/>
      <c r="AN91" s="534"/>
    </row>
    <row r="92" spans="1:43" s="535" customFormat="1" ht="12.75" customHeight="1">
      <c r="A92" s="537"/>
      <c r="B92" s="538"/>
      <c r="C92" s="538"/>
      <c r="D92" s="538"/>
      <c r="E92" s="2427">
        <f>Application!AC761</f>
        <v>0.49918032786885241</v>
      </c>
      <c r="F92" s="2428"/>
      <c r="G92" s="2428"/>
      <c r="H92" s="2428"/>
      <c r="I92" s="574"/>
      <c r="J92" s="577" t="s">
        <v>1318</v>
      </c>
      <c r="K92" s="574"/>
      <c r="L92" s="574"/>
      <c r="M92" s="574"/>
      <c r="N92" s="574"/>
      <c r="O92" s="574"/>
      <c r="P92" s="574"/>
      <c r="Q92" s="574"/>
      <c r="R92" s="574"/>
      <c r="S92" s="574"/>
      <c r="T92" s="574"/>
      <c r="U92" s="574"/>
      <c r="V92" s="574"/>
      <c r="W92" s="574"/>
      <c r="X92" s="574"/>
      <c r="Y92" s="574"/>
      <c r="Z92" s="578"/>
      <c r="AA92" s="578"/>
      <c r="AB92" s="578"/>
      <c r="AC92" s="574"/>
      <c r="AD92" s="574"/>
      <c r="AE92" s="574"/>
      <c r="AF92" s="574"/>
      <c r="AG92" s="574"/>
      <c r="AH92" s="574"/>
      <c r="AI92" s="574"/>
      <c r="AJ92" s="576"/>
      <c r="AK92" s="542"/>
      <c r="AL92" s="539"/>
      <c r="AM92" s="539"/>
      <c r="AN92" s="534"/>
    </row>
    <row r="93" spans="1:43" s="535" customFormat="1" ht="12.75" customHeight="1">
      <c r="A93" s="537"/>
      <c r="B93" s="538"/>
      <c r="C93" s="538"/>
      <c r="D93" s="538"/>
      <c r="E93" s="2429">
        <f>0.6-ROUNDUP(E92,2)</f>
        <v>9.9999999999999978E-2</v>
      </c>
      <c r="F93" s="2430"/>
      <c r="G93" s="2430"/>
      <c r="H93" s="2430"/>
      <c r="I93" s="574"/>
      <c r="J93" s="577" t="s">
        <v>1319</v>
      </c>
      <c r="K93" s="574"/>
      <c r="L93" s="574"/>
      <c r="M93" s="574"/>
      <c r="N93" s="574"/>
      <c r="O93" s="574"/>
      <c r="P93" s="574"/>
      <c r="Q93" s="574"/>
      <c r="R93" s="574"/>
      <c r="S93" s="574"/>
      <c r="T93" s="574"/>
      <c r="U93" s="574"/>
      <c r="V93" s="574"/>
      <c r="W93" s="574"/>
      <c r="X93" s="574"/>
      <c r="Y93" s="574"/>
      <c r="Z93" s="574"/>
      <c r="AA93" s="574"/>
      <c r="AB93" s="574"/>
      <c r="AC93" s="574"/>
      <c r="AD93" s="574"/>
      <c r="AE93" s="574"/>
      <c r="AF93" s="574"/>
      <c r="AG93" s="574"/>
      <c r="AH93" s="574"/>
      <c r="AI93" s="574"/>
      <c r="AJ93" s="576"/>
      <c r="AK93" s="542"/>
      <c r="AL93" s="539"/>
      <c r="AM93" s="539"/>
      <c r="AN93" s="534"/>
    </row>
    <row r="94" spans="1:43" s="535" customFormat="1" ht="12.75" customHeight="1">
      <c r="A94" s="537"/>
      <c r="B94" s="538"/>
      <c r="C94" s="538"/>
      <c r="D94" s="538"/>
      <c r="E94" s="2456">
        <f>IF(E93*200&gt;20,20,E93*200)</f>
        <v>19.999999999999996</v>
      </c>
      <c r="F94" s="2457"/>
      <c r="G94" s="2457"/>
      <c r="H94" s="2457"/>
      <c r="I94" s="574"/>
      <c r="J94" s="577" t="s">
        <v>1320</v>
      </c>
      <c r="K94" s="574"/>
      <c r="L94" s="574"/>
      <c r="M94" s="574"/>
      <c r="N94" s="574"/>
      <c r="O94" s="574"/>
      <c r="P94" s="574"/>
      <c r="Q94" s="574"/>
      <c r="R94" s="574"/>
      <c r="S94" s="574"/>
      <c r="T94" s="574"/>
      <c r="U94" s="574"/>
      <c r="V94" s="574"/>
      <c r="W94" s="574"/>
      <c r="X94" s="574"/>
      <c r="Y94" s="574"/>
      <c r="Z94" s="574"/>
      <c r="AA94" s="574"/>
      <c r="AB94" s="574"/>
      <c r="AC94" s="574"/>
      <c r="AD94" s="574"/>
      <c r="AE94" s="574"/>
      <c r="AF94" s="574"/>
      <c r="AG94" s="574"/>
      <c r="AH94" s="574"/>
      <c r="AI94" s="574"/>
      <c r="AJ94" s="576"/>
      <c r="AK94" s="542"/>
      <c r="AL94" s="539"/>
      <c r="AM94" s="539"/>
      <c r="AN94" s="534"/>
      <c r="AP94" s="535">
        <f>IF(B89="yes",E94,0)</f>
        <v>19.999999999999996</v>
      </c>
      <c r="AQ94" s="535" t="s">
        <v>1303</v>
      </c>
    </row>
    <row r="95" spans="1:43" s="535" customFormat="1" ht="12.75" customHeight="1">
      <c r="A95" s="537"/>
      <c r="B95" s="538"/>
      <c r="C95" s="538"/>
      <c r="D95" s="538"/>
      <c r="E95" s="579"/>
      <c r="F95" s="580"/>
      <c r="G95" s="580"/>
      <c r="H95" s="580"/>
      <c r="I95" s="580"/>
      <c r="J95" s="580"/>
      <c r="K95" s="580"/>
      <c r="L95" s="580"/>
      <c r="M95" s="580"/>
      <c r="N95" s="580"/>
      <c r="O95" s="580"/>
      <c r="P95" s="580"/>
      <c r="Q95" s="580"/>
      <c r="R95" s="580"/>
      <c r="S95" s="580"/>
      <c r="T95" s="580"/>
      <c r="U95" s="580"/>
      <c r="V95" s="580"/>
      <c r="W95" s="580"/>
      <c r="X95" s="580"/>
      <c r="Y95" s="580"/>
      <c r="Z95" s="580"/>
      <c r="AA95" s="580"/>
      <c r="AB95" s="580"/>
      <c r="AC95" s="580"/>
      <c r="AD95" s="580"/>
      <c r="AE95" s="581"/>
      <c r="AF95" s="581"/>
      <c r="AG95" s="581"/>
      <c r="AH95" s="581"/>
      <c r="AI95" s="581"/>
      <c r="AJ95" s="582"/>
      <c r="AK95" s="542"/>
      <c r="AL95" s="539"/>
      <c r="AM95" s="539"/>
      <c r="AN95" s="534"/>
    </row>
    <row r="96" spans="1:43" s="535" customFormat="1" ht="12.75" customHeight="1">
      <c r="A96" s="537"/>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42"/>
      <c r="AF96" s="542"/>
      <c r="AG96" s="542"/>
      <c r="AH96" s="542"/>
      <c r="AI96" s="542"/>
      <c r="AJ96" s="542"/>
      <c r="AK96" s="542"/>
      <c r="AL96" s="539"/>
      <c r="AM96" s="539"/>
      <c r="AN96" s="534"/>
    </row>
    <row r="97" spans="1:47" s="535" customFormat="1" ht="12.75" customHeight="1">
      <c r="A97" s="537"/>
      <c r="B97" s="2405" t="s">
        <v>543</v>
      </c>
      <c r="C97" s="2405"/>
      <c r="D97" s="545" t="s">
        <v>1309</v>
      </c>
      <c r="E97" s="2415" t="s">
        <v>1712</v>
      </c>
      <c r="F97" s="2416"/>
      <c r="G97" s="2416"/>
      <c r="H97" s="2416"/>
      <c r="I97" s="2416"/>
      <c r="J97" s="2416"/>
      <c r="K97" s="2416"/>
      <c r="L97" s="2416"/>
      <c r="M97" s="2416"/>
      <c r="N97" s="2416"/>
      <c r="O97" s="2416"/>
      <c r="P97" s="2416"/>
      <c r="Q97" s="2416"/>
      <c r="R97" s="2416"/>
      <c r="S97" s="2416"/>
      <c r="T97" s="2416"/>
      <c r="U97" s="2416"/>
      <c r="V97" s="2416"/>
      <c r="W97" s="2416"/>
      <c r="X97" s="2416"/>
      <c r="Y97" s="2416"/>
      <c r="Z97" s="2416"/>
      <c r="AA97" s="2416"/>
      <c r="AB97" s="2416"/>
      <c r="AC97" s="2416"/>
      <c r="AD97" s="2416"/>
      <c r="AE97" s="2416"/>
      <c r="AF97" s="2416"/>
      <c r="AG97" s="2416"/>
      <c r="AH97" s="2416"/>
      <c r="AI97" s="2416"/>
      <c r="AJ97" s="2417"/>
      <c r="AK97" s="542"/>
      <c r="AL97" s="539"/>
      <c r="AM97" s="539"/>
      <c r="AN97" s="534"/>
    </row>
    <row r="98" spans="1:47" s="535" customFormat="1" ht="12.75" customHeight="1">
      <c r="A98" s="537"/>
      <c r="B98" s="538"/>
      <c r="C98" s="538"/>
      <c r="D98" s="538"/>
      <c r="E98" s="2434"/>
      <c r="F98" s="2435"/>
      <c r="G98" s="2435"/>
      <c r="H98" s="2435"/>
      <c r="I98" s="2435"/>
      <c r="J98" s="2435"/>
      <c r="K98" s="2435"/>
      <c r="L98" s="2435"/>
      <c r="M98" s="2435"/>
      <c r="N98" s="2435"/>
      <c r="O98" s="2435"/>
      <c r="P98" s="2435"/>
      <c r="Q98" s="2435"/>
      <c r="R98" s="2435"/>
      <c r="S98" s="2435"/>
      <c r="T98" s="2435"/>
      <c r="U98" s="2435"/>
      <c r="V98" s="2435"/>
      <c r="W98" s="2435"/>
      <c r="X98" s="2435"/>
      <c r="Y98" s="2435"/>
      <c r="Z98" s="2435"/>
      <c r="AA98" s="2435"/>
      <c r="AB98" s="2435"/>
      <c r="AC98" s="2435"/>
      <c r="AD98" s="2435"/>
      <c r="AE98" s="2435"/>
      <c r="AF98" s="2435"/>
      <c r="AG98" s="2435"/>
      <c r="AH98" s="2435"/>
      <c r="AI98" s="2435"/>
      <c r="AJ98" s="2436"/>
      <c r="AK98" s="542"/>
      <c r="AL98" s="539"/>
      <c r="AM98" s="539"/>
      <c r="AN98" s="534"/>
    </row>
    <row r="99" spans="1:47" s="535" customFormat="1" ht="12.75" customHeight="1">
      <c r="A99" s="537"/>
      <c r="B99" s="538"/>
      <c r="C99" s="538"/>
      <c r="D99" s="538"/>
      <c r="E99" s="2434"/>
      <c r="F99" s="2435"/>
      <c r="G99" s="2435"/>
      <c r="H99" s="2435"/>
      <c r="I99" s="2435"/>
      <c r="J99" s="2435"/>
      <c r="K99" s="2435"/>
      <c r="L99" s="2435"/>
      <c r="M99" s="2435"/>
      <c r="N99" s="2435"/>
      <c r="O99" s="2435"/>
      <c r="P99" s="2435"/>
      <c r="Q99" s="2435"/>
      <c r="R99" s="2435"/>
      <c r="S99" s="2435"/>
      <c r="T99" s="2435"/>
      <c r="U99" s="2435"/>
      <c r="V99" s="2435"/>
      <c r="W99" s="2435"/>
      <c r="X99" s="2435"/>
      <c r="Y99" s="2435"/>
      <c r="Z99" s="2435"/>
      <c r="AA99" s="2435"/>
      <c r="AB99" s="2435"/>
      <c r="AC99" s="2435"/>
      <c r="AD99" s="2435"/>
      <c r="AE99" s="2435"/>
      <c r="AF99" s="2435"/>
      <c r="AG99" s="2435"/>
      <c r="AH99" s="2435"/>
      <c r="AI99" s="2435"/>
      <c r="AJ99" s="2436"/>
      <c r="AK99" s="542"/>
      <c r="AL99" s="539"/>
      <c r="AM99" s="539"/>
      <c r="AN99" s="534"/>
    </row>
    <row r="100" spans="1:47" s="535" customFormat="1" ht="12.75" customHeight="1">
      <c r="A100" s="537"/>
      <c r="B100" s="538"/>
      <c r="C100" s="538"/>
      <c r="D100" s="538"/>
      <c r="E100" s="2434"/>
      <c r="F100" s="2435"/>
      <c r="G100" s="2435"/>
      <c r="H100" s="2435"/>
      <c r="I100" s="2435"/>
      <c r="J100" s="2435"/>
      <c r="K100" s="2435"/>
      <c r="L100" s="2435"/>
      <c r="M100" s="2435"/>
      <c r="N100" s="2435"/>
      <c r="O100" s="2435"/>
      <c r="P100" s="2435"/>
      <c r="Q100" s="2435"/>
      <c r="R100" s="2435"/>
      <c r="S100" s="2435"/>
      <c r="T100" s="2435"/>
      <c r="U100" s="2435"/>
      <c r="V100" s="2435"/>
      <c r="W100" s="2435"/>
      <c r="X100" s="2435"/>
      <c r="Y100" s="2435"/>
      <c r="Z100" s="2435"/>
      <c r="AA100" s="2435"/>
      <c r="AB100" s="2435"/>
      <c r="AC100" s="2435"/>
      <c r="AD100" s="2435"/>
      <c r="AE100" s="2435"/>
      <c r="AF100" s="2435"/>
      <c r="AG100" s="2435"/>
      <c r="AH100" s="2435"/>
      <c r="AI100" s="2435"/>
      <c r="AJ100" s="2436"/>
      <c r="AK100" s="542"/>
      <c r="AL100" s="539"/>
      <c r="AM100" s="539"/>
      <c r="AN100" s="534"/>
    </row>
    <row r="101" spans="1:47" s="535" customFormat="1" ht="12.75" customHeight="1">
      <c r="A101" s="537"/>
      <c r="B101" s="538"/>
      <c r="C101" s="538"/>
      <c r="D101" s="538"/>
      <c r="E101" s="583"/>
      <c r="F101" s="550"/>
      <c r="G101" s="550"/>
      <c r="H101" s="550"/>
      <c r="I101" s="550"/>
      <c r="J101" s="550"/>
      <c r="K101" s="550"/>
      <c r="L101" s="550"/>
      <c r="M101" s="550"/>
      <c r="N101" s="550"/>
      <c r="O101" s="550"/>
      <c r="P101" s="550"/>
      <c r="Q101" s="550"/>
      <c r="R101" s="550"/>
      <c r="S101" s="550"/>
      <c r="T101" s="550"/>
      <c r="U101" s="550"/>
      <c r="V101" s="550"/>
      <c r="W101" s="550"/>
      <c r="X101" s="550"/>
      <c r="Y101" s="550"/>
      <c r="Z101" s="550"/>
      <c r="AA101" s="550"/>
      <c r="AB101" s="550"/>
      <c r="AC101" s="550"/>
      <c r="AD101" s="550"/>
      <c r="AE101" s="550"/>
      <c r="AF101" s="550"/>
      <c r="AG101" s="550"/>
      <c r="AH101" s="550"/>
      <c r="AI101" s="550"/>
      <c r="AJ101" s="551"/>
      <c r="AK101" s="542"/>
      <c r="AL101" s="539"/>
      <c r="AM101" s="539"/>
      <c r="AN101" s="534"/>
    </row>
    <row r="102" spans="1:47" s="535" customFormat="1" ht="12.75" customHeight="1">
      <c r="A102" s="537"/>
      <c r="B102" s="538"/>
      <c r="C102" s="538"/>
      <c r="D102" s="538"/>
      <c r="E102" s="2427">
        <f>Application!AC761</f>
        <v>0.49918032786885241</v>
      </c>
      <c r="F102" s="2428"/>
      <c r="G102" s="2428"/>
      <c r="H102" s="2428"/>
      <c r="I102" s="574"/>
      <c r="J102" s="577" t="s">
        <v>1318</v>
      </c>
      <c r="K102" s="574"/>
      <c r="L102" s="574"/>
      <c r="M102" s="574"/>
      <c r="N102" s="574"/>
      <c r="O102" s="574"/>
      <c r="P102" s="574"/>
      <c r="Q102" s="574"/>
      <c r="R102" s="550"/>
      <c r="S102" s="550"/>
      <c r="T102" s="550"/>
      <c r="U102" s="550"/>
      <c r="V102" s="550"/>
      <c r="W102" s="550"/>
      <c r="X102" s="550"/>
      <c r="Y102" s="550"/>
      <c r="Z102" s="550"/>
      <c r="AA102" s="550"/>
      <c r="AB102" s="550"/>
      <c r="AC102" s="550"/>
      <c r="AD102" s="550"/>
      <c r="AE102" s="550"/>
      <c r="AF102" s="550"/>
      <c r="AG102" s="550"/>
      <c r="AH102" s="550"/>
      <c r="AI102" s="550"/>
      <c r="AJ102" s="551"/>
      <c r="AK102" s="542"/>
      <c r="AL102" s="539"/>
      <c r="AM102" s="539"/>
      <c r="AN102" s="534"/>
    </row>
    <row r="103" spans="1:47" s="535" customFormat="1" ht="12.75" customHeight="1">
      <c r="A103" s="537"/>
      <c r="B103" s="538"/>
      <c r="C103" s="538"/>
      <c r="D103" s="538"/>
      <c r="E103" s="2427">
        <f ca="1">SUMIF(Application!AC726:AG760,0.2,Application!G726:J760)/Application!G761+SUMIF(Application!AC726:AG760,0.25,Application!G726:J760)/Application!G761+SUMIF(Application!AC726:AG760,0.3,Application!G726:J760)/Application!G761</f>
        <v>0.25409836065573771</v>
      </c>
      <c r="F103" s="2428"/>
      <c r="G103" s="2428"/>
      <c r="H103" s="2428"/>
      <c r="I103" s="574"/>
      <c r="J103" s="577" t="s">
        <v>1321</v>
      </c>
      <c r="K103" s="574"/>
      <c r="L103" s="574"/>
      <c r="M103" s="574"/>
      <c r="N103" s="574"/>
      <c r="O103" s="574"/>
      <c r="P103" s="574"/>
      <c r="Q103" s="574"/>
      <c r="R103" s="550"/>
      <c r="S103" s="550"/>
      <c r="T103" s="550"/>
      <c r="U103" s="550"/>
      <c r="V103" s="550"/>
      <c r="W103" s="550"/>
      <c r="X103" s="550"/>
      <c r="Y103" s="550"/>
      <c r="Z103" s="550"/>
      <c r="AA103" s="550"/>
      <c r="AB103" s="550"/>
      <c r="AC103" s="550"/>
      <c r="AD103" s="550"/>
      <c r="AE103" s="550"/>
      <c r="AF103" s="550"/>
      <c r="AG103" s="550"/>
      <c r="AH103" s="550"/>
      <c r="AI103" s="550"/>
      <c r="AJ103" s="551"/>
      <c r="AK103" s="542"/>
      <c r="AL103" s="539"/>
      <c r="AM103" s="539"/>
      <c r="AN103" s="534"/>
      <c r="AU103" s="857"/>
    </row>
    <row r="104" spans="1:47" s="535" customFormat="1" ht="12.75" customHeight="1">
      <c r="A104" s="537"/>
      <c r="B104" s="538"/>
      <c r="C104" s="538"/>
      <c r="D104" s="538"/>
      <c r="E104" s="2427">
        <f ca="1">SUMIF(Application!AC726:AG760,0.35,Application!G726:J760)/Application!G761+SUMIF(Application!AC726:AG760,0.4,Application!G726:J760)/Application!G761+SUMIF(Application!AC726:AG760,0.45,Application!G726:J760)/Application!G761+SUMIF(Application!AC726:AG760,0.5,Application!G726:J760)/Application!G761</f>
        <v>0.24590163934426229</v>
      </c>
      <c r="F104" s="2428"/>
      <c r="G104" s="2428"/>
      <c r="H104" s="2428"/>
      <c r="I104" s="574"/>
      <c r="J104" s="577" t="s">
        <v>1322</v>
      </c>
      <c r="K104" s="574"/>
      <c r="L104" s="574"/>
      <c r="M104" s="574"/>
      <c r="N104" s="574"/>
      <c r="O104" s="574"/>
      <c r="P104" s="574"/>
      <c r="Q104" s="574"/>
      <c r="R104" s="550"/>
      <c r="S104" s="550"/>
      <c r="T104" s="550"/>
      <c r="U104" s="550"/>
      <c r="V104" s="550"/>
      <c r="W104" s="550"/>
      <c r="X104" s="550"/>
      <c r="Y104" s="550"/>
      <c r="Z104" s="550"/>
      <c r="AA104" s="550"/>
      <c r="AB104" s="550"/>
      <c r="AC104" s="550"/>
      <c r="AD104" s="550"/>
      <c r="AE104" s="550"/>
      <c r="AF104" s="550"/>
      <c r="AG104" s="550"/>
      <c r="AH104" s="550"/>
      <c r="AI104" s="550"/>
      <c r="AJ104" s="551"/>
      <c r="AK104" s="542"/>
      <c r="AL104" s="539"/>
      <c r="AM104" s="539"/>
      <c r="AN104" s="534"/>
      <c r="AU104" s="857"/>
    </row>
    <row r="105" spans="1:47" s="535" customFormat="1" ht="12.75" customHeight="1">
      <c r="A105" s="537"/>
      <c r="B105" s="538"/>
      <c r="C105" s="538"/>
      <c r="D105" s="538"/>
      <c r="E105" s="2462">
        <f ca="1">IF(AND(E102&lt;=0.6,OR(AND(E103&gt;=0.1,E104&gt;=0.1),AND(E103&gt;0.1,(E103+E104)&gt;=0.2))),20,0)</f>
        <v>20</v>
      </c>
      <c r="F105" s="2463"/>
      <c r="G105" s="2463"/>
      <c r="H105" s="2463"/>
      <c r="I105" s="550"/>
      <c r="J105" s="584" t="s">
        <v>1320</v>
      </c>
      <c r="K105" s="550"/>
      <c r="L105" s="550"/>
      <c r="M105" s="550"/>
      <c r="N105" s="550"/>
      <c r="O105" s="550"/>
      <c r="P105" s="550"/>
      <c r="Q105" s="550"/>
      <c r="R105" s="550"/>
      <c r="S105" s="550"/>
      <c r="T105" s="550"/>
      <c r="U105" s="550"/>
      <c r="V105" s="550"/>
      <c r="W105" s="550"/>
      <c r="X105" s="550"/>
      <c r="Y105" s="550"/>
      <c r="Z105" s="550"/>
      <c r="AA105" s="550"/>
      <c r="AB105" s="550"/>
      <c r="AC105" s="550"/>
      <c r="AD105" s="550"/>
      <c r="AE105" s="550"/>
      <c r="AF105" s="550"/>
      <c r="AG105" s="550"/>
      <c r="AH105" s="550"/>
      <c r="AI105" s="550"/>
      <c r="AJ105" s="551"/>
      <c r="AK105" s="542"/>
      <c r="AL105" s="539"/>
      <c r="AM105" s="539"/>
      <c r="AN105" s="534"/>
      <c r="AP105" s="535">
        <f ca="1">IF(B97="yes",E105,0)</f>
        <v>20</v>
      </c>
      <c r="AQ105" s="535" t="s">
        <v>1303</v>
      </c>
    </row>
    <row r="106" spans="1:47" s="535" customFormat="1" ht="12.75" customHeight="1">
      <c r="A106" s="537"/>
      <c r="B106" s="538"/>
      <c r="C106" s="538"/>
      <c r="D106" s="538"/>
      <c r="E106" s="579"/>
      <c r="F106" s="580"/>
      <c r="G106" s="580"/>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1"/>
      <c r="AF106" s="581"/>
      <c r="AG106" s="581"/>
      <c r="AH106" s="581"/>
      <c r="AI106" s="581"/>
      <c r="AJ106" s="582"/>
      <c r="AK106" s="542"/>
      <c r="AL106" s="539"/>
      <c r="AM106" s="539"/>
      <c r="AN106" s="534"/>
    </row>
    <row r="107" spans="1:47" s="535" customFormat="1" ht="12.75" customHeight="1">
      <c r="A107" s="537"/>
      <c r="B107" s="538"/>
      <c r="C107" s="538"/>
      <c r="D107" s="538"/>
      <c r="E107" s="538"/>
      <c r="F107" s="538"/>
      <c r="G107" s="538"/>
      <c r="H107" s="538"/>
      <c r="I107" s="538"/>
      <c r="J107" s="538"/>
      <c r="K107" s="538"/>
      <c r="L107" s="538"/>
      <c r="M107" s="538"/>
      <c r="N107" s="538"/>
      <c r="O107" s="538"/>
      <c r="P107" s="538"/>
      <c r="Q107" s="538"/>
      <c r="R107" s="538"/>
      <c r="S107" s="538"/>
      <c r="T107" s="538"/>
      <c r="U107" s="538"/>
      <c r="V107" s="538"/>
      <c r="W107" s="538"/>
      <c r="X107" s="538"/>
      <c r="Y107" s="538"/>
      <c r="Z107" s="538"/>
      <c r="AA107" s="538"/>
      <c r="AB107" s="538"/>
      <c r="AC107" s="538"/>
      <c r="AD107" s="538"/>
      <c r="AE107" s="542"/>
      <c r="AF107" s="542"/>
      <c r="AG107" s="542"/>
      <c r="AH107" s="542"/>
      <c r="AI107" s="542"/>
      <c r="AJ107" s="542"/>
      <c r="AK107" s="542"/>
      <c r="AL107" s="539"/>
      <c r="AM107" s="539"/>
      <c r="AN107" s="534"/>
    </row>
    <row r="108" spans="1:47" s="535" customFormat="1" ht="12.75" customHeight="1">
      <c r="A108" s="558"/>
      <c r="B108" s="559"/>
      <c r="C108" s="559"/>
      <c r="D108" s="559"/>
      <c r="E108" s="559"/>
      <c r="F108" s="559"/>
      <c r="G108" s="560"/>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2"/>
      <c r="AJ108" s="562" t="s">
        <v>1323</v>
      </c>
      <c r="AK108" s="2444">
        <f ca="1">MAX(AP94,AP105)</f>
        <v>20</v>
      </c>
      <c r="AL108" s="2445"/>
      <c r="AM108" s="2446"/>
      <c r="AN108" s="534"/>
    </row>
    <row r="109" spans="1:47" s="535" customFormat="1" ht="12.75" customHeight="1" thickBot="1">
      <c r="A109" s="563"/>
      <c r="B109" s="564"/>
      <c r="C109" s="565"/>
      <c r="D109" s="565"/>
      <c r="E109" s="565"/>
      <c r="F109" s="565"/>
      <c r="G109" s="565"/>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6"/>
      <c r="AN109" s="534"/>
    </row>
    <row r="110" spans="1:47" s="535" customFormat="1" ht="12.75" customHeight="1" thickTop="1">
      <c r="A110" s="567"/>
      <c r="B110" s="568"/>
      <c r="C110" s="569"/>
      <c r="D110" s="569"/>
      <c r="E110" s="569"/>
      <c r="F110" s="569"/>
      <c r="G110" s="569"/>
      <c r="H110" s="569"/>
      <c r="I110" s="570"/>
      <c r="J110" s="570"/>
      <c r="K110" s="570"/>
      <c r="L110" s="570"/>
      <c r="M110" s="570"/>
      <c r="N110" s="570"/>
      <c r="O110" s="570"/>
      <c r="P110" s="570"/>
      <c r="Q110" s="570"/>
      <c r="R110" s="567"/>
      <c r="S110" s="538"/>
      <c r="T110" s="538"/>
      <c r="U110" s="538"/>
      <c r="V110" s="538"/>
      <c r="W110" s="538"/>
      <c r="X110" s="538"/>
      <c r="Y110" s="538"/>
      <c r="Z110" s="538"/>
      <c r="AA110" s="538"/>
      <c r="AB110" s="538"/>
      <c r="AC110" s="538"/>
      <c r="AD110" s="538"/>
      <c r="AE110" s="538"/>
      <c r="AF110" s="567"/>
      <c r="AG110" s="538"/>
      <c r="AH110" s="538"/>
      <c r="AI110" s="538"/>
      <c r="AJ110" s="538"/>
      <c r="AK110" s="548"/>
      <c r="AL110" s="548"/>
      <c r="AM110" s="548"/>
      <c r="AN110" s="534"/>
    </row>
    <row r="111" spans="1:47" s="535" customFormat="1" ht="12.75" customHeight="1">
      <c r="A111" s="537" t="s">
        <v>1324</v>
      </c>
      <c r="B111" s="538" t="s">
        <v>1325</v>
      </c>
      <c r="C111" s="538"/>
      <c r="D111" s="538"/>
      <c r="E111" s="538"/>
      <c r="F111" s="538"/>
      <c r="G111" s="538"/>
      <c r="H111" s="538"/>
      <c r="I111" s="538"/>
      <c r="J111" s="538"/>
      <c r="K111" s="538"/>
      <c r="L111" s="538"/>
      <c r="M111" s="538"/>
      <c r="N111" s="538"/>
      <c r="O111" s="538"/>
      <c r="P111" s="538"/>
      <c r="Q111" s="538"/>
      <c r="R111" s="538"/>
      <c r="S111" s="538"/>
      <c r="T111" s="538"/>
      <c r="U111" s="538"/>
      <c r="V111" s="538"/>
      <c r="W111" s="538"/>
      <c r="X111" s="538"/>
      <c r="Y111" s="538"/>
      <c r="Z111" s="538"/>
      <c r="AA111" s="538"/>
      <c r="AB111" s="538"/>
      <c r="AC111" s="538"/>
      <c r="AD111" s="538"/>
      <c r="AE111" s="2433" t="s">
        <v>1306</v>
      </c>
      <c r="AF111" s="2433"/>
      <c r="AG111" s="2433"/>
      <c r="AH111" s="2433"/>
      <c r="AI111" s="2433"/>
      <c r="AJ111" s="2433"/>
      <c r="AK111" s="2433"/>
      <c r="AL111" s="539"/>
      <c r="AM111" s="539"/>
      <c r="AN111" s="534"/>
      <c r="AO111" s="535" t="str">
        <f>Application!B726</f>
        <v>1 Bedroom</v>
      </c>
      <c r="AQ111" s="535">
        <f>Application!O726</f>
        <v>267</v>
      </c>
    </row>
    <row r="112" spans="1:47" s="535" customFormat="1" ht="12.75" customHeight="1">
      <c r="A112" s="539"/>
      <c r="B112" s="538" t="s">
        <v>1316</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542"/>
      <c r="AF112" s="542"/>
      <c r="AG112" s="542"/>
      <c r="AH112" s="542"/>
      <c r="AI112" s="542"/>
      <c r="AJ112" s="542"/>
      <c r="AK112" s="539"/>
      <c r="AL112" s="539"/>
      <c r="AM112" s="539"/>
      <c r="AN112" s="534"/>
      <c r="AO112" s="535" t="str">
        <f>Application!B727</f>
        <v>1 Bedroom</v>
      </c>
      <c r="AQ112" s="535">
        <f>Application!O727</f>
        <v>793</v>
      </c>
    </row>
    <row r="113" spans="1:52" s="535" customFormat="1" ht="12.75" customHeight="1">
      <c r="A113" s="539"/>
      <c r="B113" s="538"/>
      <c r="C113" s="538"/>
      <c r="D113" s="538"/>
      <c r="E113" s="574"/>
      <c r="F113" s="574"/>
      <c r="G113" s="574"/>
      <c r="H113" s="574"/>
      <c r="I113" s="574"/>
      <c r="J113" s="574"/>
      <c r="K113" s="574"/>
      <c r="L113" s="574"/>
      <c r="M113" s="574"/>
      <c r="N113" s="574"/>
      <c r="O113" s="574"/>
      <c r="P113" s="574"/>
      <c r="Q113" s="574"/>
      <c r="R113" s="574"/>
      <c r="S113" s="574"/>
      <c r="T113" s="574"/>
      <c r="U113" s="574"/>
      <c r="V113" s="574"/>
      <c r="W113" s="574"/>
      <c r="X113" s="574"/>
      <c r="Y113" s="574"/>
      <c r="Z113" s="574"/>
      <c r="AA113" s="574"/>
      <c r="AB113" s="574"/>
      <c r="AC113" s="574"/>
      <c r="AD113" s="574"/>
      <c r="AE113" s="574"/>
      <c r="AF113" s="574"/>
      <c r="AG113" s="574"/>
      <c r="AH113" s="574"/>
      <c r="AI113" s="574"/>
      <c r="AJ113" s="574"/>
      <c r="AK113" s="539"/>
      <c r="AL113" s="539"/>
      <c r="AM113" s="539"/>
      <c r="AN113" s="534"/>
      <c r="AO113" s="535" t="str">
        <f>Application!B728</f>
        <v>2 Bedrooms</v>
      </c>
      <c r="AQ113" s="535">
        <f>Application!O728</f>
        <v>950</v>
      </c>
    </row>
    <row r="114" spans="1:52" s="535" customFormat="1" ht="12.75" customHeight="1">
      <c r="A114" s="539"/>
      <c r="B114" s="2405" t="s">
        <v>543</v>
      </c>
      <c r="C114" s="2405"/>
      <c r="D114" s="545" t="s">
        <v>1307</v>
      </c>
      <c r="E114" s="2415" t="s">
        <v>2565</v>
      </c>
      <c r="F114" s="2416"/>
      <c r="G114" s="2416"/>
      <c r="H114" s="2416"/>
      <c r="I114" s="2416"/>
      <c r="J114" s="2416"/>
      <c r="K114" s="2416"/>
      <c r="L114" s="2416"/>
      <c r="M114" s="2416"/>
      <c r="N114" s="2416"/>
      <c r="O114" s="2416"/>
      <c r="P114" s="2416"/>
      <c r="Q114" s="2416"/>
      <c r="R114" s="2416"/>
      <c r="S114" s="2416"/>
      <c r="T114" s="2416"/>
      <c r="U114" s="2416"/>
      <c r="V114" s="2416"/>
      <c r="W114" s="2416"/>
      <c r="X114" s="2416"/>
      <c r="Y114" s="2416"/>
      <c r="Z114" s="2416"/>
      <c r="AA114" s="2416"/>
      <c r="AB114" s="2416"/>
      <c r="AC114" s="2416"/>
      <c r="AD114" s="2416"/>
      <c r="AE114" s="2416"/>
      <c r="AF114" s="2416"/>
      <c r="AG114" s="2416"/>
      <c r="AH114" s="2416"/>
      <c r="AI114" s="2416"/>
      <c r="AJ114" s="2417"/>
      <c r="AK114" s="539"/>
      <c r="AL114" s="539"/>
      <c r="AM114" s="539"/>
      <c r="AN114" s="534"/>
      <c r="AO114" s="535" t="str">
        <f>Application!B729</f>
        <v>3 Bedrooms</v>
      </c>
      <c r="AQ114" s="535">
        <f>Application!O729</f>
        <v>1098</v>
      </c>
      <c r="AU114" s="535" t="s">
        <v>1815</v>
      </c>
      <c r="AV114" s="592" t="s">
        <v>1816</v>
      </c>
      <c r="AW114" s="535" t="s">
        <v>1817</v>
      </c>
    </row>
    <row r="115" spans="1:52" s="535" customFormat="1" ht="12.75" customHeight="1">
      <c r="A115" s="539"/>
      <c r="B115" s="538"/>
      <c r="C115" s="538"/>
      <c r="D115" s="538"/>
      <c r="E115" s="2434"/>
      <c r="F115" s="2435"/>
      <c r="G115" s="2435"/>
      <c r="H115" s="2435"/>
      <c r="I115" s="2435"/>
      <c r="J115" s="2435"/>
      <c r="K115" s="2435"/>
      <c r="L115" s="2435"/>
      <c r="M115" s="2435"/>
      <c r="N115" s="2435"/>
      <c r="O115" s="2435"/>
      <c r="P115" s="2435"/>
      <c r="Q115" s="2435"/>
      <c r="R115" s="2435"/>
      <c r="S115" s="2435"/>
      <c r="T115" s="2435"/>
      <c r="U115" s="2435"/>
      <c r="V115" s="2435"/>
      <c r="W115" s="2435"/>
      <c r="X115" s="2435"/>
      <c r="Y115" s="2435"/>
      <c r="Z115" s="2435"/>
      <c r="AA115" s="2435"/>
      <c r="AB115" s="2435"/>
      <c r="AC115" s="2435"/>
      <c r="AD115" s="2435"/>
      <c r="AE115" s="2435"/>
      <c r="AF115" s="2435"/>
      <c r="AG115" s="2435"/>
      <c r="AH115" s="2435"/>
      <c r="AI115" s="2435"/>
      <c r="AJ115" s="2436"/>
      <c r="AK115" s="539"/>
      <c r="AL115" s="539"/>
      <c r="AM115" s="539"/>
      <c r="AN115" s="534"/>
      <c r="AO115" s="535" t="str">
        <f>Application!B730</f>
        <v>1 Bedroom</v>
      </c>
      <c r="AQ115" s="535">
        <f>Application!O730</f>
        <v>1361</v>
      </c>
      <c r="AU115" s="851" t="str">
        <f>E123</f>
        <v>Studio/SRO</v>
      </c>
      <c r="AV115" s="535">
        <f t="array" ref="AV115">SUM(IF(Application!B726:F760="SRO/Studio",Application!G726:J760))</f>
        <v>0</v>
      </c>
      <c r="AW115" s="1005">
        <f>AV115/AV121</f>
        <v>0</v>
      </c>
    </row>
    <row r="116" spans="1:52" s="535" customFormat="1" ht="12.75" customHeight="1">
      <c r="A116" s="539"/>
      <c r="B116" s="538"/>
      <c r="C116" s="538"/>
      <c r="D116" s="538"/>
      <c r="E116" s="2434"/>
      <c r="F116" s="2435"/>
      <c r="G116" s="2435"/>
      <c r="H116" s="2435"/>
      <c r="I116" s="2435"/>
      <c r="J116" s="2435"/>
      <c r="K116" s="2435"/>
      <c r="L116" s="2435"/>
      <c r="M116" s="2435"/>
      <c r="N116" s="2435"/>
      <c r="O116" s="2435"/>
      <c r="P116" s="2435"/>
      <c r="Q116" s="2435"/>
      <c r="R116" s="2435"/>
      <c r="S116" s="2435"/>
      <c r="T116" s="2435"/>
      <c r="U116" s="2435"/>
      <c r="V116" s="2435"/>
      <c r="W116" s="2435"/>
      <c r="X116" s="2435"/>
      <c r="Y116" s="2435"/>
      <c r="Z116" s="2435"/>
      <c r="AA116" s="2435"/>
      <c r="AB116" s="2435"/>
      <c r="AC116" s="2435"/>
      <c r="AD116" s="2435"/>
      <c r="AE116" s="2435"/>
      <c r="AF116" s="2435"/>
      <c r="AG116" s="2435"/>
      <c r="AH116" s="2435"/>
      <c r="AI116" s="2435"/>
      <c r="AJ116" s="2436"/>
      <c r="AK116" s="539"/>
      <c r="AL116" s="539"/>
      <c r="AM116" s="539"/>
      <c r="AN116" s="534"/>
      <c r="AO116" s="535" t="str">
        <f>Application!B731</f>
        <v>3 Bedrooms</v>
      </c>
      <c r="AQ116" s="535">
        <f>Application!O731</f>
        <v>1886</v>
      </c>
      <c r="AU116" s="851" t="str">
        <f>J123</f>
        <v>1-bedroom</v>
      </c>
      <c r="AV116" s="535">
        <f t="array" ref="AV116">SUM(IF(Application!B726:F760="1 Bedroom",Application!G726:J760))</f>
        <v>58</v>
      </c>
      <c r="AW116" s="1005">
        <f>AV116/AV121</f>
        <v>0.47540983606557374</v>
      </c>
    </row>
    <row r="117" spans="1:52" s="535" customFormat="1" ht="12.75" customHeight="1">
      <c r="A117" s="539"/>
      <c r="B117" s="538"/>
      <c r="C117" s="538"/>
      <c r="D117" s="538"/>
      <c r="E117" s="2434"/>
      <c r="F117" s="2435"/>
      <c r="G117" s="2435"/>
      <c r="H117" s="2435"/>
      <c r="I117" s="2435"/>
      <c r="J117" s="2435"/>
      <c r="K117" s="2435"/>
      <c r="L117" s="2435"/>
      <c r="M117" s="2435"/>
      <c r="N117" s="2435"/>
      <c r="O117" s="2435"/>
      <c r="P117" s="2435"/>
      <c r="Q117" s="2435"/>
      <c r="R117" s="2435"/>
      <c r="S117" s="2435"/>
      <c r="T117" s="2435"/>
      <c r="U117" s="2435"/>
      <c r="V117" s="2435"/>
      <c r="W117" s="2435"/>
      <c r="X117" s="2435"/>
      <c r="Y117" s="2435"/>
      <c r="Z117" s="2435"/>
      <c r="AA117" s="2435"/>
      <c r="AB117" s="2435"/>
      <c r="AC117" s="2435"/>
      <c r="AD117" s="2435"/>
      <c r="AE117" s="2435"/>
      <c r="AF117" s="2435"/>
      <c r="AG117" s="2435"/>
      <c r="AH117" s="2435"/>
      <c r="AI117" s="2435"/>
      <c r="AJ117" s="2436"/>
      <c r="AK117" s="539"/>
      <c r="AL117" s="539"/>
      <c r="AM117" s="539"/>
      <c r="AN117" s="534"/>
      <c r="AO117" s="535" t="str">
        <f>Application!B732</f>
        <v>1 Bedroom</v>
      </c>
      <c r="AQ117" s="535">
        <f>Application!O732</f>
        <v>1645</v>
      </c>
      <c r="AU117" s="851" t="str">
        <f>O123</f>
        <v>2-bedroom</v>
      </c>
      <c r="AV117" s="535">
        <f t="array" ref="AV117">SUM(IF(Application!B726:F760="2 Bedrooms",Application!G726:J760))</f>
        <v>31</v>
      </c>
      <c r="AW117" s="1005">
        <f>AV117/AV121</f>
        <v>0.25409836065573771</v>
      </c>
    </row>
    <row r="118" spans="1:52" s="535" customFormat="1" ht="12.75" customHeight="1">
      <c r="A118" s="539"/>
      <c r="B118" s="538"/>
      <c r="C118" s="538"/>
      <c r="D118" s="538"/>
      <c r="E118" s="2434"/>
      <c r="F118" s="2435"/>
      <c r="G118" s="2435"/>
      <c r="H118" s="2435"/>
      <c r="I118" s="2435"/>
      <c r="J118" s="2435"/>
      <c r="K118" s="2435"/>
      <c r="L118" s="2435"/>
      <c r="M118" s="2435"/>
      <c r="N118" s="2435"/>
      <c r="O118" s="2435"/>
      <c r="P118" s="2435"/>
      <c r="Q118" s="2435"/>
      <c r="R118" s="2435"/>
      <c r="S118" s="2435"/>
      <c r="T118" s="2435"/>
      <c r="U118" s="2435"/>
      <c r="V118" s="2435"/>
      <c r="W118" s="2435"/>
      <c r="X118" s="2435"/>
      <c r="Y118" s="2435"/>
      <c r="Z118" s="2435"/>
      <c r="AA118" s="2435"/>
      <c r="AB118" s="2435"/>
      <c r="AC118" s="2435"/>
      <c r="AD118" s="2435"/>
      <c r="AE118" s="2435"/>
      <c r="AF118" s="2435"/>
      <c r="AG118" s="2435"/>
      <c r="AH118" s="2435"/>
      <c r="AI118" s="2435"/>
      <c r="AJ118" s="2436"/>
      <c r="AK118" s="539"/>
      <c r="AL118" s="539"/>
      <c r="AM118" s="539"/>
      <c r="AN118" s="534"/>
      <c r="AO118" s="535" t="str">
        <f>Application!B733</f>
        <v>2 Bedrooms</v>
      </c>
      <c r="AQ118" s="535">
        <f>Application!O733</f>
        <v>1972</v>
      </c>
      <c r="AU118" s="851" t="str">
        <f>T123</f>
        <v>3-bedroom</v>
      </c>
      <c r="AV118" s="535">
        <f t="array" ref="AV118">SUM(IF(Application!B726:F760="3 Bedrooms",Application!G726:J760))</f>
        <v>33</v>
      </c>
      <c r="AW118" s="1005">
        <f>AV118/AV121</f>
        <v>0.27049180327868855</v>
      </c>
    </row>
    <row r="119" spans="1:52" s="535" customFormat="1" ht="12.75" customHeight="1">
      <c r="A119" s="539"/>
      <c r="B119" s="538"/>
      <c r="C119" s="538"/>
      <c r="D119" s="538"/>
      <c r="E119" s="2434"/>
      <c r="F119" s="2435"/>
      <c r="G119" s="2435"/>
      <c r="H119" s="2435"/>
      <c r="I119" s="2435"/>
      <c r="J119" s="2435"/>
      <c r="K119" s="2435"/>
      <c r="L119" s="2435"/>
      <c r="M119" s="2435"/>
      <c r="N119" s="2435"/>
      <c r="O119" s="2435"/>
      <c r="P119" s="2435"/>
      <c r="Q119" s="2435"/>
      <c r="R119" s="2435"/>
      <c r="S119" s="2435"/>
      <c r="T119" s="2435"/>
      <c r="U119" s="2435"/>
      <c r="V119" s="2435"/>
      <c r="W119" s="2435"/>
      <c r="X119" s="2435"/>
      <c r="Y119" s="2435"/>
      <c r="Z119" s="2435"/>
      <c r="AA119" s="2435"/>
      <c r="AB119" s="2435"/>
      <c r="AC119" s="2435"/>
      <c r="AD119" s="2435"/>
      <c r="AE119" s="2435"/>
      <c r="AF119" s="2435"/>
      <c r="AG119" s="2435"/>
      <c r="AH119" s="2435"/>
      <c r="AI119" s="2435"/>
      <c r="AJ119" s="2436"/>
      <c r="AK119" s="539"/>
      <c r="AL119" s="539"/>
      <c r="AM119" s="539"/>
      <c r="AN119" s="534"/>
      <c r="AO119" s="535" t="str">
        <f>Application!B734</f>
        <v>3 Bedrooms</v>
      </c>
      <c r="AQ119" s="535">
        <f>Application!O734</f>
        <v>2279</v>
      </c>
      <c r="AU119" s="851" t="str">
        <f>Y123</f>
        <v>4-bedroom</v>
      </c>
      <c r="AV119" s="535">
        <f t="array" ref="AV119">SUM(IF(Application!B726:F760="4 Bedrooms",Application!G726:J760))</f>
        <v>0</v>
      </c>
      <c r="AW119" s="1005">
        <f>AV119/AV121</f>
        <v>0</v>
      </c>
    </row>
    <row r="120" spans="1:52" s="535" customFormat="1" ht="12.75" customHeight="1">
      <c r="A120" s="539"/>
      <c r="B120" s="538"/>
      <c r="C120" s="538"/>
      <c r="D120" s="538"/>
      <c r="E120" s="2434"/>
      <c r="F120" s="2435"/>
      <c r="G120" s="2435"/>
      <c r="H120" s="2435"/>
      <c r="I120" s="2435"/>
      <c r="J120" s="2435"/>
      <c r="K120" s="2435"/>
      <c r="L120" s="2435"/>
      <c r="M120" s="2435"/>
      <c r="N120" s="2435"/>
      <c r="O120" s="2435"/>
      <c r="P120" s="2435"/>
      <c r="Q120" s="2435"/>
      <c r="R120" s="2435"/>
      <c r="S120" s="2435"/>
      <c r="T120" s="2435"/>
      <c r="U120" s="2435"/>
      <c r="V120" s="2435"/>
      <c r="W120" s="2435"/>
      <c r="X120" s="2435"/>
      <c r="Y120" s="2435"/>
      <c r="Z120" s="2435"/>
      <c r="AA120" s="2435"/>
      <c r="AB120" s="2435"/>
      <c r="AC120" s="2435"/>
      <c r="AD120" s="2435"/>
      <c r="AE120" s="2435"/>
      <c r="AF120" s="2435"/>
      <c r="AG120" s="2435"/>
      <c r="AH120" s="2435"/>
      <c r="AI120" s="2435"/>
      <c r="AJ120" s="2436"/>
      <c r="AK120" s="539"/>
      <c r="AL120" s="539"/>
      <c r="AM120" s="539"/>
      <c r="AN120" s="534"/>
      <c r="AO120" s="535">
        <f>Application!B735</f>
        <v>0</v>
      </c>
      <c r="AQ120" s="535">
        <f>Application!O735</f>
        <v>0</v>
      </c>
      <c r="AU120" s="851" t="str">
        <f>AD123</f>
        <v>5-bedroom</v>
      </c>
      <c r="AV120" s="535">
        <f t="array" ref="AV120">SUM(IF(Application!B726:F760="5 Bedrooms",Application!G726:J760))</f>
        <v>0</v>
      </c>
      <c r="AW120" s="1005">
        <f>AV120/AV121</f>
        <v>0</v>
      </c>
    </row>
    <row r="121" spans="1:52" s="535" customFormat="1" ht="12.75" customHeight="1">
      <c r="A121" s="539"/>
      <c r="B121" s="538"/>
      <c r="C121" s="538"/>
      <c r="D121" s="538"/>
      <c r="E121" s="2434"/>
      <c r="F121" s="2435"/>
      <c r="G121" s="2435"/>
      <c r="H121" s="2435"/>
      <c r="I121" s="2435"/>
      <c r="J121" s="2435"/>
      <c r="K121" s="2435"/>
      <c r="L121" s="2435"/>
      <c r="M121" s="2435"/>
      <c r="N121" s="2435"/>
      <c r="O121" s="2435"/>
      <c r="P121" s="2435"/>
      <c r="Q121" s="2435"/>
      <c r="R121" s="2435"/>
      <c r="S121" s="2435"/>
      <c r="T121" s="2435"/>
      <c r="U121" s="2435"/>
      <c r="V121" s="2435"/>
      <c r="W121" s="2435"/>
      <c r="X121" s="2435"/>
      <c r="Y121" s="2435"/>
      <c r="Z121" s="2435"/>
      <c r="AA121" s="2435"/>
      <c r="AB121" s="2435"/>
      <c r="AC121" s="2435"/>
      <c r="AD121" s="2435"/>
      <c r="AE121" s="2435"/>
      <c r="AF121" s="2435"/>
      <c r="AG121" s="2435"/>
      <c r="AH121" s="2435"/>
      <c r="AI121" s="2435"/>
      <c r="AJ121" s="2436"/>
      <c r="AK121" s="539"/>
      <c r="AL121" s="539"/>
      <c r="AM121" s="539"/>
      <c r="AN121" s="534"/>
      <c r="AO121" s="535">
        <f>Application!B736</f>
        <v>0</v>
      </c>
      <c r="AQ121" s="535">
        <f>Application!O736</f>
        <v>0</v>
      </c>
      <c r="AV121" s="535">
        <f>SUM(AV115:AV120)</f>
        <v>122</v>
      </c>
      <c r="AW121" s="1005">
        <f>SUM(AW115:AW120)</f>
        <v>1</v>
      </c>
    </row>
    <row r="122" spans="1:52" s="535" customFormat="1" ht="12.75" customHeight="1">
      <c r="A122" s="539"/>
      <c r="B122" s="538"/>
      <c r="C122" s="538"/>
      <c r="D122" s="538"/>
      <c r="E122" s="583"/>
      <c r="F122" s="550"/>
      <c r="G122" s="550"/>
      <c r="H122" s="550"/>
      <c r="I122" s="550"/>
      <c r="J122" s="550"/>
      <c r="K122" s="550"/>
      <c r="L122" s="550"/>
      <c r="M122" s="550"/>
      <c r="N122" s="550"/>
      <c r="O122" s="550"/>
      <c r="P122" s="550"/>
      <c r="Q122" s="550"/>
      <c r="R122" s="550"/>
      <c r="S122" s="550"/>
      <c r="T122" s="550"/>
      <c r="U122" s="550"/>
      <c r="V122" s="550"/>
      <c r="W122" s="550"/>
      <c r="X122" s="550"/>
      <c r="Y122" s="550"/>
      <c r="Z122" s="550"/>
      <c r="AA122" s="550"/>
      <c r="AB122" s="550"/>
      <c r="AC122" s="550"/>
      <c r="AD122" s="550"/>
      <c r="AE122" s="550"/>
      <c r="AF122" s="550"/>
      <c r="AG122" s="550"/>
      <c r="AH122" s="550"/>
      <c r="AI122" s="550"/>
      <c r="AJ122" s="551"/>
      <c r="AK122" s="539"/>
      <c r="AL122" s="539"/>
      <c r="AM122" s="539"/>
      <c r="AN122" s="534"/>
      <c r="AO122" s="535">
        <f>Application!B737</f>
        <v>0</v>
      </c>
      <c r="AQ122" s="535">
        <f>Application!O737</f>
        <v>0</v>
      </c>
    </row>
    <row r="123" spans="1:52" s="535" customFormat="1" ht="12.75" customHeight="1">
      <c r="A123" s="539"/>
      <c r="B123" s="538"/>
      <c r="C123" s="539"/>
      <c r="D123" s="539"/>
      <c r="E123" s="2427" t="s">
        <v>1575</v>
      </c>
      <c r="F123" s="2428"/>
      <c r="G123" s="2428"/>
      <c r="H123" s="2428"/>
      <c r="I123" s="574"/>
      <c r="J123" s="2428" t="s">
        <v>1618</v>
      </c>
      <c r="K123" s="2428"/>
      <c r="L123" s="2428"/>
      <c r="M123" s="2428"/>
      <c r="N123" s="574"/>
      <c r="O123" s="2428" t="s">
        <v>1619</v>
      </c>
      <c r="P123" s="2428"/>
      <c r="Q123" s="2428"/>
      <c r="R123" s="2428"/>
      <c r="S123" s="574"/>
      <c r="T123" s="2428" t="s">
        <v>1326</v>
      </c>
      <c r="U123" s="2428"/>
      <c r="V123" s="2428"/>
      <c r="W123" s="2428"/>
      <c r="X123" s="574"/>
      <c r="Y123" s="2428" t="s">
        <v>1620</v>
      </c>
      <c r="Z123" s="2428"/>
      <c r="AA123" s="2428"/>
      <c r="AB123" s="2428"/>
      <c r="AC123" s="574"/>
      <c r="AD123" s="2428" t="s">
        <v>1621</v>
      </c>
      <c r="AE123" s="2428"/>
      <c r="AF123" s="2428"/>
      <c r="AG123" s="2428"/>
      <c r="AH123" s="574"/>
      <c r="AI123" s="574"/>
      <c r="AJ123" s="576"/>
      <c r="AK123" s="539"/>
      <c r="AL123" s="539"/>
      <c r="AM123" s="539"/>
      <c r="AN123" s="534"/>
      <c r="AO123" s="535">
        <f>Application!B738</f>
        <v>0</v>
      </c>
      <c r="AQ123" s="535">
        <f>Application!O738</f>
        <v>0</v>
      </c>
    </row>
    <row r="124" spans="1:52" s="535" customFormat="1" ht="12.75" customHeight="1">
      <c r="A124" s="539"/>
      <c r="B124" s="538"/>
      <c r="C124" s="539"/>
      <c r="D124" s="539"/>
      <c r="E124" s="860"/>
      <c r="F124" s="858"/>
      <c r="G124" s="858"/>
      <c r="H124" s="858"/>
      <c r="I124" s="574"/>
      <c r="J124" s="858"/>
      <c r="K124" s="858"/>
      <c r="L124" s="858"/>
      <c r="M124" s="858"/>
      <c r="N124" s="574"/>
      <c r="O124" s="858"/>
      <c r="P124" s="858"/>
      <c r="Q124" s="858"/>
      <c r="R124" s="858"/>
      <c r="S124" s="574"/>
      <c r="T124" s="858"/>
      <c r="U124" s="858"/>
      <c r="V124" s="858"/>
      <c r="W124" s="858"/>
      <c r="X124" s="574"/>
      <c r="Y124" s="858"/>
      <c r="Z124" s="858"/>
      <c r="AA124" s="858"/>
      <c r="AB124" s="858"/>
      <c r="AC124" s="574"/>
      <c r="AD124" s="858"/>
      <c r="AE124" s="858"/>
      <c r="AF124" s="858"/>
      <c r="AG124" s="858"/>
      <c r="AH124" s="574"/>
      <c r="AI124" s="574"/>
      <c r="AJ124" s="576"/>
      <c r="AK124" s="539"/>
      <c r="AL124" s="539"/>
      <c r="AM124" s="539"/>
      <c r="AN124" s="534"/>
      <c r="AO124" s="535">
        <f>Application!B739</f>
        <v>0</v>
      </c>
      <c r="AQ124" s="535">
        <f>Application!O739</f>
        <v>0</v>
      </c>
    </row>
    <row r="125" spans="1:52" s="535" customFormat="1" ht="12.75" customHeight="1">
      <c r="A125" s="539"/>
      <c r="B125" s="538"/>
      <c r="C125" s="539"/>
      <c r="D125" s="539"/>
      <c r="E125" s="861" t="s">
        <v>1622</v>
      </c>
      <c r="F125" s="858"/>
      <c r="G125" s="858"/>
      <c r="H125" s="858"/>
      <c r="I125" s="574"/>
      <c r="J125" s="858"/>
      <c r="K125" s="858"/>
      <c r="L125" s="858"/>
      <c r="M125" s="858"/>
      <c r="N125" s="574"/>
      <c r="O125" s="858"/>
      <c r="P125" s="858"/>
      <c r="Q125" s="858"/>
      <c r="R125" s="858"/>
      <c r="S125" s="574"/>
      <c r="T125" s="858"/>
      <c r="U125" s="858"/>
      <c r="V125" s="858"/>
      <c r="W125" s="858"/>
      <c r="X125" s="574"/>
      <c r="Y125" s="858"/>
      <c r="Z125" s="858"/>
      <c r="AA125" s="858"/>
      <c r="AB125" s="858"/>
      <c r="AC125" s="574"/>
      <c r="AD125" s="858"/>
      <c r="AE125" s="858"/>
      <c r="AF125" s="858"/>
      <c r="AG125" s="858"/>
      <c r="AH125" s="574"/>
      <c r="AI125" s="574"/>
      <c r="AJ125" s="576"/>
      <c r="AK125" s="539"/>
      <c r="AL125" s="539"/>
      <c r="AM125" s="539"/>
      <c r="AN125" s="534"/>
      <c r="AO125" s="535">
        <f>Application!B740</f>
        <v>0</v>
      </c>
      <c r="AQ125" s="535">
        <f>Application!O740</f>
        <v>0</v>
      </c>
    </row>
    <row r="126" spans="1:52" s="535" customFormat="1" ht="12.75" customHeight="1">
      <c r="A126" s="539"/>
      <c r="B126" s="538"/>
      <c r="C126" s="539"/>
      <c r="D126" s="539"/>
      <c r="E126" s="2464"/>
      <c r="F126" s="2465"/>
      <c r="G126" s="2465"/>
      <c r="H126" s="2465"/>
      <c r="I126" s="859"/>
      <c r="J126" s="2465">
        <v>2608</v>
      </c>
      <c r="K126" s="2465"/>
      <c r="L126" s="2465"/>
      <c r="M126" s="2465"/>
      <c r="N126" s="859"/>
      <c r="O126" s="2465">
        <v>3213</v>
      </c>
      <c r="P126" s="2465"/>
      <c r="Q126" s="2465"/>
      <c r="R126" s="2465"/>
      <c r="S126" s="859"/>
      <c r="T126" s="2465">
        <v>4038</v>
      </c>
      <c r="U126" s="2465"/>
      <c r="V126" s="2465"/>
      <c r="W126" s="2465"/>
      <c r="X126" s="859"/>
      <c r="Y126" s="2465"/>
      <c r="Z126" s="2465"/>
      <c r="AA126" s="2465"/>
      <c r="AB126" s="2465"/>
      <c r="AC126" s="859"/>
      <c r="AD126" s="2465"/>
      <c r="AE126" s="2465"/>
      <c r="AF126" s="2465"/>
      <c r="AG126" s="2465"/>
      <c r="AH126" s="574"/>
      <c r="AI126" s="574"/>
      <c r="AJ126" s="576"/>
      <c r="AK126" s="539"/>
      <c r="AL126" s="539"/>
      <c r="AM126" s="539"/>
      <c r="AN126" s="534"/>
      <c r="AO126" s="535">
        <f>Application!B741</f>
        <v>0</v>
      </c>
      <c r="AQ126" s="535">
        <f>Application!O741</f>
        <v>0</v>
      </c>
    </row>
    <row r="127" spans="1:52" s="535" customFormat="1" ht="12.75" customHeight="1">
      <c r="A127" s="539"/>
      <c r="B127" s="538"/>
      <c r="C127" s="539"/>
      <c r="D127" s="539"/>
      <c r="E127" s="860"/>
      <c r="F127" s="858"/>
      <c r="G127" s="858"/>
      <c r="H127" s="858"/>
      <c r="I127" s="574"/>
      <c r="J127" s="858"/>
      <c r="K127" s="858"/>
      <c r="L127" s="858"/>
      <c r="M127" s="858"/>
      <c r="N127" s="574"/>
      <c r="O127" s="858"/>
      <c r="P127" s="858"/>
      <c r="Q127" s="858"/>
      <c r="R127" s="858"/>
      <c r="S127" s="574"/>
      <c r="T127" s="858"/>
      <c r="U127" s="858"/>
      <c r="V127" s="858"/>
      <c r="W127" s="858"/>
      <c r="X127" s="574"/>
      <c r="Y127" s="858"/>
      <c r="Z127" s="858"/>
      <c r="AA127" s="858"/>
      <c r="AB127" s="858"/>
      <c r="AC127" s="574"/>
      <c r="AD127" s="858"/>
      <c r="AE127" s="858"/>
      <c r="AF127" s="858"/>
      <c r="AG127" s="858"/>
      <c r="AH127" s="574"/>
      <c r="AI127" s="574"/>
      <c r="AJ127" s="576"/>
      <c r="AK127" s="539"/>
      <c r="AL127" s="539"/>
      <c r="AM127" s="539"/>
      <c r="AN127" s="534"/>
      <c r="AO127" s="535">
        <f>Application!B742</f>
        <v>0</v>
      </c>
      <c r="AQ127" s="535">
        <f>Application!O742</f>
        <v>0</v>
      </c>
      <c r="AU127" s="1003"/>
      <c r="AV127" s="1003"/>
      <c r="AW127" s="1003"/>
      <c r="AX127" s="1003"/>
      <c r="AY127" s="1003"/>
      <c r="AZ127" s="1003"/>
    </row>
    <row r="128" spans="1:52" s="535" customFormat="1" ht="12.75" customHeight="1">
      <c r="A128" s="539"/>
      <c r="B128" s="538"/>
      <c r="C128" s="539"/>
      <c r="D128" s="539"/>
      <c r="E128" s="861" t="s">
        <v>1819</v>
      </c>
      <c r="F128" s="858"/>
      <c r="G128" s="858"/>
      <c r="H128" s="858"/>
      <c r="I128" s="574"/>
      <c r="J128" s="858"/>
      <c r="K128" s="858"/>
      <c r="L128" s="858"/>
      <c r="M128" s="858"/>
      <c r="N128" s="574"/>
      <c r="O128" s="858"/>
      <c r="P128" s="858"/>
      <c r="Q128" s="858"/>
      <c r="R128" s="858"/>
      <c r="S128" s="574"/>
      <c r="T128" s="858"/>
      <c r="U128" s="858"/>
      <c r="V128" s="858"/>
      <c r="W128" s="858"/>
      <c r="X128" s="574"/>
      <c r="Y128" s="858"/>
      <c r="Z128" s="858"/>
      <c r="AA128" s="858"/>
      <c r="AB128" s="858"/>
      <c r="AC128" s="574"/>
      <c r="AD128" s="858"/>
      <c r="AE128" s="858"/>
      <c r="AF128" s="858"/>
      <c r="AG128" s="858"/>
      <c r="AH128" s="574"/>
      <c r="AI128" s="574"/>
      <c r="AJ128" s="576"/>
      <c r="AK128" s="539"/>
      <c r="AL128" s="539"/>
      <c r="AM128" s="539"/>
      <c r="AN128" s="534"/>
      <c r="AO128" s="535">
        <f>Application!B743</f>
        <v>0</v>
      </c>
      <c r="AQ128" s="535">
        <f>Application!O743</f>
        <v>0</v>
      </c>
      <c r="AU128" s="1003"/>
      <c r="AV128" s="1003"/>
      <c r="AW128" s="1003"/>
      <c r="AX128" s="1003"/>
      <c r="AY128" s="1003"/>
      <c r="AZ128" s="1003"/>
    </row>
    <row r="129" spans="1:52" s="535" customFormat="1" ht="12.75" customHeight="1">
      <c r="A129" s="539"/>
      <c r="B129" s="538"/>
      <c r="C129" s="539"/>
      <c r="D129" s="539"/>
      <c r="E129" s="2438">
        <f>Application!DX678</f>
        <v>0</v>
      </c>
      <c r="F129" s="2439"/>
      <c r="G129" s="2439"/>
      <c r="H129" s="2439"/>
      <c r="I129" s="859"/>
      <c r="J129" s="2439">
        <f>Application!EC678</f>
        <v>1172.3793103448274</v>
      </c>
      <c r="K129" s="2439"/>
      <c r="L129" s="2439"/>
      <c r="M129" s="2439"/>
      <c r="N129" s="859"/>
      <c r="O129" s="2439">
        <f>Application!EH678</f>
        <v>1840.1290322580644</v>
      </c>
      <c r="P129" s="2439"/>
      <c r="Q129" s="2439"/>
      <c r="R129" s="2439"/>
      <c r="S129" s="863"/>
      <c r="T129" s="2439">
        <f>Application!EM678</f>
        <v>1885.7575757575758</v>
      </c>
      <c r="U129" s="2439"/>
      <c r="V129" s="2439"/>
      <c r="W129" s="2439"/>
      <c r="X129" s="863"/>
      <c r="Y129" s="2439">
        <f>Application!ER678</f>
        <v>0</v>
      </c>
      <c r="Z129" s="2439"/>
      <c r="AA129" s="2439"/>
      <c r="AB129" s="2439"/>
      <c r="AC129" s="863"/>
      <c r="AD129" s="2439">
        <f>Application!EW678</f>
        <v>0</v>
      </c>
      <c r="AE129" s="2439"/>
      <c r="AF129" s="2439"/>
      <c r="AG129" s="2439"/>
      <c r="AH129" s="574"/>
      <c r="AI129" s="574"/>
      <c r="AJ129" s="576"/>
      <c r="AK129" s="539"/>
      <c r="AL129" s="539"/>
      <c r="AM129" s="539"/>
      <c r="AN129" s="534"/>
      <c r="AO129" s="535">
        <f>Application!B744</f>
        <v>0</v>
      </c>
      <c r="AQ129" s="535">
        <f>Application!O744</f>
        <v>0</v>
      </c>
      <c r="AU129" s="1003"/>
      <c r="AV129" s="1003"/>
      <c r="AW129" s="1004"/>
      <c r="AX129" s="1004"/>
      <c r="AY129" s="1003"/>
      <c r="AZ129" s="1003"/>
    </row>
    <row r="130" spans="1:52" s="535" customFormat="1" ht="12.75" customHeight="1">
      <c r="A130" s="539"/>
      <c r="B130" s="538"/>
      <c r="C130" s="539"/>
      <c r="D130" s="539"/>
      <c r="E130" s="862"/>
      <c r="F130" s="858"/>
      <c r="G130" s="858"/>
      <c r="H130" s="858"/>
      <c r="I130" s="574"/>
      <c r="J130" s="577"/>
      <c r="K130" s="574"/>
      <c r="L130" s="574"/>
      <c r="M130" s="574"/>
      <c r="N130" s="574"/>
      <c r="O130" s="574"/>
      <c r="P130" s="574"/>
      <c r="Q130" s="574"/>
      <c r="R130" s="574"/>
      <c r="S130" s="574"/>
      <c r="T130" s="574"/>
      <c r="U130" s="574"/>
      <c r="V130" s="574"/>
      <c r="W130" s="574"/>
      <c r="X130" s="574"/>
      <c r="Y130" s="574"/>
      <c r="Z130" s="574"/>
      <c r="AA130" s="574"/>
      <c r="AB130" s="574"/>
      <c r="AC130" s="574"/>
      <c r="AD130" s="574"/>
      <c r="AE130" s="574"/>
      <c r="AF130" s="574"/>
      <c r="AG130" s="574"/>
      <c r="AH130" s="574"/>
      <c r="AI130" s="574"/>
      <c r="AJ130" s="576"/>
      <c r="AK130" s="539"/>
      <c r="AL130" s="539"/>
      <c r="AM130" s="539"/>
      <c r="AN130" s="534"/>
      <c r="AO130" s="535">
        <f>Application!B745</f>
        <v>0</v>
      </c>
      <c r="AQ130" s="535">
        <f>Application!O745</f>
        <v>0</v>
      </c>
      <c r="AU130" s="1003"/>
      <c r="AV130" s="1003"/>
      <c r="AW130" s="1004"/>
      <c r="AX130" s="1004"/>
      <c r="AY130" s="1003"/>
      <c r="AZ130" s="1003"/>
    </row>
    <row r="131" spans="1:52" s="535" customFormat="1" ht="12.75" customHeight="1">
      <c r="A131" s="539"/>
      <c r="B131" s="538"/>
      <c r="C131" s="539"/>
      <c r="D131" s="539"/>
      <c r="E131" s="861" t="s">
        <v>1820</v>
      </c>
      <c r="F131" s="858"/>
      <c r="G131" s="858"/>
      <c r="H131" s="858"/>
      <c r="I131" s="574"/>
      <c r="J131" s="577"/>
      <c r="K131" s="574"/>
      <c r="L131" s="574"/>
      <c r="M131" s="574"/>
      <c r="N131" s="574"/>
      <c r="O131" s="574"/>
      <c r="P131" s="574"/>
      <c r="Q131" s="574"/>
      <c r="R131" s="574"/>
      <c r="S131" s="574"/>
      <c r="T131" s="574"/>
      <c r="U131" s="574"/>
      <c r="V131" s="574"/>
      <c r="W131" s="574"/>
      <c r="X131" s="574"/>
      <c r="Y131" s="574"/>
      <c r="Z131" s="574"/>
      <c r="AA131" s="574"/>
      <c r="AB131" s="574"/>
      <c r="AC131" s="574"/>
      <c r="AD131" s="574"/>
      <c r="AE131" s="574"/>
      <c r="AF131" s="574"/>
      <c r="AG131" s="574"/>
      <c r="AH131" s="574"/>
      <c r="AI131" s="574"/>
      <c r="AJ131" s="576"/>
      <c r="AK131" s="539"/>
      <c r="AL131" s="539"/>
      <c r="AM131" s="539"/>
      <c r="AN131" s="534"/>
      <c r="AO131" s="535">
        <f>Application!B746</f>
        <v>0</v>
      </c>
      <c r="AQ131" s="535">
        <f>Application!O746</f>
        <v>0</v>
      </c>
      <c r="AU131" s="1003"/>
      <c r="AV131" s="1003"/>
      <c r="AW131" s="1004"/>
      <c r="AX131" s="1004"/>
      <c r="AY131" s="1003"/>
      <c r="AZ131" s="1003"/>
    </row>
    <row r="132" spans="1:52" s="535" customFormat="1" ht="12.75" customHeight="1">
      <c r="A132" s="539"/>
      <c r="B132" s="538"/>
      <c r="C132" s="539"/>
      <c r="D132" s="539"/>
      <c r="E132" s="2637" t="e">
        <f>(E126-E129)/E126</f>
        <v>#DIV/0!</v>
      </c>
      <c r="F132" s="2430"/>
      <c r="G132" s="2430"/>
      <c r="H132" s="2638"/>
      <c r="I132" s="574"/>
      <c r="J132" s="2637">
        <f>(J126-J129)/J126</f>
        <v>0.55046805584937597</v>
      </c>
      <c r="K132" s="2430"/>
      <c r="L132" s="2430"/>
      <c r="M132" s="2638"/>
      <c r="N132" s="574"/>
      <c r="O132" s="2637">
        <f>(O126-O129)/O126</f>
        <v>0.42728632671706679</v>
      </c>
      <c r="P132" s="2430"/>
      <c r="Q132" s="2430"/>
      <c r="R132" s="2638"/>
      <c r="S132" s="574"/>
      <c r="T132" s="2637">
        <f>(T126-T129)/T126</f>
        <v>0.53299713329431009</v>
      </c>
      <c r="U132" s="2430"/>
      <c r="V132" s="2430"/>
      <c r="W132" s="2638"/>
      <c r="X132" s="574"/>
      <c r="Y132" s="2637" t="e">
        <f>(Y126-Y129)/Y126</f>
        <v>#DIV/0!</v>
      </c>
      <c r="Z132" s="2430"/>
      <c r="AA132" s="2430"/>
      <c r="AB132" s="2638"/>
      <c r="AC132" s="574"/>
      <c r="AD132" s="2637" t="e">
        <f>(AD126-AD129)/AD126</f>
        <v>#DIV/0!</v>
      </c>
      <c r="AE132" s="2430"/>
      <c r="AF132" s="2430"/>
      <c r="AG132" s="2638"/>
      <c r="AH132" s="574"/>
      <c r="AI132" s="574"/>
      <c r="AJ132" s="576"/>
      <c r="AK132" s="539"/>
      <c r="AL132" s="539"/>
      <c r="AM132" s="539"/>
      <c r="AN132" s="534"/>
      <c r="AO132" s="535">
        <f>Application!B747</f>
        <v>0</v>
      </c>
      <c r="AQ132" s="535">
        <f>Application!O747</f>
        <v>0</v>
      </c>
      <c r="AU132" s="1003"/>
      <c r="AV132" s="1003"/>
      <c r="AW132" s="1004"/>
      <c r="AX132" s="1004"/>
      <c r="AY132" s="1003"/>
      <c r="AZ132" s="1003"/>
    </row>
    <row r="133" spans="1:52" s="535" customFormat="1" ht="12.75" customHeight="1">
      <c r="A133" s="539"/>
      <c r="B133" s="538"/>
      <c r="C133" s="539"/>
      <c r="D133" s="539"/>
      <c r="E133" s="998"/>
      <c r="F133" s="997"/>
      <c r="G133" s="997"/>
      <c r="H133" s="997"/>
      <c r="I133" s="574"/>
      <c r="J133" s="997"/>
      <c r="K133" s="997"/>
      <c r="L133" s="997"/>
      <c r="M133" s="997"/>
      <c r="N133" s="574"/>
      <c r="O133" s="997"/>
      <c r="P133" s="997"/>
      <c r="Q133" s="997"/>
      <c r="R133" s="997"/>
      <c r="S133" s="574"/>
      <c r="T133" s="997"/>
      <c r="U133" s="997"/>
      <c r="V133" s="997"/>
      <c r="W133" s="997"/>
      <c r="X133" s="574"/>
      <c r="Y133" s="997"/>
      <c r="Z133" s="997"/>
      <c r="AA133" s="997"/>
      <c r="AB133" s="997"/>
      <c r="AC133" s="574"/>
      <c r="AD133" s="997"/>
      <c r="AE133" s="997"/>
      <c r="AF133" s="997"/>
      <c r="AG133" s="997"/>
      <c r="AH133" s="574"/>
      <c r="AI133" s="574"/>
      <c r="AJ133" s="576"/>
      <c r="AK133" s="539"/>
      <c r="AL133" s="539"/>
      <c r="AM133" s="539"/>
      <c r="AN133" s="534"/>
      <c r="AO133" s="535">
        <f>Application!B748</f>
        <v>0</v>
      </c>
      <c r="AQ133" s="535">
        <f>Application!O748</f>
        <v>0</v>
      </c>
      <c r="AU133" s="1003"/>
      <c r="AV133" s="1003"/>
      <c r="AW133" s="1004"/>
      <c r="AX133" s="1004"/>
      <c r="AY133" s="1003"/>
      <c r="AZ133" s="1003"/>
    </row>
    <row r="134" spans="1:52" s="535" customFormat="1" ht="12.75" customHeight="1">
      <c r="A134" s="539"/>
      <c r="B134" s="538"/>
      <c r="C134" s="539"/>
      <c r="D134" s="539"/>
      <c r="E134" s="999" t="s">
        <v>1821</v>
      </c>
      <c r="F134" s="997"/>
      <c r="G134" s="997"/>
      <c r="H134" s="997"/>
      <c r="I134" s="574"/>
      <c r="J134" s="997"/>
      <c r="K134" s="997"/>
      <c r="L134" s="997"/>
      <c r="M134" s="997"/>
      <c r="N134" s="574"/>
      <c r="O134" s="997"/>
      <c r="P134" s="997"/>
      <c r="Q134" s="997"/>
      <c r="R134" s="997"/>
      <c r="S134" s="574"/>
      <c r="T134" s="997"/>
      <c r="U134" s="997"/>
      <c r="V134" s="997"/>
      <c r="W134" s="997"/>
      <c r="X134" s="574"/>
      <c r="Y134" s="997"/>
      <c r="Z134" s="997"/>
      <c r="AA134" s="997"/>
      <c r="AB134" s="997"/>
      <c r="AC134" s="574"/>
      <c r="AD134" s="997"/>
      <c r="AE134" s="997"/>
      <c r="AF134" s="997"/>
      <c r="AG134" s="997"/>
      <c r="AH134" s="574"/>
      <c r="AI134" s="574"/>
      <c r="AJ134" s="576"/>
      <c r="AK134" s="539"/>
      <c r="AL134" s="539"/>
      <c r="AM134" s="539"/>
      <c r="AN134" s="534"/>
      <c r="AO134" s="535">
        <f>Application!B749</f>
        <v>0</v>
      </c>
      <c r="AQ134" s="535">
        <f>Application!O749</f>
        <v>0</v>
      </c>
      <c r="AU134" s="1004"/>
      <c r="AV134" s="1003"/>
      <c r="AW134" s="1004"/>
      <c r="AX134" s="1004"/>
      <c r="AY134" s="1003"/>
      <c r="AZ134" s="1003"/>
    </row>
    <row r="135" spans="1:52" s="535" customFormat="1" ht="12.75" customHeight="1">
      <c r="A135" s="539"/>
      <c r="B135" s="538"/>
      <c r="C135" s="539"/>
      <c r="D135" s="539"/>
      <c r="E135" s="2453" t="e">
        <f>IF(((E132-0.1)*AW115)&gt;0,((E132-0.1)*AW115),0)</f>
        <v>#DIV/0!</v>
      </c>
      <c r="F135" s="2454"/>
      <c r="G135" s="2454"/>
      <c r="H135" s="2455"/>
      <c r="I135" s="574"/>
      <c r="J135" s="2453">
        <f>IF(((J132-0.1)*AW116)&gt;0,((J132-0.1)*AW116),0)</f>
        <v>0.21415694458412957</v>
      </c>
      <c r="K135" s="2454"/>
      <c r="L135" s="2454"/>
      <c r="M135" s="2455"/>
      <c r="N135" s="574"/>
      <c r="O135" s="2453">
        <f>IF(((O132-0.1)*AW117)&gt;0,((O132-0.1)*AW117),0)</f>
        <v>8.316291908384485E-2</v>
      </c>
      <c r="P135" s="2454"/>
      <c r="Q135" s="2454"/>
      <c r="R135" s="2455"/>
      <c r="S135" s="574"/>
      <c r="T135" s="2453">
        <f>IF(((T132-0.1)*AW118)&gt;0,((T132-0.1)*AW118),0)</f>
        <v>0.11712217539928062</v>
      </c>
      <c r="U135" s="2454"/>
      <c r="V135" s="2454"/>
      <c r="W135" s="2455"/>
      <c r="X135" s="574"/>
      <c r="Y135" s="2453" t="e">
        <f>IF(((Y132-0.1)*AW119)&gt;0,((Y132-0.1)*AW119),0)</f>
        <v>#DIV/0!</v>
      </c>
      <c r="Z135" s="2454"/>
      <c r="AA135" s="2454"/>
      <c r="AB135" s="2455"/>
      <c r="AC135" s="574"/>
      <c r="AD135" s="2453" t="e">
        <f>IF(((AD132-0.1)*AW120)&gt;0,((AD132-0.1)*AW120),0)</f>
        <v>#DIV/0!</v>
      </c>
      <c r="AE135" s="2454"/>
      <c r="AF135" s="2454"/>
      <c r="AG135" s="2455"/>
      <c r="AH135" s="574"/>
      <c r="AI135" s="574"/>
      <c r="AJ135" s="576"/>
      <c r="AK135" s="539"/>
      <c r="AL135" s="539"/>
      <c r="AM135" s="539"/>
      <c r="AN135" s="534"/>
      <c r="AO135" s="535">
        <f>Application!B760</f>
        <v>0</v>
      </c>
      <c r="AQ135" s="535">
        <f>Application!O760</f>
        <v>0</v>
      </c>
      <c r="AU135" s="1003"/>
      <c r="AV135" s="1003"/>
      <c r="AW135" s="1003"/>
      <c r="AX135" s="1004"/>
      <c r="AY135" s="1003"/>
      <c r="AZ135" s="1003"/>
    </row>
    <row r="136" spans="1:52" s="535" customFormat="1" ht="12.75" customHeight="1">
      <c r="A136" s="539"/>
      <c r="B136" s="538"/>
      <c r="C136" s="539"/>
      <c r="D136" s="539"/>
      <c r="E136" s="862"/>
      <c r="F136" s="858"/>
      <c r="G136" s="858"/>
      <c r="H136" s="858"/>
      <c r="I136" s="574"/>
      <c r="J136" s="577"/>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6"/>
      <c r="AK136" s="539"/>
      <c r="AL136" s="539"/>
      <c r="AM136" s="539"/>
      <c r="AN136" s="534"/>
      <c r="AU136" s="1003"/>
      <c r="AV136" s="1003"/>
      <c r="AW136" s="1003"/>
      <c r="AX136" s="1003"/>
      <c r="AY136" s="1003"/>
      <c r="AZ136" s="1003"/>
    </row>
    <row r="137" spans="1:52" s="535" customFormat="1" ht="12.75" customHeight="1">
      <c r="A137" s="539"/>
      <c r="B137" s="538"/>
      <c r="C137" s="539"/>
      <c r="D137" s="539"/>
      <c r="E137" s="2637">
        <f>ROUNDDOWN(SUMIF(E135:AG135,"&gt;0"),2)</f>
        <v>0.41</v>
      </c>
      <c r="F137" s="2430"/>
      <c r="G137" s="2430"/>
      <c r="H137" s="2638"/>
      <c r="I137" s="574"/>
      <c r="J137" s="577" t="s">
        <v>1822</v>
      </c>
      <c r="K137" s="574"/>
      <c r="L137" s="574"/>
      <c r="M137" s="574"/>
      <c r="N137" s="574"/>
      <c r="O137" s="574"/>
      <c r="P137" s="574"/>
      <c r="Q137" s="574"/>
      <c r="R137" s="574"/>
      <c r="S137" s="574"/>
      <c r="T137" s="574"/>
      <c r="U137" s="574"/>
      <c r="V137" s="574"/>
      <c r="W137" s="574"/>
      <c r="X137" s="574"/>
      <c r="Y137" s="574"/>
      <c r="Z137" s="574"/>
      <c r="AA137" s="574"/>
      <c r="AB137" s="574"/>
      <c r="AC137" s="574"/>
      <c r="AD137" s="864"/>
      <c r="AE137" s="864"/>
      <c r="AF137" s="864"/>
      <c r="AG137" s="864"/>
      <c r="AH137" s="574"/>
      <c r="AI137" s="574"/>
      <c r="AJ137" s="576"/>
      <c r="AK137" s="539"/>
      <c r="AL137" s="539"/>
      <c r="AM137" s="539"/>
      <c r="AN137" s="534"/>
      <c r="AU137" s="1003"/>
      <c r="AV137" s="1003"/>
      <c r="AW137" s="1003"/>
      <c r="AX137" s="1004"/>
      <c r="AY137" s="1003"/>
      <c r="AZ137" s="1003"/>
    </row>
    <row r="138" spans="1:52" s="535" customFormat="1" ht="12.75" customHeight="1">
      <c r="A138" s="539"/>
      <c r="B138" s="538"/>
      <c r="C138" s="539"/>
      <c r="D138" s="539"/>
      <c r="E138" s="2444">
        <f>IF((E137*100)&gt;10,10,E137*100)</f>
        <v>10</v>
      </c>
      <c r="F138" s="2445"/>
      <c r="G138" s="2445"/>
      <c r="H138" s="2446"/>
      <c r="I138" s="574"/>
      <c r="J138" s="577" t="s">
        <v>1320</v>
      </c>
      <c r="K138" s="574"/>
      <c r="L138" s="574"/>
      <c r="M138" s="574"/>
      <c r="N138" s="574"/>
      <c r="O138" s="574"/>
      <c r="P138" s="574"/>
      <c r="Q138" s="574"/>
      <c r="R138" s="574"/>
      <c r="S138" s="574"/>
      <c r="T138" s="574"/>
      <c r="U138" s="574"/>
      <c r="V138" s="574"/>
      <c r="W138" s="574"/>
      <c r="X138" s="574"/>
      <c r="Y138" s="574"/>
      <c r="Z138" s="574"/>
      <c r="AA138" s="574"/>
      <c r="AB138" s="574"/>
      <c r="AC138" s="574"/>
      <c r="AD138" s="574"/>
      <c r="AE138" s="574"/>
      <c r="AF138" s="574"/>
      <c r="AG138" s="574"/>
      <c r="AH138" s="574"/>
      <c r="AI138" s="574"/>
      <c r="AJ138" s="576"/>
      <c r="AK138" s="539"/>
      <c r="AL138" s="539"/>
      <c r="AM138" s="539"/>
      <c r="AN138" s="534"/>
      <c r="AU138" s="1003"/>
      <c r="AV138" s="1003"/>
      <c r="AW138" s="1003"/>
      <c r="AX138" s="1003"/>
      <c r="AY138" s="1003"/>
      <c r="AZ138" s="1003"/>
    </row>
    <row r="139" spans="1:52" s="535" customFormat="1" ht="12.75" customHeight="1">
      <c r="A139" s="539"/>
      <c r="B139" s="539"/>
      <c r="C139" s="539"/>
      <c r="D139" s="539"/>
      <c r="E139" s="585"/>
      <c r="F139" s="586"/>
      <c r="G139" s="586"/>
      <c r="H139" s="586"/>
      <c r="I139" s="586"/>
      <c r="J139" s="586"/>
      <c r="K139" s="586"/>
      <c r="L139" s="586"/>
      <c r="M139" s="586"/>
      <c r="N139" s="586"/>
      <c r="O139" s="586"/>
      <c r="P139" s="586"/>
      <c r="Q139" s="586"/>
      <c r="R139" s="586"/>
      <c r="S139" s="586"/>
      <c r="T139" s="586"/>
      <c r="U139" s="586"/>
      <c r="V139" s="586"/>
      <c r="W139" s="586"/>
      <c r="X139" s="586"/>
      <c r="Y139" s="586"/>
      <c r="Z139" s="586"/>
      <c r="AA139" s="586"/>
      <c r="AB139" s="586"/>
      <c r="AC139" s="586"/>
      <c r="AD139" s="586"/>
      <c r="AE139" s="586"/>
      <c r="AF139" s="586"/>
      <c r="AG139" s="586"/>
      <c r="AH139" s="586"/>
      <c r="AI139" s="586"/>
      <c r="AJ139" s="587"/>
      <c r="AK139" s="539"/>
      <c r="AL139" s="539"/>
      <c r="AM139" s="539"/>
      <c r="AN139" s="534"/>
      <c r="AT139" s="996"/>
      <c r="AU139" s="1003"/>
      <c r="AV139" s="1003"/>
      <c r="AW139" s="1004"/>
      <c r="AX139" s="1003"/>
      <c r="AY139" s="1003"/>
      <c r="AZ139" s="1003"/>
    </row>
    <row r="140" spans="1:52" s="535" customFormat="1" ht="12.75" customHeight="1">
      <c r="A140" s="539"/>
      <c r="B140" s="539"/>
      <c r="C140" s="539"/>
      <c r="D140" s="539"/>
      <c r="E140" s="539"/>
      <c r="F140" s="539"/>
      <c r="G140" s="539"/>
      <c r="H140" s="539"/>
      <c r="I140" s="539"/>
      <c r="J140" s="539"/>
      <c r="K140" s="539"/>
      <c r="L140" s="539"/>
      <c r="M140" s="539"/>
      <c r="N140" s="539"/>
      <c r="O140" s="539"/>
      <c r="P140" s="539"/>
      <c r="Q140" s="539"/>
      <c r="R140" s="539"/>
      <c r="S140" s="539"/>
      <c r="T140" s="539"/>
      <c r="U140" s="539"/>
      <c r="V140" s="539"/>
      <c r="W140" s="539"/>
      <c r="X140" s="539"/>
      <c r="Y140" s="539"/>
      <c r="Z140" s="539"/>
      <c r="AA140" s="539"/>
      <c r="AB140" s="539"/>
      <c r="AC140" s="539"/>
      <c r="AD140" s="539"/>
      <c r="AE140" s="539"/>
      <c r="AF140" s="539"/>
      <c r="AG140" s="539"/>
      <c r="AH140" s="539"/>
      <c r="AI140" s="539"/>
      <c r="AJ140" s="539"/>
      <c r="AK140" s="539"/>
      <c r="AL140" s="539"/>
      <c r="AM140" s="539"/>
      <c r="AN140" s="534"/>
      <c r="AU140" s="1003"/>
      <c r="AV140" s="1003"/>
      <c r="AW140" s="1003"/>
      <c r="AX140" s="1003"/>
      <c r="AY140" s="1003"/>
      <c r="AZ140" s="1003"/>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row>
    <row r="142" spans="1:52" s="535" customFormat="1" ht="12.75" customHeight="1">
      <c r="A142" s="558"/>
      <c r="B142" s="559"/>
      <c r="C142" s="559"/>
      <c r="D142" s="559"/>
      <c r="E142" s="559"/>
      <c r="F142" s="559"/>
      <c r="G142" s="560"/>
      <c r="H142" s="561"/>
      <c r="I142" s="561"/>
      <c r="J142" s="561"/>
      <c r="K142" s="561"/>
      <c r="L142" s="561"/>
      <c r="M142" s="561"/>
      <c r="N142" s="561"/>
      <c r="O142" s="561"/>
      <c r="P142" s="561"/>
      <c r="Q142" s="561"/>
      <c r="R142" s="561"/>
      <c r="S142" s="561"/>
      <c r="T142" s="561"/>
      <c r="U142" s="561"/>
      <c r="V142" s="561"/>
      <c r="W142" s="561"/>
      <c r="X142" s="561"/>
      <c r="Y142" s="561"/>
      <c r="Z142" s="561"/>
      <c r="AA142" s="561"/>
      <c r="AB142" s="561"/>
      <c r="AC142" s="561"/>
      <c r="AD142" s="561"/>
      <c r="AE142" s="561"/>
      <c r="AF142" s="561"/>
      <c r="AG142" s="561"/>
      <c r="AH142" s="561"/>
      <c r="AI142" s="562"/>
      <c r="AJ142" s="562" t="s">
        <v>1327</v>
      </c>
      <c r="AK142" s="2444">
        <f>E138</f>
        <v>10</v>
      </c>
      <c r="AL142" s="2445"/>
      <c r="AM142" s="2446"/>
      <c r="AN142" s="534"/>
    </row>
    <row r="143" spans="1:52" s="535" customFormat="1" ht="12.75" customHeight="1" thickBot="1">
      <c r="A143" s="563"/>
      <c r="B143" s="564"/>
      <c r="C143" s="565"/>
      <c r="D143" s="565"/>
      <c r="E143" s="565"/>
      <c r="F143" s="565"/>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c r="AJ143" s="565"/>
      <c r="AK143" s="565"/>
      <c r="AL143" s="565"/>
      <c r="AM143" s="566"/>
      <c r="AN143" s="534"/>
    </row>
    <row r="144" spans="1:52" s="535" customFormat="1" ht="12.75" customHeight="1" thickTop="1">
      <c r="A144" s="567"/>
      <c r="B144" s="568"/>
      <c r="C144" s="569"/>
      <c r="D144" s="569"/>
      <c r="E144" s="569"/>
      <c r="F144" s="569"/>
      <c r="G144" s="569"/>
      <c r="H144" s="569"/>
      <c r="I144" s="570"/>
      <c r="J144" s="570"/>
      <c r="K144" s="570"/>
      <c r="L144" s="570"/>
      <c r="M144" s="570"/>
      <c r="N144" s="570"/>
      <c r="O144" s="570"/>
      <c r="P144" s="570"/>
      <c r="Q144" s="570"/>
      <c r="R144" s="567"/>
      <c r="S144" s="538"/>
      <c r="T144" s="538"/>
      <c r="U144" s="538"/>
      <c r="V144" s="538"/>
      <c r="W144" s="538"/>
      <c r="X144" s="538"/>
      <c r="Y144" s="538"/>
      <c r="Z144" s="538"/>
      <c r="AA144" s="538"/>
      <c r="AB144" s="538"/>
      <c r="AC144" s="538"/>
      <c r="AD144" s="538"/>
      <c r="AE144" s="538"/>
      <c r="AF144" s="567"/>
      <c r="AG144" s="538"/>
      <c r="AH144" s="538"/>
      <c r="AI144" s="538"/>
      <c r="AJ144" s="538"/>
      <c r="AK144" s="548"/>
      <c r="AL144" s="548"/>
      <c r="AM144" s="548"/>
      <c r="AN144" s="534"/>
    </row>
    <row r="145" spans="1:42" s="538" customFormat="1" ht="12.75" customHeight="1">
      <c r="A145" s="537" t="s">
        <v>1328</v>
      </c>
      <c r="AE145" s="2433" t="s">
        <v>1306</v>
      </c>
      <c r="AF145" s="2433"/>
      <c r="AG145" s="2433"/>
      <c r="AH145" s="2433"/>
      <c r="AI145" s="2433"/>
      <c r="AJ145" s="2433"/>
      <c r="AK145" s="2433"/>
      <c r="AL145" s="588"/>
      <c r="AN145" s="589"/>
      <c r="AO145" s="535"/>
    </row>
    <row r="146" spans="1:42" s="538" customFormat="1" ht="12.95" customHeight="1">
      <c r="A146" s="537"/>
      <c r="AE146" s="588"/>
      <c r="AF146" s="588"/>
      <c r="AG146" s="588"/>
      <c r="AH146" s="588"/>
      <c r="AI146" s="588"/>
      <c r="AJ146" s="588"/>
      <c r="AK146" s="588"/>
      <c r="AL146" s="588"/>
      <c r="AN146" s="589"/>
    </row>
    <row r="147" spans="1:42" s="535" customFormat="1" ht="12.75" customHeight="1">
      <c r="A147" s="537"/>
      <c r="B147" s="537" t="s">
        <v>1329</v>
      </c>
      <c r="C147" s="538"/>
      <c r="D147" s="538"/>
      <c r="E147" s="538"/>
      <c r="F147" s="538"/>
      <c r="G147" s="538"/>
      <c r="H147" s="538"/>
      <c r="I147" s="538"/>
      <c r="J147" s="538"/>
      <c r="K147" s="538"/>
      <c r="L147" s="538"/>
      <c r="M147" s="538"/>
      <c r="N147" s="538"/>
      <c r="O147" s="538"/>
      <c r="P147" s="538"/>
      <c r="Q147" s="538"/>
      <c r="R147" s="538"/>
      <c r="S147" s="538"/>
      <c r="T147" s="538"/>
      <c r="U147" s="538"/>
      <c r="V147" s="538"/>
      <c r="W147" s="538"/>
      <c r="X147" s="538"/>
      <c r="Y147" s="538"/>
      <c r="Z147" s="538"/>
      <c r="AA147" s="538"/>
      <c r="AB147" s="538"/>
      <c r="AC147" s="538"/>
      <c r="AD147" s="538"/>
      <c r="AF147" s="2466" t="s">
        <v>1330</v>
      </c>
      <c r="AG147" s="2466"/>
      <c r="AH147" s="2466"/>
      <c r="AI147" s="2466"/>
      <c r="AJ147" s="2466"/>
      <c r="AK147" s="2466"/>
      <c r="AL147" s="2466"/>
      <c r="AM147" s="538"/>
      <c r="AN147" s="534"/>
    </row>
    <row r="148" spans="1:42" s="535" customFormat="1" ht="12.75" customHeight="1">
      <c r="A148" s="537"/>
      <c r="B148" s="537" t="s">
        <v>530</v>
      </c>
      <c r="C148" s="602"/>
      <c r="D148" s="602"/>
      <c r="E148" s="602"/>
      <c r="F148" s="602"/>
      <c r="G148" s="602"/>
      <c r="H148" s="602"/>
      <c r="I148" s="602"/>
      <c r="J148" s="602"/>
      <c r="K148" s="602"/>
      <c r="L148" s="602"/>
      <c r="M148" s="602"/>
      <c r="N148" s="602"/>
      <c r="O148" s="602"/>
      <c r="P148" s="602"/>
      <c r="Q148" s="602"/>
      <c r="R148" s="602"/>
      <c r="S148" s="602"/>
      <c r="T148" s="602"/>
      <c r="U148" s="602"/>
      <c r="V148" s="602"/>
      <c r="W148" s="602"/>
      <c r="X148" s="602"/>
      <c r="Y148" s="602"/>
      <c r="Z148" s="602"/>
      <c r="AA148" s="602"/>
      <c r="AB148" s="602"/>
      <c r="AC148" s="602"/>
      <c r="AD148" s="538"/>
      <c r="AL148" s="591"/>
      <c r="AM148" s="538"/>
      <c r="AN148" s="534"/>
    </row>
    <row r="149" spans="1:42" s="535" customFormat="1" ht="15" customHeight="1">
      <c r="A149" s="537"/>
      <c r="B149" s="2476" t="s">
        <v>2645</v>
      </c>
      <c r="C149" s="2476"/>
      <c r="D149" s="2476"/>
      <c r="E149" s="2476"/>
      <c r="F149" s="2476"/>
      <c r="G149" s="2476"/>
      <c r="H149" s="2476"/>
      <c r="I149" s="2476"/>
      <c r="J149" s="2476"/>
      <c r="K149" s="2476"/>
      <c r="L149" s="2476"/>
      <c r="M149" s="2476"/>
      <c r="N149" s="2476"/>
      <c r="O149" s="2476"/>
      <c r="P149" s="2476"/>
      <c r="Q149" s="2476"/>
      <c r="R149" s="2476"/>
      <c r="S149" s="2476"/>
      <c r="T149" s="2476"/>
      <c r="U149" s="2476"/>
      <c r="V149" s="2476"/>
      <c r="W149" s="2476"/>
      <c r="X149" s="2476"/>
      <c r="Y149" s="2476"/>
      <c r="Z149" s="2476"/>
      <c r="AA149" s="2476"/>
      <c r="AB149" s="2476"/>
      <c r="AC149" s="2476"/>
      <c r="AD149" s="538"/>
      <c r="AE149" s="591"/>
      <c r="AF149" s="591"/>
      <c r="AG149" s="591"/>
      <c r="AH149" s="591"/>
      <c r="AI149" s="591"/>
      <c r="AJ149" s="591"/>
      <c r="AK149" s="591"/>
      <c r="AL149" s="591"/>
      <c r="AM149" s="538"/>
      <c r="AN149" s="534"/>
      <c r="AP149" s="592"/>
    </row>
    <row r="150" spans="1:42" s="535" customFormat="1" ht="12.75" customHeight="1">
      <c r="A150" s="537"/>
      <c r="B150" s="537"/>
      <c r="C150" s="538"/>
      <c r="D150" s="538"/>
      <c r="E150" s="538"/>
      <c r="F150" s="538"/>
      <c r="G150" s="538"/>
      <c r="H150" s="538"/>
      <c r="I150" s="538"/>
      <c r="J150" s="538"/>
      <c r="K150" s="538"/>
      <c r="L150" s="538"/>
      <c r="M150" s="538"/>
      <c r="N150" s="538"/>
      <c r="O150" s="538"/>
      <c r="P150" s="538"/>
      <c r="Q150" s="538"/>
      <c r="R150" s="538"/>
      <c r="S150" s="538"/>
      <c r="T150" s="538"/>
      <c r="U150" s="538"/>
      <c r="V150" s="538"/>
      <c r="W150" s="538"/>
      <c r="X150" s="538"/>
      <c r="Y150" s="538"/>
      <c r="Z150" s="538"/>
      <c r="AA150" s="538"/>
      <c r="AB150" s="538"/>
      <c r="AC150" s="538"/>
      <c r="AD150" s="538"/>
      <c r="AE150" s="591"/>
      <c r="AF150" s="591"/>
      <c r="AG150" s="591"/>
      <c r="AH150" s="591"/>
      <c r="AI150" s="591"/>
      <c r="AJ150" s="591"/>
      <c r="AK150" s="591"/>
      <c r="AL150" s="591"/>
      <c r="AM150" s="538"/>
      <c r="AN150" s="534"/>
      <c r="AO150" s="446" t="s">
        <v>306</v>
      </c>
      <c r="AP150" s="543"/>
    </row>
    <row r="151" spans="1:42" s="535" customFormat="1" ht="12.75" customHeight="1">
      <c r="A151" s="537"/>
      <c r="B151" s="538" t="s">
        <v>1331</v>
      </c>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38"/>
      <c r="AF151" s="538"/>
      <c r="AG151" s="538"/>
      <c r="AH151" s="538"/>
      <c r="AI151" s="538"/>
      <c r="AJ151" s="538"/>
      <c r="AK151" s="538"/>
      <c r="AL151" s="538"/>
      <c r="AM151" s="538"/>
      <c r="AN151" s="534"/>
      <c r="AO151" s="475" t="s">
        <v>1332</v>
      </c>
      <c r="AP151" s="488">
        <v>5</v>
      </c>
    </row>
    <row r="152" spans="1:42" s="535" customFormat="1" ht="12.75" customHeight="1">
      <c r="A152" s="537"/>
      <c r="B152" s="2477" t="s">
        <v>1333</v>
      </c>
      <c r="C152" s="2477"/>
      <c r="D152" s="2477"/>
      <c r="E152" s="2477"/>
      <c r="F152" s="2477"/>
      <c r="G152" s="2477"/>
      <c r="H152" s="2477"/>
      <c r="I152" s="2477"/>
      <c r="J152" s="2477"/>
      <c r="K152" s="2477"/>
      <c r="L152" s="2477"/>
      <c r="M152" s="2477"/>
      <c r="N152" s="2477"/>
      <c r="O152" s="2477"/>
      <c r="P152" s="2477"/>
      <c r="Q152" s="2477"/>
      <c r="R152" s="2477"/>
      <c r="S152" s="2477"/>
      <c r="T152" s="2477"/>
      <c r="U152" s="2477"/>
      <c r="V152" s="2477"/>
      <c r="W152" s="2477"/>
      <c r="X152" s="2477"/>
      <c r="Y152" s="2477"/>
      <c r="Z152" s="2477"/>
      <c r="AA152" s="2477"/>
      <c r="AB152" s="2477"/>
      <c r="AC152" s="2477"/>
      <c r="AD152" s="2477"/>
      <c r="AE152" s="2477"/>
      <c r="AF152" s="2477"/>
      <c r="AG152" s="2477"/>
      <c r="AH152" s="2477"/>
      <c r="AI152" s="2477"/>
      <c r="AM152" s="538"/>
      <c r="AN152" s="534"/>
      <c r="AO152" s="475" t="s">
        <v>1333</v>
      </c>
      <c r="AP152" s="488">
        <v>7</v>
      </c>
    </row>
    <row r="153" spans="1:42" s="535" customFormat="1" ht="12.95" customHeight="1">
      <c r="A153" s="537"/>
      <c r="B153" s="602"/>
      <c r="C153" s="602"/>
      <c r="D153" s="602"/>
      <c r="E153" s="602"/>
      <c r="F153" s="602"/>
      <c r="G153" s="602"/>
      <c r="H153" s="602"/>
      <c r="I153" s="602"/>
      <c r="J153" s="602"/>
      <c r="K153" s="602"/>
      <c r="L153" s="602"/>
      <c r="M153" s="602"/>
      <c r="N153" s="602"/>
      <c r="O153" s="602"/>
      <c r="P153" s="602"/>
      <c r="Q153" s="602"/>
      <c r="R153" s="602"/>
      <c r="S153" s="602"/>
      <c r="T153" s="602"/>
      <c r="U153" s="602"/>
      <c r="V153" s="602"/>
      <c r="W153" s="602"/>
      <c r="X153" s="602"/>
      <c r="Y153" s="602"/>
      <c r="Z153" s="602"/>
      <c r="AA153" s="602"/>
      <c r="AB153" s="602"/>
      <c r="AC153" s="602"/>
      <c r="AD153" s="588"/>
      <c r="AM153" s="538"/>
      <c r="AN153" s="534"/>
      <c r="AO153" s="475" t="s">
        <v>2624</v>
      </c>
      <c r="AP153" s="488">
        <v>7</v>
      </c>
    </row>
    <row r="154" spans="1:42" s="535" customFormat="1" ht="12.75" customHeight="1">
      <c r="A154" s="537"/>
      <c r="B154" s="538" t="s">
        <v>1334</v>
      </c>
      <c r="AB154" s="2478" t="s">
        <v>589</v>
      </c>
      <c r="AC154" s="2478"/>
      <c r="AD154" s="588"/>
      <c r="AM154" s="538"/>
      <c r="AN154" s="534"/>
      <c r="AO154" s="475"/>
      <c r="AP154" s="475"/>
    </row>
    <row r="155" spans="1:42" s="535" customFormat="1" ht="9" customHeight="1">
      <c r="A155" s="537"/>
      <c r="B155" s="602"/>
      <c r="C155" s="602"/>
      <c r="D155" s="602"/>
      <c r="E155" s="602"/>
      <c r="F155" s="602"/>
      <c r="G155" s="602"/>
      <c r="H155" s="602"/>
      <c r="I155" s="602"/>
      <c r="J155" s="602"/>
      <c r="K155" s="602"/>
      <c r="L155" s="602"/>
      <c r="M155" s="602"/>
      <c r="N155" s="602"/>
      <c r="O155" s="602"/>
      <c r="P155" s="602"/>
      <c r="Q155" s="602"/>
      <c r="R155" s="602"/>
      <c r="S155" s="602"/>
      <c r="T155" s="602"/>
      <c r="U155" s="602"/>
      <c r="V155" s="602"/>
      <c r="W155" s="602"/>
      <c r="X155" s="602"/>
      <c r="Y155" s="602"/>
      <c r="Z155" s="602"/>
      <c r="AA155" s="602"/>
      <c r="AB155" s="602"/>
      <c r="AC155" s="602"/>
      <c r="AD155" s="588"/>
      <c r="AM155" s="538"/>
      <c r="AN155" s="534"/>
      <c r="AO155" s="446" t="s">
        <v>1335</v>
      </c>
      <c r="AP155" s="488"/>
    </row>
    <row r="156" spans="1:42" s="535" customFormat="1" ht="12.75" customHeight="1">
      <c r="A156" s="537"/>
      <c r="B156" s="537" t="s">
        <v>1336</v>
      </c>
      <c r="C156" s="602"/>
      <c r="D156" s="602"/>
      <c r="E156" s="602"/>
      <c r="F156" s="602"/>
      <c r="G156" s="602"/>
      <c r="H156" s="602"/>
      <c r="I156" s="602"/>
      <c r="J156" s="602"/>
      <c r="K156" s="602"/>
      <c r="L156" s="602"/>
      <c r="M156" s="602"/>
      <c r="N156" s="602"/>
      <c r="O156" s="602"/>
      <c r="P156" s="602"/>
      <c r="Q156" s="602"/>
      <c r="R156" s="602"/>
      <c r="S156" s="602"/>
      <c r="T156" s="602"/>
      <c r="U156" s="602"/>
      <c r="V156" s="602"/>
      <c r="W156" s="602"/>
      <c r="X156" s="602"/>
      <c r="Y156" s="602"/>
      <c r="Z156" s="602"/>
      <c r="AA156" s="602"/>
      <c r="AB156" s="602"/>
      <c r="AC156" s="602"/>
      <c r="AD156" s="588"/>
      <c r="AM156" s="538"/>
      <c r="AN156" s="534"/>
      <c r="AO156" s="475" t="s">
        <v>1337</v>
      </c>
      <c r="AP156" s="488">
        <v>5</v>
      </c>
    </row>
    <row r="157" spans="1:42" s="535" customFormat="1" ht="12.75" customHeight="1">
      <c r="A157" s="537"/>
      <c r="B157" s="2477" t="s">
        <v>1335</v>
      </c>
      <c r="C157" s="2477"/>
      <c r="D157" s="2477"/>
      <c r="E157" s="2477"/>
      <c r="F157" s="2477"/>
      <c r="G157" s="2477"/>
      <c r="H157" s="2477"/>
      <c r="I157" s="2477"/>
      <c r="J157" s="2477"/>
      <c r="K157" s="2477"/>
      <c r="L157" s="2477"/>
      <c r="M157" s="2477"/>
      <c r="N157" s="2477"/>
      <c r="O157" s="2477"/>
      <c r="P157" s="2477"/>
      <c r="Q157" s="2477"/>
      <c r="R157" s="2477"/>
      <c r="S157" s="2477"/>
      <c r="T157" s="2477"/>
      <c r="U157" s="2477"/>
      <c r="V157" s="2477"/>
      <c r="W157" s="2477"/>
      <c r="X157" s="2477"/>
      <c r="Y157" s="2477"/>
      <c r="Z157" s="2477"/>
      <c r="AA157" s="2477"/>
      <c r="AB157" s="2477"/>
      <c r="AC157" s="2477"/>
      <c r="AD157" s="2477"/>
      <c r="AE157" s="2477"/>
      <c r="AF157" s="2477"/>
      <c r="AG157" s="2477"/>
      <c r="AH157" s="2477"/>
      <c r="AI157" s="2477"/>
      <c r="AJ157" s="2477"/>
      <c r="AN157" s="534"/>
      <c r="AO157" s="475" t="s">
        <v>1338</v>
      </c>
      <c r="AP157" s="488">
        <v>7</v>
      </c>
    </row>
    <row r="158" spans="1:42" s="535" customFormat="1" ht="12.75" customHeight="1">
      <c r="B158" s="538" t="s">
        <v>1339</v>
      </c>
      <c r="C158" s="602"/>
      <c r="D158" s="602"/>
      <c r="E158" s="602"/>
      <c r="F158" s="602"/>
      <c r="G158" s="602"/>
      <c r="H158" s="602"/>
      <c r="I158" s="602"/>
      <c r="J158" s="602"/>
      <c r="K158" s="602"/>
      <c r="L158" s="602"/>
      <c r="M158" s="602"/>
      <c r="N158" s="602"/>
      <c r="O158" s="602"/>
      <c r="P158" s="602"/>
      <c r="Q158" s="602"/>
      <c r="R158" s="602"/>
      <c r="S158" s="602"/>
      <c r="T158" s="602"/>
      <c r="U158" s="602"/>
      <c r="AM158" s="538"/>
      <c r="AN158" s="534"/>
      <c r="AO158" s="475"/>
      <c r="AP158" s="488"/>
    </row>
    <row r="159" spans="1:42" s="535" customFormat="1" ht="12.75" customHeight="1">
      <c r="B159" s="538"/>
      <c r="C159" s="602"/>
      <c r="D159" s="602"/>
      <c r="E159" s="602"/>
      <c r="F159" s="602"/>
      <c r="G159" s="602"/>
      <c r="H159" s="602"/>
      <c r="I159" s="602"/>
      <c r="J159" s="602"/>
      <c r="K159" s="602"/>
      <c r="L159" s="602"/>
      <c r="M159" s="602"/>
      <c r="N159" s="602"/>
      <c r="O159" s="602"/>
      <c r="P159" s="602"/>
      <c r="Q159" s="602"/>
      <c r="R159" s="602"/>
      <c r="S159" s="602"/>
      <c r="T159" s="602"/>
      <c r="U159" s="602"/>
      <c r="AM159" s="538"/>
      <c r="AN159" s="534"/>
      <c r="AO159" s="475"/>
      <c r="AP159" s="488"/>
    </row>
    <row r="160" spans="1:42" s="535" customFormat="1" ht="12.75" customHeight="1">
      <c r="B160" s="2642" t="s">
        <v>2404</v>
      </c>
      <c r="C160" s="2642"/>
      <c r="D160" s="2642"/>
      <c r="E160" s="2642"/>
      <c r="F160" s="2642"/>
      <c r="G160" s="2642"/>
      <c r="H160" s="2642"/>
      <c r="I160" s="2642"/>
      <c r="J160" s="2642"/>
      <c r="K160" s="2642"/>
      <c r="L160" s="2642"/>
      <c r="M160" s="2642"/>
      <c r="N160" s="2642"/>
      <c r="O160" s="2642"/>
      <c r="P160" s="2642"/>
      <c r="Q160" s="2642"/>
      <c r="R160" s="2642"/>
      <c r="S160" s="2642"/>
      <c r="T160" s="2642"/>
      <c r="U160" s="2642"/>
      <c r="V160" s="2642"/>
      <c r="W160" s="2642"/>
      <c r="X160" s="2642"/>
      <c r="Y160" s="2642"/>
      <c r="Z160" s="2642"/>
      <c r="AA160" s="2642"/>
      <c r="AB160" s="2642"/>
      <c r="AC160" s="2642"/>
      <c r="AD160" s="2642"/>
      <c r="AE160" s="2642"/>
      <c r="AF160" s="2642"/>
      <c r="AG160" s="2642"/>
      <c r="AH160" s="2642"/>
      <c r="AI160" s="2642"/>
      <c r="AJ160" s="2642"/>
      <c r="AK160" s="1172"/>
      <c r="AM160" s="538"/>
      <c r="AN160" s="534"/>
      <c r="AO160" s="475"/>
      <c r="AP160" s="488"/>
    </row>
    <row r="161" spans="1:42" s="535" customFormat="1" ht="12.75" customHeight="1">
      <c r="B161" s="2642"/>
      <c r="C161" s="2642"/>
      <c r="D161" s="2642"/>
      <c r="E161" s="2642"/>
      <c r="F161" s="2642"/>
      <c r="G161" s="2642"/>
      <c r="H161" s="2642"/>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42"/>
      <c r="AD161" s="2642"/>
      <c r="AE161" s="2642"/>
      <c r="AF161" s="2642"/>
      <c r="AG161" s="2642"/>
      <c r="AH161" s="2642"/>
      <c r="AI161" s="2642"/>
      <c r="AJ161" s="2642"/>
      <c r="AK161" s="1172"/>
      <c r="AM161" s="538"/>
      <c r="AN161" s="534"/>
      <c r="AO161" s="475"/>
      <c r="AP161" s="488"/>
    </row>
    <row r="162" spans="1:42" s="535" customFormat="1" ht="12.75" customHeight="1">
      <c r="C162" s="2553" t="s">
        <v>2405</v>
      </c>
      <c r="D162" s="2553"/>
      <c r="E162" s="2553"/>
      <c r="F162" s="2553"/>
      <c r="G162" s="2553"/>
      <c r="H162" s="2553"/>
      <c r="I162" s="2553"/>
      <c r="J162" s="2553"/>
      <c r="K162" s="2553"/>
      <c r="L162" s="2553"/>
      <c r="M162" s="2553"/>
      <c r="N162" s="2553"/>
      <c r="O162" s="2553"/>
      <c r="P162" s="2553"/>
      <c r="Q162" s="2553"/>
      <c r="R162" s="2553"/>
      <c r="S162" s="2553"/>
      <c r="T162" s="2553"/>
      <c r="U162" s="2553"/>
      <c r="V162" s="2553"/>
      <c r="W162" s="2553"/>
      <c r="X162" s="2553"/>
      <c r="Y162" s="2553"/>
      <c r="Z162" s="2553"/>
      <c r="AA162" s="2553"/>
      <c r="AB162" s="2553"/>
      <c r="AC162" s="2553"/>
      <c r="AD162" s="2553"/>
      <c r="AE162" s="2553"/>
      <c r="AF162" s="2553"/>
      <c r="AG162" s="2553"/>
      <c r="AH162" s="2553"/>
      <c r="AI162" s="2553"/>
      <c r="AJ162" s="2553"/>
      <c r="AK162" s="1172"/>
      <c r="AM162" s="538"/>
      <c r="AN162" s="534"/>
      <c r="AO162" s="475"/>
      <c r="AP162" s="488"/>
    </row>
    <row r="163" spans="1:42" s="535" customFormat="1" ht="12.75" customHeight="1">
      <c r="B163" s="1172"/>
      <c r="C163" s="2475" t="s">
        <v>2403</v>
      </c>
      <c r="D163" s="2475"/>
      <c r="E163" s="2475"/>
      <c r="F163" s="2475"/>
      <c r="G163" s="2475"/>
      <c r="H163" s="2475"/>
      <c r="I163" s="2475"/>
      <c r="J163" s="2475"/>
      <c r="K163" s="2475"/>
      <c r="L163" s="2475"/>
      <c r="M163" s="2475"/>
      <c r="N163" s="2475"/>
      <c r="O163" s="2475"/>
      <c r="P163" s="2475"/>
      <c r="Q163" s="2475"/>
      <c r="R163" s="2475"/>
      <c r="S163" s="2475"/>
      <c r="T163" s="2475"/>
      <c r="U163" s="2475"/>
      <c r="V163" s="2475"/>
      <c r="W163" s="2475"/>
      <c r="X163" s="2475"/>
      <c r="Y163" s="2475"/>
      <c r="Z163" s="2475"/>
      <c r="AA163" s="1162"/>
      <c r="AB163" s="1162"/>
      <c r="AC163" s="1162"/>
      <c r="AD163" s="1162"/>
      <c r="AE163" s="1162"/>
      <c r="AF163" s="1162"/>
      <c r="AG163" s="1162"/>
      <c r="AH163" s="1162"/>
      <c r="AJ163" s="2478" t="s">
        <v>589</v>
      </c>
      <c r="AK163" s="2478"/>
      <c r="AM163" s="538"/>
      <c r="AN163" s="534"/>
      <c r="AO163" s="475"/>
      <c r="AP163" s="488"/>
    </row>
    <row r="164" spans="1:42" s="535" customFormat="1" ht="12.75" customHeight="1">
      <c r="AM164" s="538"/>
      <c r="AN164" s="534"/>
    </row>
    <row r="165" spans="1:42" s="548" customFormat="1" ht="12.75" customHeight="1">
      <c r="A165" s="597"/>
      <c r="B165" s="598"/>
      <c r="C165" s="598"/>
      <c r="D165" s="598"/>
      <c r="E165" s="598"/>
      <c r="F165" s="598"/>
      <c r="G165" s="598"/>
      <c r="H165" s="598"/>
      <c r="I165" s="598"/>
      <c r="J165" s="598"/>
      <c r="K165" s="598"/>
      <c r="L165" s="598"/>
      <c r="M165" s="598"/>
      <c r="N165" s="598"/>
      <c r="O165" s="598"/>
      <c r="P165" s="598"/>
      <c r="Q165" s="598"/>
      <c r="R165" s="598"/>
      <c r="S165" s="598"/>
      <c r="T165" s="598"/>
      <c r="U165" s="598"/>
      <c r="V165" s="598"/>
      <c r="W165" s="598"/>
      <c r="X165" s="598"/>
      <c r="Y165" s="598"/>
      <c r="Z165" s="598"/>
      <c r="AA165" s="598"/>
      <c r="AB165" s="598"/>
      <c r="AC165" s="598"/>
      <c r="AD165" s="598"/>
      <c r="AE165" s="598"/>
      <c r="AF165" s="598"/>
      <c r="AG165" s="598"/>
      <c r="AH165" s="598"/>
      <c r="AI165" s="562" t="s">
        <v>1341</v>
      </c>
      <c r="AJ165" s="2481">
        <f>IF($AB$154="N/A",VLOOKUP($B$152,$AO$150:$AP$153,2,FALSE),VLOOKUP($B$157,$AO$155:$AP$157,2,FALSE))</f>
        <v>7</v>
      </c>
      <c r="AK165" s="2481"/>
      <c r="AL165" s="592"/>
      <c r="AM165" s="535"/>
      <c r="AN165" s="595"/>
    </row>
    <row r="166" spans="1:42" s="548" customFormat="1" ht="12.75" customHeight="1">
      <c r="A166" s="592"/>
      <c r="B166" s="592"/>
      <c r="C166" s="535"/>
      <c r="D166" s="535"/>
      <c r="E166" s="535"/>
      <c r="F166" s="535"/>
      <c r="G166" s="535"/>
      <c r="H166" s="535"/>
      <c r="I166" s="535"/>
      <c r="J166" s="535"/>
      <c r="K166" s="535"/>
      <c r="L166" s="535"/>
      <c r="M166" s="535"/>
      <c r="N166" s="535"/>
      <c r="O166" s="535"/>
      <c r="P166" s="535"/>
      <c r="Q166" s="535"/>
      <c r="R166" s="535"/>
      <c r="S166" s="535"/>
      <c r="T166" s="535"/>
      <c r="U166" s="535"/>
      <c r="V166" s="535"/>
      <c r="W166" s="535"/>
      <c r="X166" s="535"/>
      <c r="Y166" s="535"/>
      <c r="Z166" s="535"/>
      <c r="AA166" s="535"/>
      <c r="AB166" s="535"/>
      <c r="AC166" s="535"/>
      <c r="AD166" s="535"/>
      <c r="AE166" s="535"/>
      <c r="AF166" s="535"/>
      <c r="AG166" s="535"/>
      <c r="AH166" s="535"/>
      <c r="AI166" s="535"/>
      <c r="AJ166" s="535"/>
      <c r="AK166" s="535"/>
      <c r="AL166" s="535"/>
      <c r="AM166" s="535"/>
      <c r="AN166" s="595"/>
    </row>
    <row r="167" spans="1:42" s="548" customFormat="1" ht="12.75" customHeight="1">
      <c r="A167" s="535"/>
      <c r="B167" s="537" t="s">
        <v>1343</v>
      </c>
      <c r="C167" s="538"/>
      <c r="D167" s="535"/>
      <c r="E167" s="639"/>
      <c r="F167" s="639"/>
      <c r="G167" s="639"/>
      <c r="H167" s="639"/>
      <c r="I167" s="639"/>
      <c r="J167" s="639"/>
      <c r="K167" s="639"/>
      <c r="L167" s="639"/>
      <c r="M167" s="639"/>
      <c r="N167" s="639"/>
      <c r="O167" s="639"/>
      <c r="P167" s="639"/>
      <c r="Q167" s="639"/>
      <c r="R167" s="639"/>
      <c r="S167" s="639"/>
      <c r="T167" s="639"/>
      <c r="U167" s="639"/>
      <c r="V167" s="639"/>
      <c r="W167" s="639"/>
      <c r="X167" s="639"/>
      <c r="Y167" s="639"/>
      <c r="Z167" s="639"/>
      <c r="AA167" s="639"/>
      <c r="AB167" s="639"/>
      <c r="AC167" s="639"/>
      <c r="AD167" s="639"/>
      <c r="AE167" s="535"/>
      <c r="AF167" s="2466" t="s">
        <v>1344</v>
      </c>
      <c r="AG167" s="2466"/>
      <c r="AH167" s="2466"/>
      <c r="AI167" s="2466"/>
      <c r="AJ167" s="2466"/>
      <c r="AK167" s="2466"/>
      <c r="AL167" s="2466"/>
      <c r="AM167" s="600"/>
      <c r="AN167" s="595"/>
    </row>
    <row r="168" spans="1:42" s="548" customFormat="1" ht="12.75" customHeight="1">
      <c r="A168" s="535"/>
      <c r="B168" s="538" t="s">
        <v>1345</v>
      </c>
      <c r="C168" s="535"/>
      <c r="D168" s="535"/>
      <c r="E168" s="535"/>
      <c r="F168" s="535"/>
      <c r="G168" s="535"/>
      <c r="H168" s="535"/>
      <c r="I168" s="535"/>
      <c r="J168" s="535"/>
      <c r="K168" s="535"/>
      <c r="L168" s="535"/>
      <c r="M168" s="535"/>
      <c r="N168" s="535"/>
      <c r="O168" s="535"/>
      <c r="P168" s="535"/>
      <c r="Q168" s="535"/>
      <c r="R168" s="535"/>
      <c r="S168" s="535"/>
      <c r="T168" s="535"/>
      <c r="U168" s="535"/>
      <c r="V168" s="535"/>
      <c r="W168" s="535"/>
      <c r="X168" s="535"/>
      <c r="Y168" s="535"/>
      <c r="Z168" s="535"/>
      <c r="AA168" s="538"/>
      <c r="AB168" s="538"/>
      <c r="AC168" s="538"/>
      <c r="AD168" s="538"/>
      <c r="AE168" s="535"/>
      <c r="AF168" s="535"/>
      <c r="AG168" s="535"/>
      <c r="AH168" s="535"/>
      <c r="AI168" s="535"/>
      <c r="AJ168" s="535"/>
      <c r="AK168" s="535"/>
      <c r="AL168" s="535"/>
      <c r="AM168" s="600"/>
      <c r="AN168" s="595"/>
    </row>
    <row r="169" spans="1:42" s="548" customFormat="1" ht="12.75" customHeight="1">
      <c r="A169" s="535"/>
      <c r="B169" s="535"/>
      <c r="C169" s="2477" t="s">
        <v>1342</v>
      </c>
      <c r="D169" s="2477"/>
      <c r="E169" s="2477"/>
      <c r="F169" s="2477"/>
      <c r="G169" s="2477"/>
      <c r="H169" s="2477"/>
      <c r="I169" s="2477"/>
      <c r="J169" s="2477"/>
      <c r="K169" s="2477"/>
      <c r="L169" s="2477"/>
      <c r="M169" s="2477"/>
      <c r="N169" s="2477"/>
      <c r="O169" s="2477"/>
      <c r="P169" s="2477"/>
      <c r="Q169" s="2477"/>
      <c r="R169" s="2477"/>
      <c r="S169" s="2477"/>
      <c r="T169" s="2477"/>
      <c r="U169" s="2477"/>
      <c r="V169" s="2477"/>
      <c r="W169" s="2477"/>
      <c r="X169" s="2477"/>
      <c r="Y169" s="2477"/>
      <c r="Z169" s="2477"/>
      <c r="AA169" s="2477"/>
      <c r="AB169" s="2477"/>
      <c r="AC169" s="2477"/>
      <c r="AD169" s="2477"/>
      <c r="AE169" s="2477"/>
      <c r="AF169" s="2477"/>
      <c r="AG169" s="2477"/>
      <c r="AH169" s="2477"/>
      <c r="AI169" s="2477"/>
      <c r="AJ169" s="535"/>
      <c r="AK169" s="535"/>
      <c r="AL169" s="535"/>
      <c r="AM169" s="600"/>
      <c r="AN169" s="594"/>
      <c r="AO169" s="475" t="s">
        <v>306</v>
      </c>
      <c r="AP169" s="475"/>
    </row>
    <row r="170" spans="1:42" s="548" customFormat="1" ht="12.95" customHeight="1">
      <c r="A170" s="535"/>
      <c r="B170" s="535"/>
      <c r="C170" s="602"/>
      <c r="D170" s="602"/>
      <c r="E170" s="602"/>
      <c r="F170" s="602"/>
      <c r="G170" s="602"/>
      <c r="H170" s="602"/>
      <c r="I170" s="602"/>
      <c r="J170" s="602"/>
      <c r="K170" s="602"/>
      <c r="L170" s="602"/>
      <c r="M170" s="602"/>
      <c r="N170" s="602"/>
      <c r="O170" s="602"/>
      <c r="P170" s="602"/>
      <c r="Q170" s="602"/>
      <c r="R170" s="602"/>
      <c r="S170" s="602"/>
      <c r="T170" s="602"/>
      <c r="U170" s="602"/>
      <c r="V170" s="602"/>
      <c r="W170" s="602"/>
      <c r="X170" s="602"/>
      <c r="Y170" s="602"/>
      <c r="Z170" s="602"/>
      <c r="AA170" s="602"/>
      <c r="AB170" s="602"/>
      <c r="AC170" s="602"/>
      <c r="AD170" s="602"/>
      <c r="AE170" s="535"/>
      <c r="AF170" s="535"/>
      <c r="AG170" s="535"/>
      <c r="AH170" s="535"/>
      <c r="AI170" s="535"/>
      <c r="AJ170" s="535"/>
      <c r="AK170" s="535"/>
      <c r="AL170" s="535"/>
      <c r="AM170" s="600"/>
      <c r="AN170" s="594"/>
      <c r="AO170" s="475" t="s">
        <v>1340</v>
      </c>
      <c r="AP170" s="596">
        <v>2</v>
      </c>
    </row>
    <row r="171" spans="1:42" s="548" customFormat="1" ht="12.75" customHeight="1">
      <c r="A171" s="535"/>
      <c r="B171" s="535"/>
      <c r="C171" s="538" t="s">
        <v>1347</v>
      </c>
      <c r="D171" s="535"/>
      <c r="E171" s="535"/>
      <c r="F171" s="535"/>
      <c r="G171" s="535"/>
      <c r="H171" s="535"/>
      <c r="I171" s="535"/>
      <c r="J171" s="535"/>
      <c r="K171" s="535"/>
      <c r="L171" s="535"/>
      <c r="M171" s="535"/>
      <c r="N171" s="535"/>
      <c r="O171" s="535"/>
      <c r="P171" s="535"/>
      <c r="Q171" s="535"/>
      <c r="R171" s="535"/>
      <c r="S171" s="535"/>
      <c r="T171" s="535"/>
      <c r="U171" s="535"/>
      <c r="V171" s="535"/>
      <c r="W171" s="535"/>
      <c r="X171" s="535"/>
      <c r="Y171" s="535"/>
      <c r="Z171" s="535"/>
      <c r="AA171" s="535"/>
      <c r="AB171" s="535"/>
      <c r="AE171" s="535"/>
      <c r="AF171" s="2478" t="s">
        <v>589</v>
      </c>
      <c r="AG171" s="2478"/>
      <c r="AH171" s="535"/>
      <c r="AI171" s="535"/>
      <c r="AJ171" s="535"/>
      <c r="AK171" s="535"/>
      <c r="AL171" s="535"/>
      <c r="AM171" s="600"/>
      <c r="AN171" s="594"/>
      <c r="AO171" s="475" t="s">
        <v>1342</v>
      </c>
      <c r="AP171" s="596">
        <v>3</v>
      </c>
    </row>
    <row r="172" spans="1:42" s="548" customFormat="1" ht="9" customHeight="1">
      <c r="A172" s="535"/>
      <c r="B172" s="535"/>
      <c r="C172" s="602"/>
      <c r="D172" s="602"/>
      <c r="E172" s="602"/>
      <c r="F172" s="602"/>
      <c r="G172" s="602"/>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535"/>
      <c r="AF172" s="535"/>
      <c r="AG172" s="535"/>
      <c r="AJ172" s="535"/>
      <c r="AK172" s="535"/>
      <c r="AL172" s="535"/>
      <c r="AM172" s="600"/>
      <c r="AN172" s="594"/>
      <c r="AO172" s="599" t="s">
        <v>2121</v>
      </c>
      <c r="AP172" s="596">
        <v>3</v>
      </c>
    </row>
    <row r="173" spans="1:42" s="548" customFormat="1" ht="12.75" customHeight="1">
      <c r="A173" s="535"/>
      <c r="B173" s="535"/>
      <c r="C173" s="2477" t="s">
        <v>1335</v>
      </c>
      <c r="D173" s="2477"/>
      <c r="E173" s="2477"/>
      <c r="F173" s="2477"/>
      <c r="G173" s="2477"/>
      <c r="H173" s="2477"/>
      <c r="I173" s="2477"/>
      <c r="J173" s="2477"/>
      <c r="K173" s="2477"/>
      <c r="L173" s="2477"/>
      <c r="M173" s="2477"/>
      <c r="N173" s="2477"/>
      <c r="O173" s="2477"/>
      <c r="P173" s="2477"/>
      <c r="Q173" s="2477"/>
      <c r="R173" s="2477"/>
      <c r="S173" s="2477"/>
      <c r="T173" s="2477"/>
      <c r="U173" s="2477"/>
      <c r="V173" s="2477"/>
      <c r="W173" s="2477"/>
      <c r="X173" s="2477"/>
      <c r="Y173" s="2477"/>
      <c r="Z173" s="2477"/>
      <c r="AA173" s="2477"/>
      <c r="AB173" s="2477"/>
      <c r="AC173" s="2477"/>
      <c r="AD173" s="2477"/>
      <c r="AE173" s="535"/>
      <c r="AF173" s="535"/>
      <c r="AG173" s="535"/>
      <c r="AH173" s="535"/>
      <c r="AI173" s="535"/>
      <c r="AJ173" s="535"/>
      <c r="AK173" s="535"/>
      <c r="AL173" s="535"/>
      <c r="AM173" s="600"/>
      <c r="AN173" s="594"/>
      <c r="AO173" s="599"/>
      <c r="AP173" s="596"/>
    </row>
    <row r="174" spans="1:42" s="548" customFormat="1" ht="12.75" customHeight="1">
      <c r="A174" s="535"/>
      <c r="B174" s="535"/>
      <c r="C174" s="538" t="s">
        <v>1339</v>
      </c>
      <c r="D174" s="538"/>
      <c r="E174" s="538"/>
      <c r="F174" s="538"/>
      <c r="G174" s="538"/>
      <c r="H174" s="538"/>
      <c r="I174" s="538"/>
      <c r="J174" s="538"/>
      <c r="K174" s="538"/>
      <c r="L174" s="538"/>
      <c r="M174" s="538"/>
      <c r="N174" s="538"/>
      <c r="O174" s="538"/>
      <c r="P174" s="538"/>
      <c r="Q174" s="538"/>
      <c r="R174" s="538"/>
      <c r="S174" s="538"/>
      <c r="T174" s="538"/>
      <c r="U174" s="538"/>
      <c r="V174" s="538"/>
      <c r="W174" s="538"/>
      <c r="X174" s="538"/>
      <c r="Y174" s="538"/>
      <c r="Z174" s="538"/>
      <c r="AA174" s="538"/>
      <c r="AB174" s="538"/>
      <c r="AC174" s="538"/>
      <c r="AD174" s="538"/>
      <c r="AE174" s="538"/>
      <c r="AF174" s="538"/>
      <c r="AG174" s="538"/>
      <c r="AH174" s="538"/>
      <c r="AI174" s="538"/>
      <c r="AJ174" s="538"/>
      <c r="AK174" s="538"/>
      <c r="AL174" s="535"/>
      <c r="AM174" s="600"/>
      <c r="AN174" s="594"/>
      <c r="AO174" s="601"/>
      <c r="AP174" s="601"/>
    </row>
    <row r="175" spans="1:42" s="548" customFormat="1" ht="12.75" customHeight="1">
      <c r="A175" s="535"/>
      <c r="B175" s="535"/>
      <c r="C175" s="535"/>
      <c r="D175" s="535"/>
      <c r="E175" s="535"/>
      <c r="F175" s="535"/>
      <c r="G175" s="535"/>
      <c r="H175" s="535"/>
      <c r="I175" s="535"/>
      <c r="J175" s="535"/>
      <c r="K175" s="535"/>
      <c r="L175" s="535"/>
      <c r="M175" s="535"/>
      <c r="N175" s="535"/>
      <c r="O175" s="535"/>
      <c r="P175" s="535"/>
      <c r="Q175" s="535"/>
      <c r="R175" s="535"/>
      <c r="S175" s="535"/>
      <c r="T175" s="535"/>
      <c r="U175" s="535"/>
      <c r="V175" s="535"/>
      <c r="W175" s="535"/>
      <c r="X175" s="535"/>
      <c r="Y175" s="535"/>
      <c r="Z175" s="535"/>
      <c r="AA175" s="535"/>
      <c r="AB175" s="535"/>
      <c r="AC175" s="535"/>
      <c r="AD175" s="535"/>
      <c r="AE175" s="535"/>
      <c r="AF175" s="535"/>
      <c r="AG175" s="535"/>
      <c r="AH175" s="535"/>
      <c r="AI175" s="535"/>
      <c r="AJ175" s="535"/>
      <c r="AK175" s="535"/>
      <c r="AL175" s="535"/>
      <c r="AM175" s="600"/>
      <c r="AN175" s="594"/>
    </row>
    <row r="176" spans="1:42" s="548" customFormat="1" ht="12.75" customHeight="1">
      <c r="A176" s="535"/>
      <c r="B176" s="535"/>
      <c r="C176" s="537" t="s">
        <v>1349</v>
      </c>
      <c r="D176" s="602"/>
      <c r="E176" s="602"/>
      <c r="F176" s="602"/>
      <c r="G176" s="602"/>
      <c r="H176" s="602"/>
      <c r="I176" s="602"/>
      <c r="J176" s="602"/>
      <c r="K176" s="602"/>
      <c r="L176" s="602"/>
      <c r="M176" s="602"/>
      <c r="N176" s="602"/>
      <c r="O176" s="602"/>
      <c r="P176" s="602"/>
      <c r="Q176" s="602"/>
      <c r="R176" s="602"/>
      <c r="S176" s="602"/>
      <c r="T176" s="602"/>
      <c r="U176" s="602"/>
      <c r="V176" s="602"/>
      <c r="W176" s="602"/>
      <c r="X176" s="602"/>
      <c r="Y176" s="602"/>
      <c r="Z176" s="602"/>
      <c r="AA176" s="602"/>
      <c r="AB176" s="602"/>
      <c r="AC176" s="602"/>
      <c r="AD176" s="602"/>
      <c r="AE176" s="535"/>
      <c r="AF176" s="535"/>
      <c r="AG176" s="535"/>
      <c r="AH176" s="535"/>
      <c r="AI176" s="535"/>
      <c r="AJ176" s="535"/>
      <c r="AK176" s="535"/>
      <c r="AL176" s="535"/>
      <c r="AM176" s="600"/>
      <c r="AN176" s="594"/>
      <c r="AO176" s="475" t="s">
        <v>1335</v>
      </c>
      <c r="AP176" s="475"/>
    </row>
    <row r="177" spans="1:73" s="548" customFormat="1" ht="12.75" customHeight="1">
      <c r="A177" s="535"/>
      <c r="B177" s="535"/>
      <c r="C177" s="2479" t="str">
        <f>Application!AA344</f>
        <v>WinnResidential</v>
      </c>
      <c r="D177" s="2479"/>
      <c r="E177" s="2479"/>
      <c r="F177" s="2479"/>
      <c r="G177" s="2479"/>
      <c r="H177" s="2479"/>
      <c r="I177" s="2479"/>
      <c r="J177" s="2479"/>
      <c r="K177" s="2479"/>
      <c r="L177" s="2479"/>
      <c r="M177" s="2479"/>
      <c r="N177" s="2479"/>
      <c r="O177" s="2479"/>
      <c r="P177" s="2479"/>
      <c r="Q177" s="2479"/>
      <c r="R177" s="2479"/>
      <c r="S177" s="2479"/>
      <c r="T177" s="2479"/>
      <c r="U177" s="2479"/>
      <c r="V177" s="2479"/>
      <c r="W177" s="2479"/>
      <c r="X177" s="2479"/>
      <c r="Y177" s="2479"/>
      <c r="Z177" s="2479"/>
      <c r="AA177" s="2479"/>
      <c r="AB177" s="2479"/>
      <c r="AC177" s="2479"/>
      <c r="AD177" s="2479"/>
      <c r="AE177" s="535"/>
      <c r="AF177" s="535"/>
      <c r="AG177" s="535"/>
      <c r="AH177" s="535"/>
      <c r="AI177" s="535"/>
      <c r="AJ177" s="535"/>
      <c r="AK177" s="535"/>
      <c r="AL177" s="535"/>
      <c r="AM177" s="600"/>
      <c r="AN177" s="594"/>
      <c r="AO177" s="475" t="s">
        <v>1346</v>
      </c>
      <c r="AP177" s="596">
        <v>2</v>
      </c>
    </row>
    <row r="178" spans="1:73" s="548" customFormat="1" ht="12.75" customHeight="1">
      <c r="A178" s="535"/>
      <c r="B178" s="535"/>
      <c r="C178" s="602"/>
      <c r="D178" s="602"/>
      <c r="E178" s="602"/>
      <c r="F178" s="602"/>
      <c r="G178" s="602"/>
      <c r="H178" s="602"/>
      <c r="I178" s="602"/>
      <c r="J178" s="602"/>
      <c r="K178" s="602"/>
      <c r="L178" s="602"/>
      <c r="M178" s="602"/>
      <c r="N178" s="602"/>
      <c r="O178" s="602"/>
      <c r="P178" s="602"/>
      <c r="Q178" s="602"/>
      <c r="R178" s="602"/>
      <c r="S178" s="602"/>
      <c r="T178" s="602"/>
      <c r="U178" s="602"/>
      <c r="V178" s="602"/>
      <c r="W178" s="602"/>
      <c r="X178" s="602"/>
      <c r="Y178" s="602"/>
      <c r="Z178" s="602"/>
      <c r="AA178" s="602"/>
      <c r="AB178" s="602"/>
      <c r="AC178" s="602"/>
      <c r="AD178" s="602"/>
      <c r="AE178" s="535"/>
      <c r="AF178" s="535"/>
      <c r="AG178" s="535"/>
      <c r="AH178" s="535"/>
      <c r="AI178" s="535"/>
      <c r="AJ178" s="535"/>
      <c r="AK178" s="535"/>
      <c r="AL178" s="535"/>
      <c r="AM178" s="600"/>
      <c r="AN178" s="594"/>
      <c r="AO178" s="475" t="s">
        <v>1348</v>
      </c>
      <c r="AP178" s="596">
        <v>3</v>
      </c>
    </row>
    <row r="179" spans="1:73" s="548" customFormat="1" ht="12.75" customHeight="1">
      <c r="A179" s="603"/>
      <c r="B179" s="561"/>
      <c r="C179" s="561"/>
      <c r="D179" s="560"/>
      <c r="E179" s="561"/>
      <c r="F179" s="561"/>
      <c r="G179" s="561"/>
      <c r="H179" s="561"/>
      <c r="I179" s="561"/>
      <c r="J179" s="561"/>
      <c r="K179" s="561"/>
      <c r="L179" s="561"/>
      <c r="M179" s="561"/>
      <c r="N179" s="561"/>
      <c r="O179" s="561"/>
      <c r="P179" s="561"/>
      <c r="Q179" s="598"/>
      <c r="R179" s="604"/>
      <c r="S179" s="561"/>
      <c r="T179" s="561"/>
      <c r="U179" s="561"/>
      <c r="V179" s="561"/>
      <c r="W179" s="561"/>
      <c r="X179" s="561"/>
      <c r="Y179" s="561"/>
      <c r="Z179" s="561"/>
      <c r="AA179" s="561"/>
      <c r="AB179" s="561"/>
      <c r="AC179" s="561"/>
      <c r="AD179" s="561"/>
      <c r="AE179" s="561"/>
      <c r="AF179" s="561"/>
      <c r="AG179" s="561"/>
      <c r="AH179" s="561"/>
      <c r="AI179" s="562" t="s">
        <v>1350</v>
      </c>
      <c r="AJ179" s="2480">
        <f>IF($AF$171="N/A",VLOOKUP($C$169,$AO$169:$AP$172,2,FALSE),VLOOKUP($C$173,$AO$176:$AP$178,2,FALSE))</f>
        <v>3</v>
      </c>
      <c r="AK179" s="2480"/>
      <c r="AL179" s="605"/>
      <c r="AM179" s="606"/>
      <c r="AN179" s="594"/>
      <c r="AO179" s="599"/>
      <c r="AP179" s="596"/>
    </row>
    <row r="180" spans="1:73" s="548" customFormat="1" ht="12.75" customHeight="1">
      <c r="A180" s="535"/>
      <c r="B180" s="607"/>
      <c r="R180" s="535"/>
      <c r="S180" s="607"/>
      <c r="AN180" s="594"/>
    </row>
    <row r="181" spans="1:73" s="548" customFormat="1" ht="12.75" customHeight="1">
      <c r="A181" s="608"/>
      <c r="B181" s="600"/>
      <c r="C181" s="600"/>
      <c r="D181" s="600"/>
      <c r="E181" s="600"/>
      <c r="F181" s="600"/>
      <c r="G181" s="600"/>
      <c r="H181" s="600"/>
      <c r="I181" s="600"/>
      <c r="J181" s="600"/>
      <c r="K181" s="600"/>
      <c r="L181" s="600"/>
      <c r="M181" s="600"/>
      <c r="N181" s="600"/>
      <c r="O181" s="600"/>
      <c r="P181" s="600"/>
      <c r="Q181" s="600"/>
      <c r="R181" s="600"/>
      <c r="S181" s="600"/>
      <c r="T181" s="600"/>
      <c r="U181" s="600"/>
      <c r="V181" s="600"/>
      <c r="W181" s="600"/>
      <c r="X181" s="600"/>
      <c r="Y181" s="600"/>
      <c r="Z181" s="600"/>
      <c r="AA181" s="600"/>
      <c r="AB181" s="600"/>
      <c r="AC181" s="600"/>
      <c r="AD181" s="600"/>
      <c r="AE181" s="600"/>
      <c r="AF181" s="600"/>
      <c r="AG181" s="600"/>
      <c r="AH181" s="600"/>
      <c r="AI181" s="600"/>
      <c r="AJ181" s="600"/>
      <c r="AK181" s="600"/>
      <c r="AL181" s="600"/>
      <c r="AM181" s="600"/>
      <c r="AN181" s="594"/>
    </row>
    <row r="182" spans="1:73" s="548" customFormat="1" ht="12.75" customHeight="1">
      <c r="A182" s="558"/>
      <c r="B182" s="559"/>
      <c r="C182" s="559"/>
      <c r="D182" s="559"/>
      <c r="E182" s="559"/>
      <c r="F182" s="559"/>
      <c r="G182" s="560"/>
      <c r="H182" s="561"/>
      <c r="I182" s="561"/>
      <c r="J182" s="561"/>
      <c r="K182" s="561"/>
      <c r="L182" s="561"/>
      <c r="M182" s="561"/>
      <c r="N182" s="561"/>
      <c r="O182" s="561"/>
      <c r="P182" s="561"/>
      <c r="Q182" s="561"/>
      <c r="R182" s="561"/>
      <c r="S182" s="561"/>
      <c r="T182" s="561"/>
      <c r="U182" s="561"/>
      <c r="V182" s="561"/>
      <c r="W182" s="561"/>
      <c r="X182" s="561"/>
      <c r="Y182" s="561"/>
      <c r="Z182" s="561"/>
      <c r="AA182" s="561"/>
      <c r="AB182" s="561"/>
      <c r="AC182" s="561"/>
      <c r="AD182" s="561"/>
      <c r="AE182" s="561"/>
      <c r="AF182" s="561"/>
      <c r="AG182" s="561"/>
      <c r="AH182" s="561"/>
      <c r="AI182" s="562"/>
      <c r="AJ182" s="562" t="s">
        <v>1351</v>
      </c>
      <c r="AK182" s="2444">
        <f>$AJ$165+$AJ$179</f>
        <v>10</v>
      </c>
      <c r="AL182" s="2445"/>
      <c r="AM182" s="2446"/>
      <c r="AN182" s="594"/>
    </row>
    <row r="183" spans="1:73" s="548" customFormat="1" ht="12.75" customHeight="1" thickBot="1">
      <c r="A183" s="563"/>
      <c r="B183" s="564"/>
      <c r="C183" s="565"/>
      <c r="D183" s="565"/>
      <c r="E183" s="565"/>
      <c r="F183" s="565"/>
      <c r="G183" s="565"/>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5"/>
      <c r="AJ183" s="565"/>
      <c r="AK183" s="565"/>
      <c r="AL183" s="565"/>
      <c r="AM183" s="566"/>
      <c r="AN183" s="594"/>
      <c r="AO183" s="565"/>
      <c r="AR183" s="565"/>
      <c r="AS183" s="565"/>
      <c r="AT183" s="565"/>
      <c r="AU183" s="565"/>
      <c r="AV183" s="565"/>
      <c r="AW183" s="565"/>
      <c r="AX183" s="565"/>
      <c r="AY183" s="565"/>
      <c r="AZ183" s="565"/>
      <c r="BA183" s="565"/>
      <c r="BB183" s="565"/>
      <c r="BC183" s="565"/>
      <c r="BD183" s="565"/>
      <c r="BE183" s="565"/>
      <c r="BF183" s="565"/>
      <c r="BG183" s="565"/>
      <c r="BH183" s="565"/>
      <c r="BI183" s="565"/>
      <c r="BJ183" s="565"/>
      <c r="BK183" s="565"/>
      <c r="BL183" s="565"/>
      <c r="BM183" s="565"/>
      <c r="BN183" s="565"/>
      <c r="BO183" s="565"/>
      <c r="BP183" s="565"/>
      <c r="BQ183" s="565"/>
      <c r="BR183" s="565"/>
      <c r="BS183" s="565"/>
      <c r="BT183" s="565"/>
      <c r="BU183" s="565"/>
    </row>
    <row r="184" spans="1:73" s="548" customFormat="1" ht="12.75" customHeight="1" thickTop="1">
      <c r="A184" s="567"/>
      <c r="B184" s="568"/>
      <c r="C184" s="569"/>
      <c r="D184" s="569"/>
      <c r="E184" s="569"/>
      <c r="F184" s="569"/>
      <c r="G184" s="569"/>
      <c r="H184" s="569"/>
      <c r="I184" s="570"/>
      <c r="J184" s="570"/>
      <c r="K184" s="570"/>
      <c r="L184" s="570"/>
      <c r="M184" s="570"/>
      <c r="N184" s="570"/>
      <c r="O184" s="570"/>
      <c r="P184" s="570"/>
      <c r="Q184" s="570"/>
      <c r="R184" s="567"/>
      <c r="S184" s="538"/>
      <c r="T184" s="538"/>
      <c r="U184" s="538"/>
      <c r="V184" s="538"/>
      <c r="W184" s="538"/>
      <c r="X184" s="538"/>
      <c r="Y184" s="538"/>
      <c r="Z184" s="538"/>
      <c r="AA184" s="538"/>
      <c r="AB184" s="538"/>
      <c r="AC184" s="538"/>
      <c r="AD184" s="538"/>
      <c r="AE184" s="538"/>
      <c r="AF184" s="567"/>
      <c r="AG184" s="538"/>
      <c r="AH184" s="538"/>
      <c r="AI184" s="538"/>
      <c r="AJ184" s="538"/>
      <c r="AN184" s="594"/>
      <c r="AP184" s="609" t="s">
        <v>1352</v>
      </c>
      <c r="AQ184" s="609">
        <v>0</v>
      </c>
    </row>
    <row r="185" spans="1:73" s="548" customFormat="1" ht="12.75" customHeight="1">
      <c r="A185" s="537" t="s">
        <v>1353</v>
      </c>
      <c r="B185" s="537" t="s">
        <v>1714</v>
      </c>
      <c r="C185" s="610"/>
      <c r="D185" s="611"/>
      <c r="E185" s="611"/>
      <c r="F185" s="611"/>
      <c r="G185" s="611"/>
      <c r="H185" s="611"/>
      <c r="I185" s="611"/>
      <c r="J185" s="611"/>
      <c r="K185" s="535"/>
      <c r="L185" s="535"/>
      <c r="M185" s="535"/>
      <c r="N185" s="535"/>
      <c r="O185" s="535"/>
      <c r="P185" s="535"/>
      <c r="Q185" s="535"/>
      <c r="R185" s="535"/>
      <c r="S185" s="535"/>
      <c r="T185" s="535"/>
      <c r="U185" s="535"/>
      <c r="V185" s="535"/>
      <c r="W185" s="535"/>
      <c r="X185" s="535"/>
      <c r="Y185" s="612"/>
      <c r="Z185" s="612"/>
      <c r="AA185" s="612"/>
      <c r="AB185" s="612"/>
      <c r="AC185" s="535"/>
      <c r="AD185" s="535"/>
      <c r="AE185" s="2433" t="s">
        <v>1306</v>
      </c>
      <c r="AF185" s="2433"/>
      <c r="AG185" s="2433"/>
      <c r="AH185" s="2433"/>
      <c r="AI185" s="2433"/>
      <c r="AJ185" s="2433"/>
      <c r="AK185" s="2433"/>
      <c r="AL185" s="588"/>
      <c r="AN185" s="594"/>
      <c r="AP185" s="548" t="s">
        <v>1039</v>
      </c>
      <c r="AQ185" s="548">
        <v>10</v>
      </c>
    </row>
    <row r="186" spans="1:73" s="548" customFormat="1" ht="12.75" customHeight="1">
      <c r="A186" s="537"/>
      <c r="B186" s="613"/>
      <c r="C186" s="614"/>
      <c r="D186" s="611"/>
      <c r="E186" s="611"/>
      <c r="F186" s="611"/>
      <c r="G186" s="611"/>
      <c r="H186" s="535"/>
      <c r="I186" s="535"/>
      <c r="J186" s="535"/>
      <c r="K186" s="535"/>
      <c r="L186" s="535"/>
      <c r="M186" s="535"/>
      <c r="N186" s="535"/>
      <c r="O186" s="535"/>
      <c r="P186" s="535"/>
      <c r="Q186" s="535"/>
      <c r="R186" s="612"/>
      <c r="S186" s="612"/>
      <c r="T186" s="612"/>
      <c r="U186" s="612"/>
      <c r="V186" s="612"/>
      <c r="W186" s="612"/>
      <c r="X186" s="612"/>
      <c r="Y186" s="612"/>
      <c r="Z186" s="612"/>
      <c r="AA186" s="612"/>
      <c r="AB186" s="612"/>
      <c r="AC186" s="588"/>
      <c r="AD186" s="588"/>
      <c r="AE186" s="535"/>
      <c r="AF186" s="535"/>
      <c r="AG186" s="535"/>
      <c r="AH186" s="535"/>
      <c r="AI186" s="535"/>
      <c r="AJ186" s="535"/>
      <c r="AK186" s="535"/>
      <c r="AL186" s="535"/>
      <c r="AN186" s="594"/>
      <c r="AP186" s="548" t="s">
        <v>1354</v>
      </c>
      <c r="AQ186" s="548">
        <v>10</v>
      </c>
    </row>
    <row r="187" spans="1:73" s="548" customFormat="1" ht="12.75" customHeight="1">
      <c r="A187" s="535"/>
      <c r="B187" s="2474" t="s">
        <v>1039</v>
      </c>
      <c r="C187" s="2474"/>
      <c r="D187" s="2474"/>
      <c r="E187" s="2474"/>
      <c r="F187" s="2474"/>
      <c r="G187" s="2474"/>
      <c r="H187" s="2474"/>
      <c r="I187" s="2474"/>
      <c r="J187" s="2474"/>
      <c r="K187" s="2474"/>
      <c r="L187" s="2474"/>
      <c r="M187" s="2474"/>
      <c r="N187" s="2474"/>
      <c r="O187" s="2474"/>
      <c r="P187" s="2474"/>
      <c r="Q187" s="2474"/>
      <c r="R187" s="2474"/>
      <c r="S187" s="2474"/>
      <c r="T187" s="2474"/>
      <c r="U187" s="2474"/>
      <c r="V187" s="2474"/>
      <c r="W187" s="2474"/>
      <c r="X187" s="2474"/>
      <c r="Y187" s="2474"/>
      <c r="Z187" s="2474"/>
      <c r="AA187" s="2474"/>
      <c r="AB187" s="2474"/>
      <c r="AC187" s="2474"/>
      <c r="AD187" s="535"/>
      <c r="AE187" s="535"/>
      <c r="AF187" s="2466" t="s">
        <v>1355</v>
      </c>
      <c r="AG187" s="2466"/>
      <c r="AH187" s="2466"/>
      <c r="AI187" s="2466"/>
      <c r="AJ187" s="2466"/>
      <c r="AK187" s="2466"/>
      <c r="AL187" s="2466"/>
      <c r="AN187" s="594"/>
      <c r="AP187" s="548" t="s">
        <v>1041</v>
      </c>
      <c r="AQ187" s="548">
        <v>10</v>
      </c>
    </row>
    <row r="188" spans="1:73" s="548" customFormat="1" ht="12.75" customHeight="1">
      <c r="A188" s="535"/>
      <c r="B188" s="2475" t="s">
        <v>1713</v>
      </c>
      <c r="C188" s="2475"/>
      <c r="D188" s="2475"/>
      <c r="E188" s="2475"/>
      <c r="F188" s="2475"/>
      <c r="G188" s="2475"/>
      <c r="H188" s="2475"/>
      <c r="I188" s="2475"/>
      <c r="J188" s="2475"/>
      <c r="K188" s="2475"/>
      <c r="L188" s="2475"/>
      <c r="M188" s="2475"/>
      <c r="N188" s="2475"/>
      <c r="O188" s="2475"/>
      <c r="P188" s="2475"/>
      <c r="Q188" s="2475"/>
      <c r="R188" s="2475"/>
      <c r="S188" s="2475"/>
      <c r="T188" s="2476" t="s">
        <v>589</v>
      </c>
      <c r="U188" s="2476"/>
      <c r="V188" s="2476"/>
      <c r="W188" s="2476"/>
      <c r="X188" s="2476"/>
      <c r="Y188" s="2476"/>
      <c r="Z188" s="2476"/>
      <c r="AA188" s="2476"/>
      <c r="AB188" s="2476"/>
      <c r="AC188" s="2476"/>
      <c r="AD188" s="535"/>
      <c r="AE188" s="535"/>
      <c r="AF188" s="535"/>
      <c r="AG188" s="535"/>
      <c r="AH188" s="535"/>
      <c r="AI188" s="535"/>
      <c r="AJ188" s="542"/>
      <c r="AK188" s="592"/>
      <c r="AL188" s="592"/>
      <c r="AM188" s="592"/>
      <c r="AN188" s="594"/>
      <c r="AP188" s="548" t="s">
        <v>1356</v>
      </c>
      <c r="AQ188" s="548">
        <v>10</v>
      </c>
      <c r="AS188" s="548" t="s">
        <v>589</v>
      </c>
    </row>
    <row r="189" spans="1:73" s="548" customFormat="1" ht="12.75" customHeight="1">
      <c r="A189" s="535"/>
      <c r="B189" s="602"/>
      <c r="C189" s="602"/>
      <c r="D189" s="602"/>
      <c r="E189" s="602"/>
      <c r="F189" s="602"/>
      <c r="G189" s="602"/>
      <c r="H189" s="602"/>
      <c r="I189" s="602"/>
      <c r="J189" s="602"/>
      <c r="K189" s="602"/>
      <c r="L189" s="602"/>
      <c r="M189" s="602"/>
      <c r="N189" s="602"/>
      <c r="O189" s="602"/>
      <c r="P189" s="602"/>
      <c r="Q189" s="602"/>
      <c r="R189" s="602"/>
      <c r="S189" s="602"/>
      <c r="T189" s="602"/>
      <c r="U189" s="602"/>
      <c r="V189" s="602"/>
      <c r="W189" s="602"/>
      <c r="X189" s="602"/>
      <c r="Y189" s="602"/>
      <c r="Z189" s="602"/>
      <c r="AA189" s="602"/>
      <c r="AB189" s="602"/>
      <c r="AC189" s="602"/>
      <c r="AD189" s="602"/>
      <c r="AE189" s="535"/>
      <c r="AF189" s="535"/>
      <c r="AG189" s="535"/>
      <c r="AH189" s="535"/>
      <c r="AI189" s="535"/>
      <c r="AJ189" s="542"/>
      <c r="AK189" s="592"/>
      <c r="AL189" s="592"/>
      <c r="AM189" s="615"/>
      <c r="AP189" s="548" t="s">
        <v>2625</v>
      </c>
      <c r="AQ189" s="548">
        <v>10</v>
      </c>
      <c r="AS189" s="548" t="s">
        <v>1357</v>
      </c>
    </row>
    <row r="190" spans="1:73" s="548" customFormat="1" ht="12.75" customHeight="1">
      <c r="A190" s="603"/>
      <c r="B190" s="561"/>
      <c r="C190" s="561"/>
      <c r="D190" s="561"/>
      <c r="E190" s="561"/>
      <c r="F190" s="561"/>
      <c r="G190" s="561"/>
      <c r="H190" s="561"/>
      <c r="I190" s="561"/>
      <c r="J190" s="561"/>
      <c r="K190" s="561"/>
      <c r="L190" s="561"/>
      <c r="M190" s="561"/>
      <c r="N190" s="561"/>
      <c r="O190" s="561"/>
      <c r="P190" s="561"/>
      <c r="Q190" s="561"/>
      <c r="R190" s="561"/>
      <c r="S190" s="561"/>
      <c r="T190" s="561"/>
      <c r="U190" s="561"/>
      <c r="V190" s="561"/>
      <c r="W190" s="561"/>
      <c r="X190" s="561"/>
      <c r="Y190" s="561"/>
      <c r="Z190" s="561"/>
      <c r="AA190" s="561"/>
      <c r="AB190" s="561"/>
      <c r="AC190" s="561"/>
      <c r="AD190" s="561"/>
      <c r="AE190" s="561"/>
      <c r="AF190" s="561"/>
      <c r="AG190" s="561"/>
      <c r="AH190" s="561"/>
      <c r="AI190" s="562"/>
      <c r="AJ190" s="562" t="s">
        <v>1358</v>
      </c>
      <c r="AK190" s="2491">
        <f>IF(AK83&gt;0,VLOOKUP($B$187,AP184:AQ190,2,FALSE),0)</f>
        <v>10</v>
      </c>
      <c r="AL190" s="2492"/>
      <c r="AM190" s="2493"/>
      <c r="AN190" s="534"/>
      <c r="AP190" s="548" t="s">
        <v>1360</v>
      </c>
      <c r="AQ190" s="548">
        <v>10</v>
      </c>
      <c r="AS190" s="548" t="s">
        <v>1359</v>
      </c>
    </row>
    <row r="191" spans="1:73" s="548" customFormat="1" ht="12.75" customHeight="1" thickBot="1">
      <c r="A191" s="616"/>
      <c r="B191" s="616"/>
      <c r="C191" s="617"/>
      <c r="D191" s="618"/>
      <c r="E191" s="618"/>
      <c r="F191" s="618"/>
      <c r="G191" s="618"/>
      <c r="H191" s="618"/>
      <c r="I191" s="618"/>
      <c r="J191" s="618"/>
      <c r="K191" s="618"/>
      <c r="L191" s="618"/>
      <c r="M191" s="618"/>
      <c r="N191" s="618"/>
      <c r="O191" s="618"/>
      <c r="P191" s="618"/>
      <c r="Q191" s="618"/>
      <c r="R191" s="618"/>
      <c r="S191" s="618"/>
      <c r="T191" s="618"/>
      <c r="U191" s="618"/>
      <c r="V191" s="618"/>
      <c r="W191" s="618"/>
      <c r="X191" s="618"/>
      <c r="Y191" s="618"/>
      <c r="Z191" s="618"/>
      <c r="AA191" s="618"/>
      <c r="AB191" s="618"/>
      <c r="AC191" s="618"/>
      <c r="AD191" s="618"/>
      <c r="AE191" s="618"/>
      <c r="AF191" s="618"/>
      <c r="AG191" s="618"/>
      <c r="AH191" s="618"/>
      <c r="AI191" s="618"/>
      <c r="AJ191" s="618"/>
      <c r="AK191" s="618"/>
      <c r="AL191" s="618"/>
      <c r="AM191" s="618"/>
      <c r="AN191" s="594"/>
    </row>
    <row r="192" spans="1:73" s="548" customFormat="1" ht="12.75" hidden="1" customHeight="1" thickTop="1">
      <c r="A192" s="567"/>
      <c r="B192" s="568"/>
      <c r="C192" s="569"/>
      <c r="D192" s="569"/>
      <c r="E192" s="569"/>
      <c r="F192" s="569"/>
      <c r="G192" s="569"/>
      <c r="H192" s="569"/>
      <c r="I192" s="570"/>
      <c r="J192" s="570"/>
      <c r="K192" s="570"/>
      <c r="L192" s="570"/>
      <c r="M192" s="570"/>
      <c r="N192" s="570"/>
      <c r="O192" s="570"/>
      <c r="P192" s="570"/>
      <c r="Q192" s="570"/>
      <c r="R192" s="567"/>
      <c r="S192" s="538"/>
      <c r="T192" s="538"/>
      <c r="U192" s="538"/>
      <c r="V192" s="538"/>
      <c r="W192" s="538"/>
      <c r="X192" s="538"/>
      <c r="Y192" s="538"/>
      <c r="Z192" s="538"/>
      <c r="AA192" s="538"/>
      <c r="AB192" s="538"/>
      <c r="AC192" s="538"/>
      <c r="AD192" s="538"/>
      <c r="AE192" s="538"/>
      <c r="AF192" s="567"/>
      <c r="AG192" s="538"/>
      <c r="AH192" s="538"/>
      <c r="AI192" s="538"/>
      <c r="AJ192" s="538"/>
      <c r="AN192" s="594"/>
    </row>
    <row r="193" spans="1:37" hidden="1">
      <c r="A193" s="537" t="s">
        <v>1361</v>
      </c>
      <c r="B193" s="537" t="s">
        <v>1362</v>
      </c>
      <c r="C193" s="610"/>
      <c r="D193" s="611"/>
      <c r="E193" s="611"/>
      <c r="F193" s="611"/>
      <c r="G193" s="611"/>
      <c r="H193" s="611"/>
      <c r="I193" s="611"/>
      <c r="J193" s="611"/>
      <c r="K193" s="548"/>
      <c r="L193" s="548"/>
      <c r="M193" s="548"/>
      <c r="N193" s="548"/>
      <c r="O193" s="548"/>
      <c r="P193" s="548"/>
      <c r="Q193" s="548"/>
      <c r="R193" s="548"/>
      <c r="S193" s="548"/>
      <c r="T193" s="548"/>
      <c r="U193" s="548"/>
      <c r="V193" s="548"/>
      <c r="W193" s="548"/>
      <c r="X193" s="548"/>
      <c r="Y193" s="612"/>
      <c r="Z193" s="612"/>
      <c r="AA193" s="612"/>
      <c r="AB193" s="612"/>
      <c r="AC193" s="548"/>
      <c r="AD193" s="548"/>
      <c r="AE193" s="2433" t="s">
        <v>1363</v>
      </c>
      <c r="AF193" s="2433"/>
      <c r="AG193" s="2433"/>
      <c r="AH193" s="2433"/>
      <c r="AI193" s="2433"/>
      <c r="AJ193" s="2433"/>
      <c r="AK193" s="2433"/>
    </row>
    <row r="194" spans="1:37" hidden="1">
      <c r="A194" s="537"/>
      <c r="B194" s="537"/>
      <c r="C194" s="610"/>
      <c r="D194" s="611"/>
      <c r="E194" s="611"/>
      <c r="F194" s="611"/>
      <c r="G194" s="611"/>
      <c r="H194" s="611"/>
      <c r="I194" s="611"/>
      <c r="J194" s="611"/>
      <c r="K194" s="535"/>
      <c r="L194" s="535"/>
      <c r="M194" s="535"/>
      <c r="N194" s="535"/>
      <c r="O194" s="535"/>
      <c r="P194" s="535"/>
      <c r="Q194" s="535"/>
      <c r="R194" s="535"/>
      <c r="S194" s="535"/>
      <c r="T194" s="535"/>
      <c r="U194" s="535"/>
      <c r="V194" s="535"/>
      <c r="W194" s="535"/>
      <c r="X194" s="535"/>
      <c r="Y194" s="612"/>
      <c r="Z194" s="612"/>
      <c r="AA194" s="612"/>
      <c r="AB194" s="612"/>
      <c r="AC194" s="535"/>
      <c r="AD194" s="535"/>
      <c r="AE194" s="542"/>
      <c r="AF194" s="542"/>
      <c r="AG194" s="542"/>
      <c r="AH194" s="542"/>
      <c r="AI194" s="542"/>
      <c r="AJ194" s="542"/>
      <c r="AK194" s="542"/>
    </row>
    <row r="195" spans="1:37" hidden="1">
      <c r="A195" s="537"/>
      <c r="B195" s="839" t="s">
        <v>1576</v>
      </c>
      <c r="C195" s="610"/>
      <c r="D195" s="611"/>
      <c r="E195" s="611"/>
      <c r="F195" s="611"/>
      <c r="G195" s="611"/>
      <c r="H195" s="611"/>
      <c r="I195" s="611"/>
      <c r="J195" s="611"/>
      <c r="K195" s="535"/>
      <c r="L195" s="535"/>
      <c r="M195" s="535"/>
      <c r="N195" s="535"/>
      <c r="O195" s="535"/>
      <c r="P195" s="535"/>
      <c r="Q195" s="535"/>
      <c r="R195" s="535"/>
      <c r="S195" s="535"/>
      <c r="T195" s="535"/>
      <c r="U195" s="535"/>
      <c r="V195" s="535"/>
      <c r="W195" s="535"/>
      <c r="X195" s="535"/>
      <c r="Y195" s="612"/>
      <c r="Z195" s="612"/>
      <c r="AA195" s="612"/>
      <c r="AB195" s="612"/>
      <c r="AC195" s="535"/>
      <c r="AD195" s="535"/>
      <c r="AE195" s="542"/>
      <c r="AF195" s="542"/>
      <c r="AG195" s="542"/>
      <c r="AH195" s="542"/>
      <c r="AI195" s="542"/>
      <c r="AJ195" s="542"/>
      <c r="AK195" s="542"/>
    </row>
    <row r="196" spans="1:37" hidden="1">
      <c r="A196" s="602"/>
      <c r="C196" s="658"/>
      <c r="D196" s="822"/>
      <c r="E196" s="822"/>
      <c r="F196" s="822"/>
      <c r="G196" s="822"/>
      <c r="H196" s="822"/>
      <c r="I196" s="822"/>
      <c r="J196" s="822"/>
      <c r="K196" s="535"/>
      <c r="L196" s="535"/>
      <c r="M196" s="535"/>
      <c r="N196" s="535"/>
      <c r="O196" s="535"/>
      <c r="P196" s="535"/>
      <c r="Q196" s="535"/>
      <c r="R196" s="535"/>
      <c r="S196" s="535"/>
      <c r="T196" s="535"/>
      <c r="U196" s="535"/>
      <c r="V196" s="535"/>
      <c r="W196" s="535"/>
      <c r="X196" s="535"/>
      <c r="Y196" s="640"/>
      <c r="Z196" s="640"/>
      <c r="AA196" s="640"/>
      <c r="AB196" s="640"/>
      <c r="AC196" s="535"/>
      <c r="AD196" s="535"/>
      <c r="AE196" s="607"/>
      <c r="AF196" s="607"/>
      <c r="AG196" s="607"/>
      <c r="AH196" s="607"/>
      <c r="AI196" s="607"/>
      <c r="AJ196" s="607"/>
      <c r="AK196" s="607"/>
    </row>
    <row r="197" spans="1:37" hidden="1">
      <c r="A197" s="602"/>
      <c r="B197" s="840" t="s">
        <v>1612</v>
      </c>
      <c r="C197" s="658"/>
      <c r="D197" s="822"/>
      <c r="E197" s="822"/>
      <c r="F197" s="822"/>
      <c r="G197" s="822"/>
      <c r="H197" s="822"/>
      <c r="I197" s="822"/>
      <c r="J197" s="822"/>
      <c r="K197" s="535"/>
      <c r="L197" s="535"/>
      <c r="M197" s="535"/>
      <c r="N197" s="535"/>
      <c r="O197" s="535"/>
      <c r="P197" s="535"/>
      <c r="Q197" s="535"/>
      <c r="R197" s="535"/>
      <c r="S197" s="535"/>
      <c r="T197" s="535"/>
      <c r="U197" s="535"/>
      <c r="V197" s="535"/>
      <c r="W197" s="535"/>
      <c r="X197" s="535"/>
      <c r="Y197" s="640"/>
      <c r="Z197" s="640"/>
      <c r="AA197" s="640"/>
      <c r="AB197" s="640"/>
      <c r="AC197" s="535"/>
      <c r="AD197" s="535"/>
      <c r="AE197" s="607"/>
      <c r="AF197" s="607"/>
      <c r="AG197" s="607"/>
      <c r="AH197" s="607"/>
      <c r="AI197" s="607"/>
      <c r="AJ197" s="607"/>
      <c r="AK197" s="607"/>
    </row>
    <row r="198" spans="1:37" hidden="1">
      <c r="A198" s="602"/>
      <c r="B198" s="2468"/>
      <c r="C198" s="2468"/>
      <c r="D198" s="2468"/>
      <c r="E198" s="2468"/>
      <c r="F198" s="2468"/>
      <c r="G198" s="2468"/>
      <c r="H198" s="2468"/>
      <c r="I198" s="2468"/>
      <c r="J198" s="2468"/>
      <c r="K198" s="2468"/>
      <c r="L198" s="2468"/>
      <c r="M198" s="2468"/>
      <c r="N198" s="2468"/>
      <c r="O198" s="2468"/>
      <c r="P198" s="2468"/>
      <c r="Q198" s="2468"/>
      <c r="R198" s="2468"/>
      <c r="S198" s="2468"/>
      <c r="T198" s="2468"/>
      <c r="U198" s="2468"/>
      <c r="V198" s="2468"/>
      <c r="W198" s="2468"/>
      <c r="X198" s="2468"/>
      <c r="Y198" s="2468"/>
      <c r="Z198" s="2468"/>
      <c r="AA198" s="2468"/>
      <c r="AB198" s="2468"/>
      <c r="AC198" s="841"/>
      <c r="AD198" s="2469"/>
      <c r="AE198" s="2469"/>
      <c r="AF198" s="2469"/>
      <c r="AG198" s="2469"/>
      <c r="AH198" s="2469"/>
      <c r="AI198" s="2469"/>
      <c r="AJ198" s="2469"/>
      <c r="AK198" s="607"/>
    </row>
    <row r="199" spans="1:37" hidden="1">
      <c r="A199" s="602"/>
      <c r="B199" s="2468"/>
      <c r="C199" s="2468"/>
      <c r="D199" s="2468"/>
      <c r="E199" s="2468"/>
      <c r="F199" s="2468"/>
      <c r="G199" s="2468"/>
      <c r="H199" s="2468"/>
      <c r="I199" s="2468"/>
      <c r="J199" s="2468"/>
      <c r="K199" s="2468"/>
      <c r="L199" s="2468"/>
      <c r="M199" s="2468"/>
      <c r="N199" s="2468"/>
      <c r="O199" s="2468"/>
      <c r="P199" s="2468"/>
      <c r="Q199" s="2468"/>
      <c r="R199" s="2468"/>
      <c r="S199" s="2468"/>
      <c r="T199" s="2468"/>
      <c r="U199" s="2468"/>
      <c r="V199" s="2468"/>
      <c r="W199" s="2468"/>
      <c r="X199" s="2468"/>
      <c r="Y199" s="2468"/>
      <c r="Z199" s="2468"/>
      <c r="AA199" s="2468"/>
      <c r="AB199" s="2468"/>
      <c r="AC199" s="841"/>
      <c r="AD199" s="2469"/>
      <c r="AE199" s="2469"/>
      <c r="AF199" s="2469"/>
      <c r="AG199" s="2469"/>
      <c r="AH199" s="2469"/>
      <c r="AI199" s="2469"/>
      <c r="AJ199" s="2469"/>
      <c r="AK199" s="607"/>
    </row>
    <row r="200" spans="1:37" hidden="1">
      <c r="A200" s="602"/>
      <c r="B200" s="2468"/>
      <c r="C200" s="2468"/>
      <c r="D200" s="2468"/>
      <c r="E200" s="2468"/>
      <c r="F200" s="2468"/>
      <c r="G200" s="2468"/>
      <c r="H200" s="2468"/>
      <c r="I200" s="2468"/>
      <c r="J200" s="2468"/>
      <c r="K200" s="2468"/>
      <c r="L200" s="2468"/>
      <c r="M200" s="2468"/>
      <c r="N200" s="2468"/>
      <c r="O200" s="2468"/>
      <c r="P200" s="2468"/>
      <c r="Q200" s="2468"/>
      <c r="R200" s="2468"/>
      <c r="S200" s="2468"/>
      <c r="T200" s="2468"/>
      <c r="U200" s="2468"/>
      <c r="V200" s="2468"/>
      <c r="W200" s="2468"/>
      <c r="X200" s="2468"/>
      <c r="Y200" s="2468"/>
      <c r="Z200" s="2468"/>
      <c r="AA200" s="2468"/>
      <c r="AB200" s="2468"/>
      <c r="AC200" s="841"/>
      <c r="AD200" s="2469"/>
      <c r="AE200" s="2469"/>
      <c r="AF200" s="2469"/>
      <c r="AG200" s="2469"/>
      <c r="AH200" s="2469"/>
      <c r="AI200" s="2469"/>
      <c r="AJ200" s="2469"/>
      <c r="AK200" s="607"/>
    </row>
    <row r="201" spans="1:37" hidden="1">
      <c r="A201" s="602"/>
      <c r="B201" s="2468"/>
      <c r="C201" s="2468"/>
      <c r="D201" s="2468"/>
      <c r="E201" s="2468"/>
      <c r="F201" s="2468"/>
      <c r="G201" s="2468"/>
      <c r="H201" s="2468"/>
      <c r="I201" s="2468"/>
      <c r="J201" s="2468"/>
      <c r="K201" s="2468"/>
      <c r="L201" s="2468"/>
      <c r="M201" s="2468"/>
      <c r="N201" s="2468"/>
      <c r="O201" s="2468"/>
      <c r="P201" s="2468"/>
      <c r="Q201" s="2468"/>
      <c r="R201" s="2468"/>
      <c r="S201" s="2468"/>
      <c r="T201" s="2468"/>
      <c r="U201" s="2468"/>
      <c r="V201" s="2468"/>
      <c r="W201" s="2468"/>
      <c r="X201" s="2468"/>
      <c r="Y201" s="2468"/>
      <c r="Z201" s="2468"/>
      <c r="AA201" s="2468"/>
      <c r="AB201" s="2468"/>
      <c r="AC201" s="841"/>
      <c r="AD201" s="2469"/>
      <c r="AE201" s="2469"/>
      <c r="AF201" s="2469"/>
      <c r="AG201" s="2469"/>
      <c r="AH201" s="2469"/>
      <c r="AI201" s="2469"/>
      <c r="AJ201" s="2469"/>
      <c r="AK201" s="607"/>
    </row>
    <row r="202" spans="1:37" hidden="1">
      <c r="A202" s="602"/>
      <c r="B202" s="2468"/>
      <c r="C202" s="2468"/>
      <c r="D202" s="2468"/>
      <c r="E202" s="2468"/>
      <c r="F202" s="2468"/>
      <c r="G202" s="2468"/>
      <c r="H202" s="2468"/>
      <c r="I202" s="2468"/>
      <c r="J202" s="2468"/>
      <c r="K202" s="2468"/>
      <c r="L202" s="2468"/>
      <c r="M202" s="2468"/>
      <c r="N202" s="2468"/>
      <c r="O202" s="2468"/>
      <c r="P202" s="2468"/>
      <c r="Q202" s="2468"/>
      <c r="R202" s="2468"/>
      <c r="S202" s="2468"/>
      <c r="T202" s="2468"/>
      <c r="U202" s="2468"/>
      <c r="V202" s="2468"/>
      <c r="W202" s="2468"/>
      <c r="X202" s="2468"/>
      <c r="Y202" s="2468"/>
      <c r="Z202" s="2468"/>
      <c r="AA202" s="2468"/>
      <c r="AB202" s="2468"/>
      <c r="AC202" s="841"/>
      <c r="AD202" s="2469"/>
      <c r="AE202" s="2469"/>
      <c r="AF202" s="2469"/>
      <c r="AG202" s="2469"/>
      <c r="AH202" s="2469"/>
      <c r="AI202" s="2469"/>
      <c r="AJ202" s="2469"/>
      <c r="AK202" s="607"/>
    </row>
    <row r="203" spans="1:37" hidden="1">
      <c r="A203" s="602"/>
      <c r="B203" s="2468"/>
      <c r="C203" s="2468"/>
      <c r="D203" s="2468"/>
      <c r="E203" s="2468"/>
      <c r="F203" s="2468"/>
      <c r="G203" s="2468"/>
      <c r="H203" s="2468"/>
      <c r="I203" s="2468"/>
      <c r="J203" s="2468"/>
      <c r="K203" s="2468"/>
      <c r="L203" s="2468"/>
      <c r="M203" s="2468"/>
      <c r="N203" s="2468"/>
      <c r="O203" s="2468"/>
      <c r="P203" s="2468"/>
      <c r="Q203" s="2468"/>
      <c r="R203" s="2468"/>
      <c r="S203" s="2468"/>
      <c r="T203" s="2468"/>
      <c r="U203" s="2468"/>
      <c r="V203" s="2468"/>
      <c r="W203" s="2468"/>
      <c r="X203" s="2468"/>
      <c r="Y203" s="2468"/>
      <c r="Z203" s="2468"/>
      <c r="AA203" s="2468"/>
      <c r="AB203" s="2468"/>
      <c r="AC203" s="841"/>
      <c r="AD203" s="2469"/>
      <c r="AE203" s="2469"/>
      <c r="AF203" s="2469"/>
      <c r="AG203" s="2469"/>
      <c r="AH203" s="2469"/>
      <c r="AI203" s="2469"/>
      <c r="AJ203" s="2469"/>
      <c r="AK203" s="607"/>
    </row>
    <row r="204" spans="1:37" hidden="1">
      <c r="A204" s="602"/>
      <c r="B204" s="2468"/>
      <c r="C204" s="2468"/>
      <c r="D204" s="2468"/>
      <c r="E204" s="2468"/>
      <c r="F204" s="2468"/>
      <c r="G204" s="2468"/>
      <c r="H204" s="2468"/>
      <c r="I204" s="2468"/>
      <c r="J204" s="2468"/>
      <c r="K204" s="2468"/>
      <c r="L204" s="2468"/>
      <c r="M204" s="2468"/>
      <c r="N204" s="2468"/>
      <c r="O204" s="2468"/>
      <c r="P204" s="2468"/>
      <c r="Q204" s="2468"/>
      <c r="R204" s="2468"/>
      <c r="S204" s="2468"/>
      <c r="T204" s="2468"/>
      <c r="U204" s="2468"/>
      <c r="V204" s="2468"/>
      <c r="W204" s="2468"/>
      <c r="X204" s="2468"/>
      <c r="Y204" s="2468"/>
      <c r="Z204" s="2468"/>
      <c r="AA204" s="2468"/>
      <c r="AB204" s="2468"/>
      <c r="AC204" s="841"/>
      <c r="AD204" s="2469"/>
      <c r="AE204" s="2469"/>
      <c r="AF204" s="2469"/>
      <c r="AG204" s="2469"/>
      <c r="AH204" s="2469"/>
      <c r="AI204" s="2469"/>
      <c r="AJ204" s="2469"/>
      <c r="AK204" s="607"/>
    </row>
    <row r="205" spans="1:37" hidden="1">
      <c r="A205" s="602"/>
      <c r="B205" s="2468"/>
      <c r="C205" s="2468"/>
      <c r="D205" s="2468"/>
      <c r="E205" s="2468"/>
      <c r="F205" s="2468"/>
      <c r="G205" s="2468"/>
      <c r="H205" s="2468"/>
      <c r="I205" s="2468"/>
      <c r="J205" s="2468"/>
      <c r="K205" s="2468"/>
      <c r="L205" s="2468"/>
      <c r="M205" s="2468"/>
      <c r="N205" s="2468"/>
      <c r="O205" s="2468"/>
      <c r="P205" s="2468"/>
      <c r="Q205" s="2468"/>
      <c r="R205" s="2468"/>
      <c r="S205" s="2468"/>
      <c r="T205" s="2468"/>
      <c r="U205" s="2468"/>
      <c r="V205" s="2468"/>
      <c r="W205" s="2468"/>
      <c r="X205" s="2468"/>
      <c r="Y205" s="2468"/>
      <c r="Z205" s="2468"/>
      <c r="AA205" s="2468"/>
      <c r="AB205" s="2468"/>
      <c r="AC205" s="841"/>
      <c r="AD205" s="2469"/>
      <c r="AE205" s="2469"/>
      <c r="AF205" s="2469"/>
      <c r="AG205" s="2469"/>
      <c r="AH205" s="2469"/>
      <c r="AI205" s="2469"/>
      <c r="AJ205" s="2469"/>
      <c r="AK205" s="607"/>
    </row>
    <row r="206" spans="1:37" hidden="1">
      <c r="A206" s="602"/>
      <c r="B206" s="2468"/>
      <c r="C206" s="2468"/>
      <c r="D206" s="2468"/>
      <c r="E206" s="2468"/>
      <c r="F206" s="2468"/>
      <c r="G206" s="2468"/>
      <c r="H206" s="2468"/>
      <c r="I206" s="2468"/>
      <c r="J206" s="2468"/>
      <c r="K206" s="2468"/>
      <c r="L206" s="2468"/>
      <c r="M206" s="2468"/>
      <c r="N206" s="2468"/>
      <c r="O206" s="2468"/>
      <c r="P206" s="2468"/>
      <c r="Q206" s="2468"/>
      <c r="R206" s="2468"/>
      <c r="S206" s="2468"/>
      <c r="T206" s="2468"/>
      <c r="U206" s="2468"/>
      <c r="V206" s="2468"/>
      <c r="W206" s="2468"/>
      <c r="X206" s="2468"/>
      <c r="Y206" s="2468"/>
      <c r="Z206" s="2468"/>
      <c r="AA206" s="2468"/>
      <c r="AB206" s="2468"/>
      <c r="AC206" s="841"/>
      <c r="AD206" s="2469"/>
      <c r="AE206" s="2469"/>
      <c r="AF206" s="2469"/>
      <c r="AG206" s="2469"/>
      <c r="AH206" s="2469"/>
      <c r="AI206" s="2469"/>
      <c r="AJ206" s="2469"/>
      <c r="AK206" s="607"/>
    </row>
    <row r="207" spans="1:37" hidden="1">
      <c r="A207" s="602"/>
      <c r="B207" s="2468"/>
      <c r="C207" s="2468"/>
      <c r="D207" s="2468"/>
      <c r="E207" s="2468"/>
      <c r="F207" s="2468"/>
      <c r="G207" s="2468"/>
      <c r="H207" s="2468"/>
      <c r="I207" s="2468"/>
      <c r="J207" s="2468"/>
      <c r="K207" s="2468"/>
      <c r="L207" s="2468"/>
      <c r="M207" s="2468"/>
      <c r="N207" s="2468"/>
      <c r="O207" s="2468"/>
      <c r="P207" s="2468"/>
      <c r="Q207" s="2468"/>
      <c r="R207" s="2468"/>
      <c r="S207" s="2468"/>
      <c r="T207" s="2468"/>
      <c r="U207" s="2468"/>
      <c r="V207" s="2468"/>
      <c r="W207" s="2468"/>
      <c r="X207" s="2468"/>
      <c r="Y207" s="2468"/>
      <c r="Z207" s="2468"/>
      <c r="AA207" s="2468"/>
      <c r="AB207" s="2468"/>
      <c r="AC207" s="841"/>
      <c r="AD207" s="2469"/>
      <c r="AE207" s="2469"/>
      <c r="AF207" s="2469"/>
      <c r="AG207" s="2469"/>
      <c r="AH207" s="2469"/>
      <c r="AI207" s="2469"/>
      <c r="AJ207" s="2469"/>
      <c r="AK207" s="607"/>
    </row>
    <row r="208" spans="1:37" hidden="1">
      <c r="A208" s="602"/>
      <c r="B208" s="2515" t="s">
        <v>1614</v>
      </c>
      <c r="C208" s="2515"/>
      <c r="D208" s="2515"/>
      <c r="E208" s="2515"/>
      <c r="F208" s="2515"/>
      <c r="G208" s="2515"/>
      <c r="H208" s="2515"/>
      <c r="I208" s="2515"/>
      <c r="J208" s="2515"/>
      <c r="K208" s="2515"/>
      <c r="L208" s="2515"/>
      <c r="M208" s="2515"/>
      <c r="N208" s="2515"/>
      <c r="O208" s="2515"/>
      <c r="P208" s="2515"/>
      <c r="Q208" s="2515"/>
      <c r="R208" s="2515"/>
      <c r="S208" s="2515"/>
      <c r="T208" s="2515"/>
      <c r="U208" s="2515"/>
      <c r="V208" s="2515"/>
      <c r="W208" s="2515"/>
      <c r="X208" s="2515"/>
      <c r="Y208" s="2515"/>
      <c r="Z208" s="2515"/>
      <c r="AA208" s="2515"/>
      <c r="AB208" s="2515"/>
      <c r="AC208" s="535"/>
      <c r="AD208" s="2498">
        <f>AB259</f>
        <v>0</v>
      </c>
      <c r="AE208" s="2498"/>
      <c r="AF208" s="2498"/>
      <c r="AG208" s="2498"/>
      <c r="AH208" s="2498"/>
      <c r="AI208" s="2498"/>
      <c r="AJ208" s="2498"/>
      <c r="AK208" s="607"/>
    </row>
    <row r="209" spans="1:37" hidden="1">
      <c r="A209" s="602"/>
      <c r="B209" s="2653" t="s">
        <v>1577</v>
      </c>
      <c r="C209" s="2653"/>
      <c r="D209" s="2653"/>
      <c r="E209" s="2653"/>
      <c r="F209" s="2653"/>
      <c r="G209" s="2653"/>
      <c r="H209" s="2653"/>
      <c r="I209" s="2653"/>
      <c r="J209" s="2653"/>
      <c r="K209" s="2653"/>
      <c r="L209" s="2653"/>
      <c r="M209" s="2653"/>
      <c r="N209" s="2653"/>
      <c r="O209" s="2653"/>
      <c r="P209" s="2653"/>
      <c r="Q209" s="2653"/>
      <c r="R209" s="2653"/>
      <c r="S209" s="2653"/>
      <c r="T209" s="2653"/>
      <c r="U209" s="2653"/>
      <c r="V209" s="2653"/>
      <c r="W209" s="2653"/>
      <c r="X209" s="2653"/>
      <c r="Y209" s="2653"/>
      <c r="Z209" s="2653"/>
      <c r="AA209" s="2653"/>
      <c r="AB209" s="2653"/>
      <c r="AC209" s="841"/>
      <c r="AD209" s="2499">
        <f>'Sources and Uses Budget'!B15</f>
        <v>0</v>
      </c>
      <c r="AE209" s="2499"/>
      <c r="AF209" s="2499"/>
      <c r="AG209" s="2499"/>
      <c r="AH209" s="2499"/>
      <c r="AI209" s="2499"/>
      <c r="AJ209" s="2499"/>
      <c r="AK209" s="607"/>
    </row>
    <row r="210" spans="1:37" hidden="1">
      <c r="A210" s="602"/>
      <c r="B210" s="446"/>
      <c r="C210" s="446"/>
      <c r="D210" s="446"/>
      <c r="E210" s="446"/>
      <c r="F210" s="446"/>
      <c r="G210" s="446"/>
      <c r="H210" s="446"/>
      <c r="I210" s="446"/>
      <c r="J210" s="446"/>
      <c r="K210" s="446"/>
      <c r="L210" s="446"/>
      <c r="M210" s="446"/>
      <c r="N210" s="446"/>
      <c r="O210" s="446"/>
      <c r="P210" s="446"/>
      <c r="Q210" s="446"/>
      <c r="R210" s="446"/>
      <c r="S210" s="446"/>
      <c r="T210" s="446"/>
      <c r="U210" s="446"/>
      <c r="V210" s="446"/>
      <c r="W210" s="446"/>
      <c r="X210" s="446"/>
      <c r="Y210" s="446"/>
      <c r="Z210" s="446"/>
      <c r="AA210" s="446"/>
      <c r="AB210" s="620" t="s">
        <v>897</v>
      </c>
      <c r="AC210" s="535"/>
      <c r="AD210" s="2503">
        <f>SUM(AD198:AJ208)-AD209</f>
        <v>0</v>
      </c>
      <c r="AE210" s="2503"/>
      <c r="AF210" s="2503"/>
      <c r="AG210" s="2503"/>
      <c r="AH210" s="2503"/>
      <c r="AI210" s="2503"/>
      <c r="AJ210" s="2503"/>
      <c r="AK210" s="607"/>
    </row>
    <row r="211" spans="1:37" hidden="1">
      <c r="A211" s="602"/>
      <c r="B211" s="602"/>
      <c r="C211" s="658"/>
      <c r="D211" s="822"/>
      <c r="E211" s="822"/>
      <c r="F211" s="822"/>
      <c r="G211" s="822"/>
      <c r="H211" s="822"/>
      <c r="I211" s="822"/>
      <c r="J211" s="822"/>
      <c r="K211" s="535"/>
      <c r="L211" s="535"/>
      <c r="M211" s="535"/>
      <c r="N211" s="535"/>
      <c r="O211" s="535"/>
      <c r="P211" s="535"/>
      <c r="Q211" s="535"/>
      <c r="R211" s="535"/>
      <c r="S211" s="535"/>
      <c r="T211" s="535"/>
      <c r="U211" s="535"/>
      <c r="V211" s="535"/>
      <c r="W211" s="535"/>
      <c r="X211" s="535"/>
      <c r="Y211" s="640"/>
      <c r="Z211" s="640"/>
      <c r="AA211" s="640"/>
      <c r="AB211" s="640"/>
      <c r="AC211" s="535"/>
      <c r="AD211" s="535"/>
      <c r="AE211" s="607"/>
      <c r="AF211" s="607"/>
      <c r="AG211" s="607"/>
      <c r="AH211" s="607"/>
      <c r="AI211" s="607"/>
      <c r="AJ211" s="607"/>
      <c r="AK211" s="607"/>
    </row>
    <row r="212" spans="1:37" hidden="1">
      <c r="A212" s="602"/>
      <c r="B212" s="497" t="s">
        <v>1582</v>
      </c>
      <c r="C212" s="658"/>
      <c r="D212" s="822"/>
      <c r="E212" s="822"/>
      <c r="F212" s="822"/>
      <c r="G212" s="822"/>
      <c r="H212" s="822"/>
      <c r="I212" s="822"/>
      <c r="J212" s="822"/>
      <c r="K212" s="535"/>
      <c r="L212" s="535"/>
      <c r="M212" s="535"/>
      <c r="N212" s="535"/>
      <c r="O212" s="535"/>
      <c r="P212" s="535"/>
      <c r="Q212" s="535"/>
      <c r="R212" s="535"/>
      <c r="S212" s="535"/>
      <c r="T212" s="535"/>
      <c r="U212" s="535"/>
      <c r="V212" s="535"/>
      <c r="W212" s="535"/>
      <c r="X212" s="535"/>
      <c r="Y212" s="640"/>
      <c r="Z212" s="640"/>
      <c r="AA212" s="640"/>
      <c r="AB212" s="640"/>
      <c r="AC212" s="535"/>
      <c r="AD212" s="535"/>
      <c r="AE212" s="607"/>
      <c r="AF212" s="607"/>
      <c r="AG212" s="607"/>
      <c r="AH212" s="607"/>
      <c r="AI212" s="607"/>
      <c r="AJ212" s="607"/>
      <c r="AK212" s="607"/>
    </row>
    <row r="213" spans="1:37" hidden="1">
      <c r="A213" s="602"/>
      <c r="B213" s="475" t="s">
        <v>1613</v>
      </c>
      <c r="C213" s="658"/>
      <c r="D213" s="822"/>
      <c r="E213" s="822"/>
      <c r="F213" s="822"/>
      <c r="G213" s="822"/>
      <c r="H213" s="822"/>
      <c r="I213" s="822"/>
      <c r="J213" s="822"/>
      <c r="K213" s="535"/>
      <c r="L213" s="535"/>
      <c r="M213" s="535"/>
      <c r="N213" s="535"/>
      <c r="O213" s="535"/>
      <c r="P213" s="535"/>
      <c r="Q213" s="535"/>
      <c r="R213" s="535"/>
      <c r="S213" s="535"/>
      <c r="T213" s="535"/>
      <c r="U213" s="535"/>
      <c r="V213" s="535"/>
      <c r="W213" s="535"/>
      <c r="X213" s="535"/>
      <c r="Y213" s="640"/>
      <c r="Z213" s="640"/>
      <c r="AA213" s="640"/>
      <c r="AB213" s="640"/>
      <c r="AC213" s="535"/>
      <c r="AD213" s="535"/>
      <c r="AE213" s="607"/>
      <c r="AF213" s="607"/>
      <c r="AG213" s="607"/>
      <c r="AH213" s="607"/>
      <c r="AI213" s="607"/>
      <c r="AJ213" s="607"/>
      <c r="AK213" s="607"/>
    </row>
    <row r="214" spans="1:37" hidden="1">
      <c r="A214" s="849"/>
      <c r="B214" s="872" t="s">
        <v>1584</v>
      </c>
      <c r="C214" s="873"/>
      <c r="D214" s="874"/>
      <c r="E214" s="874"/>
      <c r="F214" s="874"/>
      <c r="G214" s="874"/>
      <c r="H214" s="874"/>
      <c r="I214" s="874"/>
      <c r="J214" s="874"/>
      <c r="K214" s="875"/>
      <c r="L214" s="875"/>
      <c r="M214" s="875"/>
      <c r="N214" s="875"/>
      <c r="O214" s="875"/>
      <c r="P214" s="875"/>
      <c r="Q214" s="875"/>
      <c r="R214" s="875"/>
      <c r="S214" s="739"/>
      <c r="T214" s="739"/>
      <c r="U214" s="739"/>
      <c r="V214" s="739"/>
      <c r="W214" s="739"/>
      <c r="X214" s="739"/>
      <c r="Y214" s="823"/>
      <c r="Z214" s="823"/>
      <c r="AA214" s="823"/>
      <c r="AB214" s="823"/>
      <c r="AC214" s="739"/>
      <c r="AD214" s="739"/>
      <c r="AE214" s="824"/>
      <c r="AF214" s="824"/>
      <c r="AG214" s="824"/>
      <c r="AH214" s="824"/>
      <c r="AI214" s="824"/>
      <c r="AJ214" s="825"/>
      <c r="AK214" s="607"/>
    </row>
    <row r="215" spans="1:37" hidden="1">
      <c r="A215" s="849"/>
      <c r="B215" s="876" t="s">
        <v>1585</v>
      </c>
      <c r="C215" s="877"/>
      <c r="D215" s="878"/>
      <c r="E215" s="878"/>
      <c r="F215" s="878"/>
      <c r="G215" s="878"/>
      <c r="H215" s="878"/>
      <c r="I215" s="878"/>
      <c r="J215" s="878"/>
      <c r="K215" s="879"/>
      <c r="L215" s="879"/>
      <c r="M215" s="879"/>
      <c r="N215" s="879"/>
      <c r="O215" s="879"/>
      <c r="P215" s="879"/>
      <c r="Q215" s="879"/>
      <c r="R215" s="879"/>
      <c r="S215" s="535"/>
      <c r="T215" s="535"/>
      <c r="U215" s="535"/>
      <c r="V215" s="535"/>
      <c r="W215" s="535"/>
      <c r="X215" s="535"/>
      <c r="Y215" s="640"/>
      <c r="Z215" s="640"/>
      <c r="AA215" s="640"/>
      <c r="AB215" s="640"/>
      <c r="AC215" s="535"/>
      <c r="AD215" s="535"/>
      <c r="AE215" s="607"/>
      <c r="AF215" s="607"/>
      <c r="AG215" s="607"/>
      <c r="AH215" s="607"/>
      <c r="AI215" s="607"/>
      <c r="AJ215" s="826"/>
      <c r="AK215" s="607"/>
    </row>
    <row r="216" spans="1:37" hidden="1">
      <c r="A216" s="849"/>
      <c r="B216" s="876" t="s">
        <v>1984</v>
      </c>
      <c r="C216" s="877"/>
      <c r="D216" s="878"/>
      <c r="E216" s="878"/>
      <c r="F216" s="878"/>
      <c r="G216" s="878"/>
      <c r="H216" s="878"/>
      <c r="I216" s="878"/>
      <c r="J216" s="878"/>
      <c r="K216" s="879"/>
      <c r="L216" s="879"/>
      <c r="M216" s="879"/>
      <c r="N216" s="879"/>
      <c r="O216" s="879"/>
      <c r="P216" s="879"/>
      <c r="Q216" s="879"/>
      <c r="R216" s="879"/>
      <c r="S216" s="535"/>
      <c r="T216" s="535"/>
      <c r="U216" s="535"/>
      <c r="V216" s="535"/>
      <c r="W216" s="535"/>
      <c r="X216" s="535"/>
      <c r="Y216" s="640"/>
      <c r="Z216" s="640"/>
      <c r="AA216" s="640"/>
      <c r="AB216" s="640"/>
      <c r="AC216" s="535"/>
      <c r="AD216" s="535"/>
      <c r="AE216" s="607"/>
      <c r="AF216" s="607"/>
      <c r="AG216" s="607"/>
      <c r="AH216" s="607"/>
      <c r="AI216" s="607"/>
      <c r="AJ216" s="826"/>
      <c r="AK216" s="607"/>
    </row>
    <row r="217" spans="1:37" hidden="1">
      <c r="A217" s="849"/>
      <c r="B217" s="876" t="s">
        <v>1586</v>
      </c>
      <c r="C217" s="877"/>
      <c r="D217" s="878"/>
      <c r="E217" s="878"/>
      <c r="F217" s="878"/>
      <c r="G217" s="878"/>
      <c r="H217" s="878"/>
      <c r="I217" s="878"/>
      <c r="J217" s="878"/>
      <c r="K217" s="879"/>
      <c r="L217" s="879"/>
      <c r="M217" s="879"/>
      <c r="N217" s="879"/>
      <c r="O217" s="879"/>
      <c r="P217" s="879"/>
      <c r="Q217" s="879"/>
      <c r="R217" s="879"/>
      <c r="S217" s="535"/>
      <c r="T217" s="535"/>
      <c r="U217" s="535"/>
      <c r="V217" s="535"/>
      <c r="W217" s="535"/>
      <c r="X217" s="535"/>
      <c r="Y217" s="640"/>
      <c r="Z217" s="640"/>
      <c r="AA217" s="640"/>
      <c r="AB217" s="640"/>
      <c r="AC217" s="535"/>
      <c r="AD217" s="535"/>
      <c r="AE217" s="607"/>
      <c r="AF217" s="607"/>
      <c r="AG217" s="607"/>
      <c r="AH217" s="607"/>
      <c r="AI217" s="607"/>
      <c r="AJ217" s="826"/>
      <c r="AK217" s="607"/>
    </row>
    <row r="218" spans="1:37" hidden="1">
      <c r="A218" s="849"/>
      <c r="B218" s="880" t="s">
        <v>1587</v>
      </c>
      <c r="C218" s="877"/>
      <c r="D218" s="878"/>
      <c r="E218" s="878"/>
      <c r="F218" s="878"/>
      <c r="G218" s="878"/>
      <c r="H218" s="878"/>
      <c r="I218" s="878"/>
      <c r="J218" s="878"/>
      <c r="K218" s="879"/>
      <c r="L218" s="879"/>
      <c r="M218" s="879"/>
      <c r="N218" s="879"/>
      <c r="O218" s="879"/>
      <c r="P218" s="879"/>
      <c r="Q218" s="879"/>
      <c r="R218" s="879"/>
      <c r="S218" s="535"/>
      <c r="T218" s="535"/>
      <c r="U218" s="535"/>
      <c r="V218" s="535"/>
      <c r="W218" s="535"/>
      <c r="X218" s="535"/>
      <c r="Y218" s="640"/>
      <c r="Z218" s="640"/>
      <c r="AA218" s="640"/>
      <c r="AB218" s="640"/>
      <c r="AC218" s="535"/>
      <c r="AD218" s="535"/>
      <c r="AE218" s="607"/>
      <c r="AF218" s="607"/>
      <c r="AG218" s="607"/>
      <c r="AH218" s="607"/>
      <c r="AI218" s="607"/>
      <c r="AJ218" s="826"/>
      <c r="AK218" s="607"/>
    </row>
    <row r="219" spans="1:37" hidden="1">
      <c r="A219" s="849"/>
      <c r="B219" s="881" t="s">
        <v>1623</v>
      </c>
      <c r="C219" s="882"/>
      <c r="D219" s="883"/>
      <c r="E219" s="883"/>
      <c r="F219" s="883"/>
      <c r="G219" s="883"/>
      <c r="H219" s="883"/>
      <c r="I219" s="883"/>
      <c r="J219" s="883"/>
      <c r="K219" s="884"/>
      <c r="L219" s="884"/>
      <c r="M219" s="884"/>
      <c r="N219" s="884"/>
      <c r="O219" s="884"/>
      <c r="P219" s="884"/>
      <c r="Q219" s="884"/>
      <c r="R219" s="884"/>
      <c r="S219" s="732"/>
      <c r="T219" s="732"/>
      <c r="U219" s="732"/>
      <c r="V219" s="732"/>
      <c r="W219" s="732"/>
      <c r="X219" s="732"/>
      <c r="Y219" s="827"/>
      <c r="Z219" s="827"/>
      <c r="AA219" s="827"/>
      <c r="AB219" s="827"/>
      <c r="AC219" s="732"/>
      <c r="AD219" s="732"/>
      <c r="AE219" s="828"/>
      <c r="AF219" s="828"/>
      <c r="AG219" s="828"/>
      <c r="AH219" s="828"/>
      <c r="AI219" s="828"/>
      <c r="AJ219" s="829"/>
      <c r="AK219" s="607"/>
    </row>
    <row r="220" spans="1:37" hidden="1">
      <c r="A220" s="602"/>
      <c r="B220" s="602"/>
      <c r="C220" s="658"/>
      <c r="D220" s="822"/>
      <c r="E220" s="822"/>
      <c r="F220" s="822"/>
      <c r="G220" s="822"/>
      <c r="H220" s="822"/>
      <c r="I220" s="822"/>
      <c r="J220" s="822"/>
      <c r="K220" s="535"/>
      <c r="L220" s="535"/>
      <c r="M220" s="535"/>
      <c r="N220" s="535"/>
      <c r="O220" s="535"/>
      <c r="P220" s="535"/>
      <c r="Q220" s="535"/>
      <c r="R220" s="535"/>
      <c r="S220" s="535"/>
      <c r="T220" s="535"/>
      <c r="U220" s="535"/>
      <c r="V220" s="535"/>
      <c r="W220" s="535"/>
      <c r="X220" s="535"/>
      <c r="Y220" s="640"/>
      <c r="Z220" s="640"/>
      <c r="AA220" s="640"/>
      <c r="AB220" s="640"/>
      <c r="AC220" s="535"/>
      <c r="AD220" s="535"/>
      <c r="AE220" s="607"/>
      <c r="AF220" s="607"/>
      <c r="AG220" s="607"/>
      <c r="AH220" s="607"/>
      <c r="AI220" s="607"/>
      <c r="AJ220" s="607"/>
      <c r="AK220" s="607"/>
    </row>
    <row r="221" spans="1:37" hidden="1">
      <c r="A221" s="602"/>
      <c r="B221" s="843"/>
      <c r="C221" s="475"/>
      <c r="D221" s="475"/>
      <c r="I221" s="2472" t="s">
        <v>1594</v>
      </c>
      <c r="J221" s="2472"/>
      <c r="K221" s="2472"/>
      <c r="L221" s="535"/>
      <c r="M221" s="535"/>
      <c r="N221" s="535"/>
      <c r="O221" s="535"/>
      <c r="P221" s="535"/>
      <c r="Q221" s="535"/>
      <c r="R221" s="535"/>
      <c r="S221" s="535"/>
      <c r="T221" s="2640" t="s">
        <v>1588</v>
      </c>
      <c r="U221" s="2640"/>
      <c r="V221" s="2640"/>
      <c r="W221" s="2640"/>
      <c r="X221" s="2640"/>
      <c r="Y221" s="2640"/>
      <c r="Z221" s="844"/>
      <c r="AA221" s="488"/>
      <c r="AB221" s="2467" t="s">
        <v>1589</v>
      </c>
      <c r="AC221" s="2467"/>
      <c r="AD221" s="2467"/>
      <c r="AE221" s="2467"/>
      <c r="AF221" s="2467"/>
      <c r="AG221" s="2467"/>
      <c r="AH221" s="822"/>
      <c r="AI221" s="822"/>
      <c r="AJ221" s="822"/>
      <c r="AK221" s="607"/>
    </row>
    <row r="222" spans="1:37" hidden="1">
      <c r="A222" s="602"/>
      <c r="B222" s="2470" t="s">
        <v>1574</v>
      </c>
      <c r="C222" s="2470"/>
      <c r="D222" s="2470"/>
      <c r="E222" s="2470"/>
      <c r="F222" s="2470"/>
      <c r="G222" s="2470"/>
      <c r="I222" s="2471" t="s">
        <v>1595</v>
      </c>
      <c r="J222" s="2471"/>
      <c r="K222" s="2471"/>
      <c r="L222" s="1002"/>
      <c r="N222" s="2461" t="s">
        <v>1590</v>
      </c>
      <c r="O222" s="2461"/>
      <c r="P222" s="2461"/>
      <c r="Q222" s="2461"/>
      <c r="R222" s="2461"/>
      <c r="T222" s="2461" t="s">
        <v>1591</v>
      </c>
      <c r="U222" s="2461"/>
      <c r="V222" s="2461"/>
      <c r="W222" s="2461"/>
      <c r="X222" s="2461"/>
      <c r="Y222" s="2461"/>
      <c r="Z222" s="845"/>
      <c r="AA222" s="488"/>
      <c r="AB222" s="2619" t="s">
        <v>1592</v>
      </c>
      <c r="AC222" s="2619"/>
      <c r="AD222" s="2619"/>
      <c r="AE222" s="2619"/>
      <c r="AF222" s="2619"/>
      <c r="AG222" s="2619"/>
      <c r="AH222" s="822"/>
      <c r="AI222" s="822"/>
      <c r="AJ222" s="822"/>
      <c r="AK222" s="607"/>
    </row>
    <row r="223" spans="1:37" hidden="1">
      <c r="A223" s="602"/>
      <c r="B223" s="2473" t="s">
        <v>1182</v>
      </c>
      <c r="C223" s="2473"/>
      <c r="D223" s="2473"/>
      <c r="E223" s="2473"/>
      <c r="F223" s="2473"/>
      <c r="G223" s="2473"/>
      <c r="H223" s="847"/>
      <c r="I223" s="2459"/>
      <c r="J223" s="2459"/>
      <c r="K223" s="2459"/>
      <c r="L223" s="1002"/>
      <c r="N223" s="2514"/>
      <c r="O223" s="2514"/>
      <c r="P223" s="2514"/>
      <c r="Q223" s="2514"/>
      <c r="R223" s="2514"/>
      <c r="T223" s="2618"/>
      <c r="U223" s="2618"/>
      <c r="V223" s="2618"/>
      <c r="W223" s="2618"/>
      <c r="X223" s="2618"/>
      <c r="Y223" s="2618"/>
      <c r="Z223" s="846"/>
      <c r="AA223" s="846"/>
      <c r="AB223" s="2458">
        <f t="shared" ref="AB223:AB232" si="0">MAX(($T223-$N223)*$I223*12,0)</f>
        <v>0</v>
      </c>
      <c r="AC223" s="2458"/>
      <c r="AD223" s="2458"/>
      <c r="AE223" s="2458"/>
      <c r="AF223" s="2458"/>
      <c r="AG223" s="2458"/>
      <c r="AH223" s="822"/>
      <c r="AI223" s="822"/>
      <c r="AJ223" s="822"/>
      <c r="AK223" s="607"/>
    </row>
    <row r="224" spans="1:37" hidden="1">
      <c r="A224" s="602"/>
      <c r="B224" s="2473" t="s">
        <v>1182</v>
      </c>
      <c r="C224" s="2473"/>
      <c r="D224" s="2473"/>
      <c r="E224" s="2473"/>
      <c r="F224" s="2473"/>
      <c r="G224" s="2473"/>
      <c r="I224" s="2459"/>
      <c r="J224" s="2459"/>
      <c r="K224" s="2459"/>
      <c r="L224" s="1002"/>
      <c r="N224" s="2514"/>
      <c r="O224" s="2514"/>
      <c r="P224" s="2514"/>
      <c r="Q224" s="2514"/>
      <c r="R224" s="2514"/>
      <c r="T224" s="2618"/>
      <c r="U224" s="2618"/>
      <c r="V224" s="2618"/>
      <c r="W224" s="2618"/>
      <c r="X224" s="2618"/>
      <c r="Y224" s="2618"/>
      <c r="Z224" s="846"/>
      <c r="AA224" s="846"/>
      <c r="AB224" s="2458">
        <f t="shared" si="0"/>
        <v>0</v>
      </c>
      <c r="AC224" s="2458"/>
      <c r="AD224" s="2458"/>
      <c r="AE224" s="2458"/>
      <c r="AF224" s="2458"/>
      <c r="AG224" s="2458"/>
      <c r="AH224" s="822"/>
      <c r="AI224" s="822"/>
      <c r="AJ224" s="822"/>
      <c r="AK224" s="607"/>
    </row>
    <row r="225" spans="1:37" hidden="1">
      <c r="A225" s="602"/>
      <c r="B225" s="2473" t="s">
        <v>1182</v>
      </c>
      <c r="C225" s="2473"/>
      <c r="D225" s="2473"/>
      <c r="E225" s="2473"/>
      <c r="F225" s="2473"/>
      <c r="G225" s="2473"/>
      <c r="I225" s="2459"/>
      <c r="J225" s="2459"/>
      <c r="K225" s="2459"/>
      <c r="L225" s="1002"/>
      <c r="N225" s="2514"/>
      <c r="O225" s="2514"/>
      <c r="P225" s="2514"/>
      <c r="Q225" s="2514"/>
      <c r="R225" s="2514"/>
      <c r="T225" s="2618"/>
      <c r="U225" s="2618"/>
      <c r="V225" s="2618"/>
      <c r="W225" s="2618"/>
      <c r="X225" s="2618"/>
      <c r="Y225" s="2618"/>
      <c r="Z225" s="846"/>
      <c r="AA225" s="846"/>
      <c r="AB225" s="2458">
        <f t="shared" si="0"/>
        <v>0</v>
      </c>
      <c r="AC225" s="2458"/>
      <c r="AD225" s="2458"/>
      <c r="AE225" s="2458"/>
      <c r="AF225" s="2458"/>
      <c r="AG225" s="2458"/>
      <c r="AH225" s="822"/>
      <c r="AI225" s="822"/>
      <c r="AJ225" s="822"/>
      <c r="AK225" s="607"/>
    </row>
    <row r="226" spans="1:37" hidden="1">
      <c r="A226" s="602"/>
      <c r="B226" s="2473" t="s">
        <v>1182</v>
      </c>
      <c r="C226" s="2473"/>
      <c r="D226" s="2473"/>
      <c r="E226" s="2473"/>
      <c r="F226" s="2473"/>
      <c r="G226" s="2473"/>
      <c r="I226" s="2459"/>
      <c r="J226" s="2459"/>
      <c r="K226" s="2459"/>
      <c r="L226" s="1002"/>
      <c r="N226" s="2514"/>
      <c r="O226" s="2514"/>
      <c r="P226" s="2514"/>
      <c r="Q226" s="2514"/>
      <c r="R226" s="2514"/>
      <c r="T226" s="2618"/>
      <c r="U226" s="2618"/>
      <c r="V226" s="2618"/>
      <c r="W226" s="2618"/>
      <c r="X226" s="2618"/>
      <c r="Y226" s="2618"/>
      <c r="Z226" s="846"/>
      <c r="AA226" s="846"/>
      <c r="AB226" s="2458">
        <f t="shared" si="0"/>
        <v>0</v>
      </c>
      <c r="AC226" s="2458"/>
      <c r="AD226" s="2458"/>
      <c r="AE226" s="2458"/>
      <c r="AF226" s="2458"/>
      <c r="AG226" s="2458"/>
      <c r="AH226" s="822"/>
      <c r="AI226" s="822"/>
      <c r="AJ226" s="822"/>
      <c r="AK226" s="607"/>
    </row>
    <row r="227" spans="1:37" hidden="1">
      <c r="A227" s="602"/>
      <c r="B227" s="2473" t="s">
        <v>1182</v>
      </c>
      <c r="C227" s="2473"/>
      <c r="D227" s="2473"/>
      <c r="E227" s="2473"/>
      <c r="F227" s="2473"/>
      <c r="G227" s="2473"/>
      <c r="I227" s="2459"/>
      <c r="J227" s="2459"/>
      <c r="K227" s="2459"/>
      <c r="L227" s="1009"/>
      <c r="N227" s="2514"/>
      <c r="O227" s="2514"/>
      <c r="P227" s="2514"/>
      <c r="Q227" s="2514"/>
      <c r="R227" s="2514"/>
      <c r="T227" s="2618"/>
      <c r="U227" s="2618"/>
      <c r="V227" s="2618"/>
      <c r="W227" s="2618"/>
      <c r="X227" s="2618"/>
      <c r="Y227" s="2618"/>
      <c r="Z227" s="846"/>
      <c r="AA227" s="846"/>
      <c r="AB227" s="2458">
        <f t="shared" si="0"/>
        <v>0</v>
      </c>
      <c r="AC227" s="2458"/>
      <c r="AD227" s="2458"/>
      <c r="AE227" s="2458"/>
      <c r="AF227" s="2458"/>
      <c r="AG227" s="2458"/>
      <c r="AH227" s="822"/>
      <c r="AI227" s="822"/>
      <c r="AJ227" s="822"/>
      <c r="AK227" s="607"/>
    </row>
    <row r="228" spans="1:37" hidden="1">
      <c r="A228" s="602"/>
      <c r="B228" s="2473" t="s">
        <v>1182</v>
      </c>
      <c r="C228" s="2473"/>
      <c r="D228" s="2473"/>
      <c r="E228" s="2473"/>
      <c r="F228" s="2473"/>
      <c r="G228" s="2473"/>
      <c r="I228" s="2459"/>
      <c r="J228" s="2459"/>
      <c r="K228" s="2459"/>
      <c r="L228" s="1009"/>
      <c r="N228" s="2514"/>
      <c r="O228" s="2514"/>
      <c r="P228" s="2514"/>
      <c r="Q228" s="2514"/>
      <c r="R228" s="2514"/>
      <c r="T228" s="2618"/>
      <c r="U228" s="2618"/>
      <c r="V228" s="2618"/>
      <c r="W228" s="2618"/>
      <c r="X228" s="2618"/>
      <c r="Y228" s="2618"/>
      <c r="Z228" s="846"/>
      <c r="AA228" s="846"/>
      <c r="AB228" s="2458">
        <f t="shared" si="0"/>
        <v>0</v>
      </c>
      <c r="AC228" s="2458"/>
      <c r="AD228" s="2458"/>
      <c r="AE228" s="2458"/>
      <c r="AF228" s="2458"/>
      <c r="AG228" s="2458"/>
      <c r="AH228" s="822"/>
      <c r="AI228" s="822"/>
      <c r="AJ228" s="822"/>
      <c r="AK228" s="607"/>
    </row>
    <row r="229" spans="1:37" hidden="1">
      <c r="A229" s="602"/>
      <c r="B229" s="2473" t="s">
        <v>1182</v>
      </c>
      <c r="C229" s="2473"/>
      <c r="D229" s="2473"/>
      <c r="E229" s="2473"/>
      <c r="F229" s="2473"/>
      <c r="G229" s="2473"/>
      <c r="I229" s="2459"/>
      <c r="J229" s="2459"/>
      <c r="K229" s="2459"/>
      <c r="L229" s="1009"/>
      <c r="N229" s="2514"/>
      <c r="O229" s="2514"/>
      <c r="P229" s="2514"/>
      <c r="Q229" s="2514"/>
      <c r="R229" s="2514"/>
      <c r="T229" s="2618"/>
      <c r="U229" s="2618"/>
      <c r="V229" s="2618"/>
      <c r="W229" s="2618"/>
      <c r="X229" s="2618"/>
      <c r="Y229" s="2618"/>
      <c r="Z229" s="846"/>
      <c r="AA229" s="846"/>
      <c r="AB229" s="2458">
        <f t="shared" si="0"/>
        <v>0</v>
      </c>
      <c r="AC229" s="2458"/>
      <c r="AD229" s="2458"/>
      <c r="AE229" s="2458"/>
      <c r="AF229" s="2458"/>
      <c r="AG229" s="2458"/>
      <c r="AH229" s="822"/>
      <c r="AI229" s="822"/>
      <c r="AJ229" s="822"/>
      <c r="AK229" s="607"/>
    </row>
    <row r="230" spans="1:37" hidden="1">
      <c r="A230" s="602"/>
      <c r="B230" s="2473" t="s">
        <v>1182</v>
      </c>
      <c r="C230" s="2473"/>
      <c r="D230" s="2473"/>
      <c r="E230" s="2473"/>
      <c r="F230" s="2473"/>
      <c r="G230" s="2473"/>
      <c r="I230" s="2459"/>
      <c r="J230" s="2459"/>
      <c r="K230" s="2459"/>
      <c r="L230" s="1009"/>
      <c r="N230" s="2514"/>
      <c r="O230" s="2514"/>
      <c r="P230" s="2514"/>
      <c r="Q230" s="2514"/>
      <c r="R230" s="2514"/>
      <c r="T230" s="2618"/>
      <c r="U230" s="2618"/>
      <c r="V230" s="2618"/>
      <c r="W230" s="2618"/>
      <c r="X230" s="2618"/>
      <c r="Y230" s="2618"/>
      <c r="Z230" s="846"/>
      <c r="AA230" s="846"/>
      <c r="AB230" s="2458">
        <f t="shared" si="0"/>
        <v>0</v>
      </c>
      <c r="AC230" s="2458"/>
      <c r="AD230" s="2458"/>
      <c r="AE230" s="2458"/>
      <c r="AF230" s="2458"/>
      <c r="AG230" s="2458"/>
      <c r="AH230" s="822"/>
      <c r="AI230" s="822"/>
      <c r="AJ230" s="822"/>
      <c r="AK230" s="607"/>
    </row>
    <row r="231" spans="1:37" hidden="1">
      <c r="A231" s="602"/>
      <c r="B231" s="2473" t="s">
        <v>1182</v>
      </c>
      <c r="C231" s="2473"/>
      <c r="D231" s="2473"/>
      <c r="E231" s="2473"/>
      <c r="F231" s="2473"/>
      <c r="G231" s="2473"/>
      <c r="I231" s="2459"/>
      <c r="J231" s="2459"/>
      <c r="K231" s="2459"/>
      <c r="L231" s="1009"/>
      <c r="N231" s="2514"/>
      <c r="O231" s="2514"/>
      <c r="P231" s="2514"/>
      <c r="Q231" s="2514"/>
      <c r="R231" s="2514"/>
      <c r="T231" s="2618"/>
      <c r="U231" s="2618"/>
      <c r="V231" s="2618"/>
      <c r="W231" s="2618"/>
      <c r="X231" s="2618"/>
      <c r="Y231" s="2618"/>
      <c r="Z231" s="846"/>
      <c r="AA231" s="846"/>
      <c r="AB231" s="2458">
        <f t="shared" si="0"/>
        <v>0</v>
      </c>
      <c r="AC231" s="2458"/>
      <c r="AD231" s="2458"/>
      <c r="AE231" s="2458"/>
      <c r="AF231" s="2458"/>
      <c r="AG231" s="2458"/>
      <c r="AH231" s="822"/>
      <c r="AI231" s="822"/>
      <c r="AJ231" s="822"/>
      <c r="AK231" s="607"/>
    </row>
    <row r="232" spans="1:37" hidden="1">
      <c r="A232" s="602"/>
      <c r="B232" s="2473" t="s">
        <v>1182</v>
      </c>
      <c r="C232" s="2473"/>
      <c r="D232" s="2473"/>
      <c r="E232" s="2473"/>
      <c r="F232" s="2473"/>
      <c r="G232" s="2473"/>
      <c r="I232" s="2460"/>
      <c r="J232" s="2460"/>
      <c r="K232" s="2460"/>
      <c r="L232" s="1009"/>
      <c r="N232" s="2514"/>
      <c r="O232" s="2514"/>
      <c r="P232" s="2514"/>
      <c r="Q232" s="2514"/>
      <c r="R232" s="2514"/>
      <c r="T232" s="2618"/>
      <c r="U232" s="2618"/>
      <c r="V232" s="2618"/>
      <c r="W232" s="2618"/>
      <c r="X232" s="2618"/>
      <c r="Y232" s="2618"/>
      <c r="Z232" s="846"/>
      <c r="AA232" s="846"/>
      <c r="AB232" s="2627">
        <f t="shared" si="0"/>
        <v>0</v>
      </c>
      <c r="AC232" s="2627"/>
      <c r="AD232" s="2627"/>
      <c r="AE232" s="2627"/>
      <c r="AF232" s="2627"/>
      <c r="AG232" s="2627"/>
      <c r="AH232" s="822"/>
      <c r="AI232" s="822"/>
      <c r="AJ232" s="822"/>
      <c r="AK232" s="607"/>
    </row>
    <row r="233" spans="1:37" hidden="1">
      <c r="A233" s="602"/>
      <c r="B233" s="475"/>
      <c r="C233" s="847"/>
      <c r="D233" s="475"/>
      <c r="K233" s="535"/>
      <c r="L233" s="535"/>
      <c r="M233" s="535"/>
      <c r="N233" s="535"/>
      <c r="O233" s="535"/>
      <c r="P233" s="535"/>
      <c r="Q233" s="535"/>
      <c r="R233" s="535"/>
      <c r="S233" s="535"/>
      <c r="T233" s="535"/>
      <c r="U233" s="535"/>
      <c r="V233" s="535"/>
      <c r="W233" s="535"/>
      <c r="X233" s="535"/>
      <c r="Y233" s="848" t="s">
        <v>1593</v>
      </c>
      <c r="AA233" s="848"/>
      <c r="AB233" s="2458">
        <f>SUM(AB223:AB232)</f>
        <v>0</v>
      </c>
      <c r="AC233" s="2458"/>
      <c r="AD233" s="2458"/>
      <c r="AE233" s="2458"/>
      <c r="AF233" s="2458"/>
      <c r="AG233" s="2458"/>
      <c r="AH233" s="822"/>
      <c r="AI233" s="822"/>
      <c r="AJ233" s="822"/>
      <c r="AK233" s="607"/>
    </row>
    <row r="234" spans="1:37" hidden="1">
      <c r="A234" s="602"/>
      <c r="B234" s="602"/>
      <c r="C234" s="658"/>
      <c r="D234" s="822"/>
      <c r="E234" s="822"/>
      <c r="F234" s="822"/>
      <c r="G234" s="822"/>
      <c r="H234" s="822"/>
      <c r="I234" s="822"/>
      <c r="J234" s="822"/>
      <c r="K234" s="548"/>
      <c r="L234" s="548"/>
      <c r="M234" s="548"/>
      <c r="N234" s="548"/>
      <c r="O234" s="548"/>
      <c r="P234" s="548"/>
      <c r="Q234" s="548"/>
      <c r="R234" s="548"/>
      <c r="S234" s="548"/>
      <c r="T234" s="548"/>
      <c r="U234" s="548"/>
      <c r="V234" s="548"/>
      <c r="W234" s="548"/>
      <c r="X234" s="548"/>
      <c r="Y234" s="640"/>
      <c r="Z234" s="640"/>
      <c r="AA234" s="640"/>
      <c r="AB234" s="640"/>
      <c r="AC234" s="548"/>
      <c r="AD234" s="548"/>
      <c r="AE234" s="607"/>
      <c r="AF234" s="607"/>
      <c r="AG234" s="607"/>
      <c r="AH234" s="607"/>
      <c r="AI234" s="607"/>
      <c r="AJ234" s="607"/>
      <c r="AK234" s="607"/>
    </row>
    <row r="235" spans="1:37" hidden="1">
      <c r="A235" s="1129" t="s">
        <v>1583</v>
      </c>
      <c r="C235" s="658"/>
      <c r="D235" s="822"/>
      <c r="E235" s="822"/>
      <c r="F235" s="822"/>
      <c r="G235" s="822"/>
      <c r="H235" s="822"/>
      <c r="I235" s="822"/>
      <c r="J235" s="822"/>
      <c r="K235" s="535"/>
      <c r="L235" s="535"/>
      <c r="M235" s="535"/>
      <c r="N235" s="535"/>
      <c r="O235" s="535"/>
      <c r="P235" s="535"/>
      <c r="Q235" s="535"/>
      <c r="R235" s="535"/>
      <c r="S235" s="535"/>
      <c r="T235" s="535"/>
      <c r="U235" s="535"/>
      <c r="V235" s="535"/>
      <c r="W235" s="535"/>
      <c r="X235" s="535"/>
      <c r="Y235" s="640"/>
      <c r="Z235" s="640"/>
      <c r="AA235" s="640"/>
      <c r="AB235" s="640"/>
      <c r="AC235" s="535"/>
      <c r="AD235" s="535"/>
      <c r="AE235" s="607"/>
      <c r="AF235" s="607"/>
      <c r="AG235" s="607"/>
      <c r="AH235" s="607"/>
      <c r="AI235" s="607"/>
      <c r="AJ235" s="607"/>
      <c r="AK235" s="607"/>
    </row>
    <row r="236" spans="1:37" hidden="1">
      <c r="A236" s="602"/>
      <c r="B236" s="475" t="s">
        <v>1611</v>
      </c>
      <c r="C236" s="658"/>
      <c r="D236" s="822"/>
      <c r="E236" s="822"/>
      <c r="F236" s="822"/>
      <c r="G236" s="822"/>
      <c r="H236" s="822"/>
      <c r="I236" s="822"/>
      <c r="J236" s="822"/>
      <c r="K236" s="535"/>
      <c r="L236" s="535"/>
      <c r="M236" s="535"/>
      <c r="N236" s="535"/>
      <c r="O236" s="535"/>
      <c r="P236" s="535"/>
      <c r="Q236" s="535"/>
      <c r="R236" s="535"/>
      <c r="S236" s="535"/>
      <c r="T236" s="535"/>
      <c r="U236" s="535"/>
      <c r="V236" s="535"/>
      <c r="W236" s="535"/>
      <c r="X236" s="535"/>
      <c r="Y236" s="640"/>
      <c r="Z236" s="640"/>
      <c r="AA236" s="640"/>
      <c r="AB236" s="640"/>
      <c r="AC236" s="535"/>
      <c r="AD236" s="535"/>
      <c r="AE236" s="607"/>
      <c r="AF236" s="607"/>
      <c r="AG236" s="607"/>
      <c r="AH236" s="607"/>
      <c r="AI236" s="607"/>
      <c r="AJ236" s="607"/>
      <c r="AK236" s="607"/>
    </row>
    <row r="237" spans="1:37" hidden="1">
      <c r="A237" s="602"/>
      <c r="B237" s="475"/>
      <c r="C237" s="658"/>
      <c r="D237" s="822"/>
      <c r="E237" s="822"/>
      <c r="F237" s="822"/>
      <c r="G237" s="822"/>
      <c r="H237" s="822"/>
      <c r="I237" s="822"/>
      <c r="J237" s="822"/>
      <c r="K237" s="535"/>
      <c r="L237" s="535"/>
      <c r="M237" s="535"/>
      <c r="N237" s="535"/>
      <c r="O237" s="535"/>
      <c r="P237" s="535"/>
      <c r="Q237" s="535"/>
      <c r="R237" s="535"/>
      <c r="S237" s="535"/>
      <c r="T237" s="535"/>
      <c r="U237" s="535"/>
      <c r="V237" s="535"/>
      <c r="W237" s="535"/>
      <c r="X237" s="535"/>
      <c r="Y237" s="640"/>
      <c r="Z237" s="640"/>
      <c r="AA237" s="640"/>
      <c r="AB237" s="640"/>
      <c r="AC237" s="535"/>
      <c r="AD237" s="535"/>
      <c r="AE237" s="607"/>
      <c r="AF237" s="607"/>
      <c r="AG237" s="607"/>
      <c r="AH237" s="607"/>
      <c r="AI237" s="607"/>
      <c r="AJ237" s="607"/>
      <c r="AK237" s="607"/>
    </row>
    <row r="238" spans="1:37" hidden="1">
      <c r="A238" s="602"/>
      <c r="B238" s="831" t="s">
        <v>1609</v>
      </c>
      <c r="C238" s="658"/>
      <c r="D238" s="822"/>
      <c r="E238" s="822"/>
      <c r="F238" s="822"/>
      <c r="G238" s="822"/>
      <c r="H238" s="822"/>
      <c r="I238" s="822"/>
      <c r="J238" s="822"/>
      <c r="K238" s="535"/>
      <c r="L238" s="535"/>
      <c r="M238" s="535"/>
      <c r="N238" s="535"/>
      <c r="O238" s="535"/>
      <c r="P238" s="535"/>
      <c r="Q238" s="535"/>
      <c r="R238" s="535"/>
      <c r="S238" s="535"/>
      <c r="T238" s="535"/>
      <c r="U238" s="535"/>
      <c r="V238" s="535"/>
      <c r="W238" s="535"/>
      <c r="X238" s="535"/>
      <c r="Y238" s="640"/>
      <c r="Z238" s="640"/>
      <c r="AA238" s="640"/>
      <c r="AB238" s="640"/>
      <c r="AC238" s="535"/>
      <c r="AD238" s="535"/>
      <c r="AE238" s="607"/>
      <c r="AF238" s="607"/>
      <c r="AG238" s="607"/>
      <c r="AH238" s="607"/>
      <c r="AI238" s="607"/>
      <c r="AJ238" s="607"/>
      <c r="AK238" s="607"/>
    </row>
    <row r="239" spans="1:37" hidden="1">
      <c r="A239" s="602"/>
      <c r="B239" s="831" t="s">
        <v>1603</v>
      </c>
      <c r="C239" s="658"/>
      <c r="D239" s="822"/>
      <c r="E239" s="822"/>
      <c r="F239" s="822"/>
      <c r="G239" s="822"/>
      <c r="H239" s="822"/>
      <c r="I239" s="822"/>
      <c r="J239" s="822"/>
      <c r="K239" s="535"/>
      <c r="L239" s="535"/>
      <c r="M239" s="535"/>
      <c r="N239" s="535"/>
      <c r="O239" s="535"/>
      <c r="P239" s="535"/>
      <c r="Q239" s="535"/>
      <c r="R239" s="535"/>
      <c r="S239" s="535"/>
      <c r="T239" s="535"/>
      <c r="U239" s="535"/>
      <c r="V239" s="535"/>
      <c r="W239" s="535"/>
      <c r="X239" s="535"/>
      <c r="Y239" s="640"/>
      <c r="Z239" s="640"/>
      <c r="AA239" s="640"/>
      <c r="AB239" s="2628"/>
      <c r="AC239" s="2628"/>
      <c r="AD239" s="2628"/>
      <c r="AE239" s="2628"/>
      <c r="AF239" s="2628"/>
      <c r="AG239" s="2628"/>
      <c r="AH239" s="607"/>
      <c r="AI239" s="607"/>
      <c r="AJ239" s="607"/>
      <c r="AK239" s="607"/>
    </row>
    <row r="240" spans="1:37" hidden="1">
      <c r="A240" s="602"/>
      <c r="B240" s="832" t="s">
        <v>1608</v>
      </c>
      <c r="C240" s="613"/>
      <c r="D240" s="830"/>
      <c r="E240" s="822"/>
      <c r="F240" s="822"/>
      <c r="G240" s="822"/>
      <c r="H240" s="822"/>
      <c r="I240" s="822"/>
      <c r="J240" s="822"/>
      <c r="K240" s="535"/>
      <c r="L240" s="535"/>
      <c r="M240" s="535"/>
      <c r="N240" s="535"/>
      <c r="O240" s="535"/>
      <c r="P240" s="535"/>
      <c r="Q240" s="535"/>
      <c r="R240" s="535"/>
      <c r="S240" s="535"/>
      <c r="T240" s="535"/>
      <c r="U240" s="535"/>
      <c r="V240" s="535"/>
      <c r="W240" s="535"/>
      <c r="X240" s="535"/>
      <c r="Y240" s="640"/>
      <c r="Z240" s="640"/>
      <c r="AA240" s="640"/>
      <c r="AB240" s="640"/>
      <c r="AC240" s="535"/>
      <c r="AD240" s="535"/>
      <c r="AE240" s="607"/>
      <c r="AF240" s="607"/>
      <c r="AG240" s="607"/>
      <c r="AH240" s="607"/>
      <c r="AI240" s="607"/>
      <c r="AJ240" s="607"/>
      <c r="AK240" s="607"/>
    </row>
    <row r="241" spans="1:37" hidden="1">
      <c r="A241" s="602"/>
      <c r="B241" s="833" t="s">
        <v>1610</v>
      </c>
      <c r="C241" s="658"/>
      <c r="D241" s="822"/>
      <c r="E241" s="822"/>
      <c r="F241" s="822"/>
      <c r="G241" s="822"/>
      <c r="H241" s="822"/>
      <c r="I241" s="822"/>
      <c r="J241" s="822"/>
      <c r="K241" s="535"/>
      <c r="L241" s="535"/>
      <c r="M241" s="535"/>
      <c r="N241" s="535"/>
      <c r="O241" s="535"/>
      <c r="P241" s="535"/>
      <c r="Q241" s="535"/>
      <c r="R241" s="535"/>
      <c r="S241" s="535"/>
      <c r="T241" s="535"/>
      <c r="U241" s="535"/>
      <c r="V241" s="535"/>
      <c r="W241" s="535"/>
      <c r="X241" s="535"/>
      <c r="Y241" s="640"/>
      <c r="Z241" s="640"/>
      <c r="AA241" s="640"/>
      <c r="AB241" s="640"/>
      <c r="AC241" s="535"/>
      <c r="AD241" s="535"/>
      <c r="AE241" s="607"/>
      <c r="AF241" s="607"/>
      <c r="AG241" s="607"/>
      <c r="AH241" s="607"/>
      <c r="AI241" s="607"/>
      <c r="AJ241" s="607"/>
      <c r="AK241" s="607"/>
    </row>
    <row r="242" spans="1:37" hidden="1">
      <c r="A242" s="602"/>
      <c r="B242" s="833" t="s">
        <v>1604</v>
      </c>
      <c r="C242" s="658"/>
      <c r="D242" s="822"/>
      <c r="E242" s="822"/>
      <c r="F242" s="822"/>
      <c r="G242" s="822"/>
      <c r="H242" s="822"/>
      <c r="I242" s="822"/>
      <c r="J242" s="822"/>
      <c r="K242" s="535"/>
      <c r="L242" s="535"/>
      <c r="M242" s="535"/>
      <c r="N242" s="535"/>
      <c r="O242" s="535"/>
      <c r="P242" s="535"/>
      <c r="Q242" s="535"/>
      <c r="R242" s="535"/>
      <c r="S242" s="535"/>
      <c r="T242" s="535"/>
      <c r="U242" s="535"/>
      <c r="V242" s="535"/>
      <c r="W242" s="535"/>
      <c r="X242" s="535"/>
      <c r="Y242" s="640"/>
      <c r="Z242" s="640"/>
      <c r="AA242" s="640"/>
      <c r="AB242" s="2628"/>
      <c r="AC242" s="2628"/>
      <c r="AD242" s="2628"/>
      <c r="AE242" s="2628"/>
      <c r="AF242" s="2628"/>
      <c r="AG242" s="2628"/>
      <c r="AH242" s="607"/>
      <c r="AI242" s="607"/>
      <c r="AJ242" s="607"/>
      <c r="AK242" s="607"/>
    </row>
    <row r="243" spans="1:37" hidden="1">
      <c r="A243" s="602"/>
      <c r="B243" s="833" t="s">
        <v>1605</v>
      </c>
      <c r="C243" s="658"/>
      <c r="D243" s="822"/>
      <c r="E243" s="822"/>
      <c r="F243" s="822"/>
      <c r="G243" s="822"/>
      <c r="H243" s="822"/>
      <c r="I243" s="822"/>
      <c r="J243" s="822"/>
      <c r="K243" s="535"/>
      <c r="L243" s="535"/>
      <c r="M243" s="535"/>
      <c r="N243" s="535"/>
      <c r="O243" s="535"/>
      <c r="P243" s="535"/>
      <c r="Q243" s="535"/>
      <c r="R243" s="535"/>
      <c r="S243" s="535"/>
      <c r="T243" s="535"/>
      <c r="U243" s="535"/>
      <c r="V243" s="535"/>
      <c r="W243" s="535"/>
      <c r="X243" s="535"/>
      <c r="Y243" s="640"/>
      <c r="Z243" s="640"/>
      <c r="AA243" s="640"/>
      <c r="AB243" s="2639"/>
      <c r="AC243" s="2639"/>
      <c r="AD243" s="2639"/>
      <c r="AE243" s="2639"/>
      <c r="AF243" s="2639"/>
      <c r="AG243" s="2639"/>
      <c r="AH243" s="607"/>
      <c r="AI243" s="607"/>
      <c r="AJ243" s="607"/>
      <c r="AK243" s="607"/>
    </row>
    <row r="244" spans="1:37" hidden="1">
      <c r="A244" s="602"/>
      <c r="B244" s="833" t="s">
        <v>1606</v>
      </c>
      <c r="C244" s="658"/>
      <c r="D244" s="822"/>
      <c r="E244" s="822"/>
      <c r="F244" s="822"/>
      <c r="G244" s="822"/>
      <c r="H244" s="822"/>
      <c r="I244" s="822"/>
      <c r="J244" s="822"/>
      <c r="K244" s="535"/>
      <c r="L244" s="535"/>
      <c r="M244" s="535"/>
      <c r="N244" s="535"/>
      <c r="O244" s="535"/>
      <c r="P244" s="535"/>
      <c r="Q244" s="535"/>
      <c r="R244" s="535"/>
      <c r="S244" s="535"/>
      <c r="T244" s="535"/>
      <c r="U244" s="535"/>
      <c r="V244" s="535"/>
      <c r="W244" s="535"/>
      <c r="X244" s="535"/>
      <c r="Y244" s="640"/>
      <c r="Z244" s="640"/>
      <c r="AA244" s="640"/>
      <c r="AB244" s="2652">
        <f>IFERROR(AB242/AB243,0)</f>
        <v>0</v>
      </c>
      <c r="AC244" s="2652"/>
      <c r="AD244" s="2652"/>
      <c r="AE244" s="2652"/>
      <c r="AF244" s="2652"/>
      <c r="AG244" s="2652"/>
      <c r="AH244" s="607"/>
      <c r="AI244" s="607"/>
      <c r="AJ244" s="607"/>
      <c r="AK244" s="607"/>
    </row>
    <row r="245" spans="1:37" hidden="1">
      <c r="A245" s="602"/>
      <c r="B245" s="475"/>
      <c r="C245" s="658"/>
      <c r="D245" s="822"/>
      <c r="E245" s="822"/>
      <c r="F245" s="822"/>
      <c r="G245" s="822"/>
      <c r="H245" s="822"/>
      <c r="I245" s="822"/>
      <c r="J245" s="822"/>
      <c r="K245" s="535"/>
      <c r="L245" s="535"/>
      <c r="M245" s="535"/>
      <c r="N245" s="535"/>
      <c r="O245" s="535"/>
      <c r="P245" s="535"/>
      <c r="Q245" s="535"/>
      <c r="R245" s="535"/>
      <c r="S245" s="535"/>
      <c r="T245" s="535"/>
      <c r="U245" s="535"/>
      <c r="V245" s="535"/>
      <c r="W245" s="535"/>
      <c r="X245" s="535"/>
      <c r="Y245" s="640"/>
      <c r="Z245" s="640"/>
      <c r="AA245" s="640"/>
      <c r="AB245" s="640"/>
      <c r="AC245" s="535"/>
      <c r="AD245" s="535"/>
      <c r="AE245" s="607"/>
      <c r="AF245" s="607"/>
      <c r="AG245" s="607"/>
      <c r="AH245" s="607"/>
      <c r="AI245" s="607"/>
      <c r="AJ245" s="607"/>
      <c r="AK245" s="607"/>
    </row>
    <row r="246" spans="1:37" hidden="1">
      <c r="A246" s="602"/>
      <c r="B246" s="475" t="s">
        <v>1607</v>
      </c>
      <c r="C246" s="658"/>
      <c r="D246" s="822"/>
      <c r="E246" s="822"/>
      <c r="F246" s="822"/>
      <c r="G246" s="822"/>
      <c r="H246" s="822"/>
      <c r="I246" s="822"/>
      <c r="J246" s="822"/>
      <c r="K246" s="535"/>
      <c r="L246" s="535"/>
      <c r="M246" s="535"/>
      <c r="N246" s="535"/>
      <c r="O246" s="535"/>
      <c r="P246" s="535"/>
      <c r="Q246" s="535"/>
      <c r="R246" s="535"/>
      <c r="S246" s="535"/>
      <c r="T246" s="535"/>
      <c r="U246" s="535"/>
      <c r="V246" s="535"/>
      <c r="W246" s="535"/>
      <c r="X246" s="535"/>
      <c r="Y246" s="640"/>
      <c r="Z246" s="640"/>
      <c r="AA246" s="640"/>
      <c r="AB246" s="2627">
        <f>MAX(AB239,AB244)</f>
        <v>0</v>
      </c>
      <c r="AC246" s="2627"/>
      <c r="AD246" s="2627"/>
      <c r="AE246" s="2627"/>
      <c r="AF246" s="2627"/>
      <c r="AG246" s="2627"/>
      <c r="AH246" s="607"/>
      <c r="AI246" s="607"/>
      <c r="AJ246" s="607"/>
      <c r="AK246" s="607"/>
    </row>
    <row r="247" spans="1:37" hidden="1">
      <c r="A247" s="602"/>
      <c r="B247" s="475"/>
      <c r="C247" s="658"/>
      <c r="D247" s="822"/>
      <c r="E247" s="822"/>
      <c r="F247" s="822"/>
      <c r="G247" s="822"/>
      <c r="H247" s="822"/>
      <c r="I247" s="822"/>
      <c r="J247" s="822"/>
      <c r="K247" s="535"/>
      <c r="L247" s="535"/>
      <c r="M247" s="535"/>
      <c r="N247" s="535"/>
      <c r="O247" s="535"/>
      <c r="P247" s="535"/>
      <c r="Q247" s="535"/>
      <c r="R247" s="535"/>
      <c r="S247" s="535"/>
      <c r="T247" s="535"/>
      <c r="U247" s="535"/>
      <c r="V247" s="535"/>
      <c r="W247" s="535"/>
      <c r="X247" s="535"/>
      <c r="Y247" s="640"/>
      <c r="Z247" s="640"/>
      <c r="AA247" s="640"/>
      <c r="AB247" s="640"/>
      <c r="AC247" s="535"/>
      <c r="AD247" s="535"/>
      <c r="AE247" s="607"/>
      <c r="AF247" s="607"/>
      <c r="AG247" s="607"/>
      <c r="AH247" s="607"/>
      <c r="AI247" s="607"/>
      <c r="AJ247" s="607"/>
      <c r="AK247" s="607"/>
    </row>
    <row r="248" spans="1:37" hidden="1">
      <c r="A248" s="602"/>
      <c r="B248" s="475"/>
      <c r="C248" s="658"/>
      <c r="D248" s="822"/>
      <c r="E248" s="822"/>
      <c r="F248" s="822"/>
      <c r="G248" s="822"/>
      <c r="H248" s="822"/>
      <c r="I248" s="822"/>
      <c r="J248" s="822"/>
      <c r="K248" s="535"/>
      <c r="L248" s="535"/>
      <c r="M248" s="535"/>
      <c r="N248" s="535"/>
      <c r="O248" s="535"/>
      <c r="P248" s="535"/>
      <c r="Q248" s="535"/>
      <c r="R248" s="535"/>
      <c r="S248" s="535"/>
      <c r="T248" s="535"/>
      <c r="U248" s="535"/>
      <c r="V248" s="535"/>
      <c r="W248" s="535"/>
      <c r="X248" s="535"/>
      <c r="Y248" s="640"/>
      <c r="Z248" s="640"/>
      <c r="AA248" s="640"/>
      <c r="AB248" s="640"/>
      <c r="AC248" s="535"/>
      <c r="AD248" s="535"/>
      <c r="AE248" s="607"/>
      <c r="AF248" s="607"/>
      <c r="AG248" s="607"/>
      <c r="AH248" s="607"/>
      <c r="AI248" s="607"/>
      <c r="AJ248" s="607"/>
      <c r="AK248" s="607"/>
    </row>
    <row r="249" spans="1:37" hidden="1">
      <c r="A249" s="602"/>
      <c r="B249" s="475" t="s">
        <v>1596</v>
      </c>
      <c r="C249" s="658"/>
      <c r="D249" s="822"/>
      <c r="E249" s="822"/>
      <c r="F249" s="822"/>
      <c r="G249" s="822"/>
      <c r="H249" s="822"/>
      <c r="I249" s="822"/>
      <c r="J249" s="822"/>
      <c r="K249" s="535"/>
      <c r="L249" s="535"/>
      <c r="M249" s="535"/>
      <c r="N249" s="535"/>
      <c r="O249" s="535"/>
      <c r="P249" s="535"/>
      <c r="Q249" s="535"/>
      <c r="R249" s="535"/>
      <c r="S249" s="535"/>
      <c r="U249" s="834"/>
      <c r="V249" s="834"/>
      <c r="W249" s="834"/>
      <c r="X249" s="834"/>
      <c r="Y249" s="834"/>
      <c r="Z249" s="640"/>
      <c r="AA249" s="640"/>
      <c r="AB249" s="2458">
        <f>AB233+AB246</f>
        <v>0</v>
      </c>
      <c r="AC249" s="2458"/>
      <c r="AD249" s="2458"/>
      <c r="AE249" s="2458"/>
      <c r="AF249" s="2458"/>
      <c r="AG249" s="2458"/>
      <c r="AH249" s="607"/>
      <c r="AI249" s="607"/>
      <c r="AJ249" s="607"/>
      <c r="AK249" s="607"/>
    </row>
    <row r="250" spans="1:37" hidden="1">
      <c r="A250" s="602"/>
      <c r="B250" s="475" t="s">
        <v>836</v>
      </c>
      <c r="C250" s="658"/>
      <c r="D250" s="822"/>
      <c r="E250" s="822"/>
      <c r="F250" s="822"/>
      <c r="G250" s="822"/>
      <c r="H250" s="822"/>
      <c r="I250" s="822"/>
      <c r="J250" s="822"/>
      <c r="K250" s="535"/>
      <c r="L250" s="535"/>
      <c r="M250" s="535"/>
      <c r="N250" s="535"/>
      <c r="O250" s="535"/>
      <c r="P250" s="535"/>
      <c r="Q250" s="535"/>
      <c r="R250" s="535"/>
      <c r="S250" s="535"/>
      <c r="U250" s="835"/>
      <c r="V250" s="835"/>
      <c r="W250" s="835"/>
      <c r="X250" s="835"/>
      <c r="Y250" s="835"/>
      <c r="Z250" s="640"/>
      <c r="AA250" s="640"/>
      <c r="AB250" s="2507">
        <v>0.05</v>
      </c>
      <c r="AC250" s="2507"/>
      <c r="AD250" s="2507"/>
      <c r="AE250" s="2507"/>
      <c r="AF250" s="2507"/>
      <c r="AG250" s="2507"/>
      <c r="AH250" s="607"/>
      <c r="AI250" s="607"/>
      <c r="AJ250" s="607"/>
      <c r="AK250" s="607"/>
    </row>
    <row r="251" spans="1:37" hidden="1">
      <c r="A251" s="602"/>
      <c r="B251" s="475" t="s">
        <v>1597</v>
      </c>
      <c r="C251" s="658"/>
      <c r="D251" s="822"/>
      <c r="E251" s="822"/>
      <c r="F251" s="822"/>
      <c r="G251" s="822"/>
      <c r="H251" s="822"/>
      <c r="I251" s="822"/>
      <c r="J251" s="822"/>
      <c r="K251" s="535"/>
      <c r="L251" s="535"/>
      <c r="M251" s="535"/>
      <c r="N251" s="535"/>
      <c r="O251" s="535"/>
      <c r="P251" s="535"/>
      <c r="Q251" s="535"/>
      <c r="R251" s="535"/>
      <c r="S251" s="535"/>
      <c r="U251" s="834"/>
      <c r="V251" s="834"/>
      <c r="W251" s="834"/>
      <c r="X251" s="834"/>
      <c r="Y251" s="834"/>
      <c r="Z251" s="640"/>
      <c r="AA251" s="640"/>
      <c r="AB251" s="2508">
        <f>AB249-(AB249*AB250)</f>
        <v>0</v>
      </c>
      <c r="AC251" s="2508"/>
      <c r="AD251" s="2508"/>
      <c r="AE251" s="2508"/>
      <c r="AF251" s="2508"/>
      <c r="AG251" s="2508"/>
      <c r="AH251" s="607"/>
      <c r="AI251" s="607"/>
      <c r="AJ251" s="607"/>
      <c r="AK251" s="607"/>
    </row>
    <row r="252" spans="1:37" hidden="1">
      <c r="A252" s="602"/>
      <c r="B252" s="475" t="s">
        <v>1598</v>
      </c>
      <c r="C252" s="658"/>
      <c r="D252" s="822"/>
      <c r="E252" s="822"/>
      <c r="F252" s="822"/>
      <c r="G252" s="822"/>
      <c r="H252" s="822"/>
      <c r="I252" s="822"/>
      <c r="J252" s="822"/>
      <c r="K252" s="535"/>
      <c r="L252" s="535"/>
      <c r="M252" s="535"/>
      <c r="N252" s="535"/>
      <c r="O252" s="535"/>
      <c r="P252" s="535"/>
      <c r="Q252" s="535"/>
      <c r="R252" s="535"/>
      <c r="S252" s="535"/>
      <c r="U252" s="535"/>
      <c r="V252" s="535"/>
      <c r="W252" s="535"/>
      <c r="X252" s="535"/>
      <c r="Y252" s="836"/>
      <c r="Z252" s="640"/>
      <c r="AA252" s="640"/>
      <c r="AB252" s="535"/>
      <c r="AC252" s="535"/>
      <c r="AD252" s="535"/>
      <c r="AE252" s="607"/>
      <c r="AF252" s="607"/>
      <c r="AG252" s="607"/>
      <c r="AH252" s="607"/>
      <c r="AI252" s="607"/>
      <c r="AJ252" s="607"/>
      <c r="AK252" s="607"/>
    </row>
    <row r="253" spans="1:37" hidden="1">
      <c r="A253" s="602"/>
      <c r="B253" s="475" t="s">
        <v>1599</v>
      </c>
      <c r="C253" s="658"/>
      <c r="D253" s="822"/>
      <c r="E253" s="822"/>
      <c r="F253" s="822"/>
      <c r="G253" s="822"/>
      <c r="H253" s="822"/>
      <c r="I253" s="822"/>
      <c r="J253" s="822"/>
      <c r="K253" s="535"/>
      <c r="L253" s="535"/>
      <c r="M253" s="535"/>
      <c r="N253" s="535"/>
      <c r="O253" s="535"/>
      <c r="P253" s="535"/>
      <c r="Q253" s="535"/>
      <c r="R253" s="535"/>
      <c r="S253" s="535"/>
      <c r="U253" s="834"/>
      <c r="V253" s="834"/>
      <c r="W253" s="834"/>
      <c r="X253" s="834"/>
      <c r="Y253" s="834"/>
      <c r="Z253" s="640"/>
      <c r="AA253" s="640"/>
      <c r="AB253" s="2458">
        <f>AB251/AB257</f>
        <v>0</v>
      </c>
      <c r="AC253" s="2458"/>
      <c r="AD253" s="2458"/>
      <c r="AE253" s="2458"/>
      <c r="AF253" s="2458"/>
      <c r="AG253" s="2458"/>
      <c r="AH253" s="607"/>
      <c r="AI253" s="607"/>
      <c r="AJ253" s="607"/>
      <c r="AK253" s="607"/>
    </row>
    <row r="254" spans="1:37" hidden="1">
      <c r="A254" s="602"/>
      <c r="B254" s="475"/>
      <c r="C254" s="658"/>
      <c r="D254" s="822"/>
      <c r="E254" s="822"/>
      <c r="F254" s="822"/>
      <c r="G254" s="822"/>
      <c r="H254" s="822"/>
      <c r="I254" s="822"/>
      <c r="J254" s="822"/>
      <c r="K254" s="535"/>
      <c r="L254" s="535"/>
      <c r="M254" s="535"/>
      <c r="N254" s="535"/>
      <c r="O254" s="535"/>
      <c r="P254" s="535"/>
      <c r="Q254" s="535"/>
      <c r="R254" s="535"/>
      <c r="S254" s="535"/>
      <c r="U254" s="535"/>
      <c r="V254" s="535"/>
      <c r="W254" s="535"/>
      <c r="X254" s="535"/>
      <c r="Y254" s="475"/>
      <c r="Z254" s="640"/>
      <c r="AA254" s="640"/>
      <c r="AB254" s="535"/>
      <c r="AC254" s="535"/>
      <c r="AD254" s="535"/>
      <c r="AE254" s="607"/>
      <c r="AF254" s="607"/>
      <c r="AG254" s="607"/>
      <c r="AH254" s="607"/>
      <c r="AI254" s="607"/>
      <c r="AJ254" s="607"/>
      <c r="AK254" s="607"/>
    </row>
    <row r="255" spans="1:37" hidden="1">
      <c r="A255" s="602"/>
      <c r="B255" s="475" t="s">
        <v>1600</v>
      </c>
      <c r="C255" s="658"/>
      <c r="D255" s="822"/>
      <c r="E255" s="822"/>
      <c r="F255" s="822"/>
      <c r="G255" s="822"/>
      <c r="H255" s="822"/>
      <c r="I255" s="822"/>
      <c r="J255" s="822"/>
      <c r="K255" s="535"/>
      <c r="L255" s="535"/>
      <c r="M255" s="535"/>
      <c r="N255" s="535"/>
      <c r="O255" s="535"/>
      <c r="P255" s="535"/>
      <c r="Q255" s="535"/>
      <c r="R255" s="535"/>
      <c r="S255" s="535"/>
      <c r="U255" s="475"/>
      <c r="V255" s="475"/>
      <c r="W255" s="475"/>
      <c r="X255" s="475"/>
      <c r="Y255" s="475"/>
      <c r="Z255" s="640"/>
      <c r="AA255" s="640"/>
      <c r="AB255" s="2467">
        <v>15</v>
      </c>
      <c r="AC255" s="2467"/>
      <c r="AD255" s="2467"/>
      <c r="AE255" s="2467"/>
      <c r="AF255" s="2467"/>
      <c r="AG255" s="2467"/>
      <c r="AH255" s="607"/>
      <c r="AI255" s="607"/>
      <c r="AJ255" s="607"/>
      <c r="AK255" s="607"/>
    </row>
    <row r="256" spans="1:37" hidden="1">
      <c r="A256" s="602"/>
      <c r="B256" s="475" t="s">
        <v>1601</v>
      </c>
      <c r="C256" s="658"/>
      <c r="D256" s="822"/>
      <c r="E256" s="822"/>
      <c r="F256" s="822"/>
      <c r="G256" s="822"/>
      <c r="H256" s="822"/>
      <c r="I256" s="822"/>
      <c r="J256" s="822"/>
      <c r="K256" s="535"/>
      <c r="L256" s="535"/>
      <c r="M256" s="535"/>
      <c r="N256" s="535"/>
      <c r="O256" s="535"/>
      <c r="P256" s="535"/>
      <c r="Q256" s="535"/>
      <c r="R256" s="535"/>
      <c r="S256" s="535"/>
      <c r="U256" s="835"/>
      <c r="V256" s="835"/>
      <c r="W256" s="835"/>
      <c r="X256" s="835"/>
      <c r="Y256" s="835"/>
      <c r="Z256" s="640"/>
      <c r="AA256" s="640"/>
      <c r="AB256" s="2509">
        <v>0.04</v>
      </c>
      <c r="AC256" s="2509"/>
      <c r="AD256" s="2509"/>
      <c r="AE256" s="2509"/>
      <c r="AF256" s="2509"/>
      <c r="AG256" s="2509"/>
      <c r="AH256" s="607"/>
      <c r="AI256" s="607"/>
      <c r="AJ256" s="607"/>
      <c r="AK256" s="607"/>
    </row>
    <row r="257" spans="1:39" hidden="1">
      <c r="A257" s="602"/>
      <c r="B257" s="475" t="s">
        <v>848</v>
      </c>
      <c r="C257" s="658"/>
      <c r="D257" s="822"/>
      <c r="E257" s="822"/>
      <c r="F257" s="822"/>
      <c r="G257" s="822"/>
      <c r="H257" s="822"/>
      <c r="I257" s="822"/>
      <c r="J257" s="822"/>
      <c r="K257" s="535"/>
      <c r="L257" s="535"/>
      <c r="M257" s="535"/>
      <c r="N257" s="535"/>
      <c r="O257" s="535"/>
      <c r="P257" s="535"/>
      <c r="Q257" s="535"/>
      <c r="R257" s="535"/>
      <c r="S257" s="535"/>
      <c r="U257" s="837"/>
      <c r="V257" s="837"/>
      <c r="W257" s="837"/>
      <c r="X257" s="837"/>
      <c r="Y257" s="837"/>
      <c r="Z257" s="640"/>
      <c r="AA257" s="640"/>
      <c r="AB257" s="2516">
        <v>1.1499999999999999</v>
      </c>
      <c r="AC257" s="2516"/>
      <c r="AD257" s="2516"/>
      <c r="AE257" s="2516"/>
      <c r="AF257" s="2516"/>
      <c r="AG257" s="2516"/>
      <c r="AH257" s="607"/>
      <c r="AI257" s="607"/>
      <c r="AJ257" s="607"/>
      <c r="AK257" s="607"/>
    </row>
    <row r="258" spans="1:39" hidden="1">
      <c r="A258" s="602"/>
      <c r="B258" s="475"/>
      <c r="C258" s="658"/>
      <c r="D258" s="822"/>
      <c r="E258" s="822"/>
      <c r="F258" s="822"/>
      <c r="G258" s="822"/>
      <c r="H258" s="822"/>
      <c r="I258" s="822"/>
      <c r="J258" s="822"/>
      <c r="K258" s="535"/>
      <c r="L258" s="535"/>
      <c r="M258" s="535"/>
      <c r="N258" s="535"/>
      <c r="O258" s="535"/>
      <c r="P258" s="535"/>
      <c r="Q258" s="535"/>
      <c r="R258" s="535"/>
      <c r="S258" s="535"/>
      <c r="U258" s="535"/>
      <c r="V258" s="535"/>
      <c r="W258" s="535"/>
      <c r="X258" s="535"/>
      <c r="Y258" s="488"/>
      <c r="Z258" s="640"/>
      <c r="AA258" s="640"/>
      <c r="AB258" s="535"/>
      <c r="AC258" s="535"/>
      <c r="AD258" s="535"/>
      <c r="AE258" s="607"/>
      <c r="AF258" s="607"/>
      <c r="AG258" s="607"/>
      <c r="AH258" s="607"/>
      <c r="AI258" s="607"/>
      <c r="AJ258" s="607"/>
      <c r="AK258" s="607"/>
    </row>
    <row r="259" spans="1:39" hidden="1">
      <c r="A259" s="602"/>
      <c r="B259" s="839" t="s">
        <v>1602</v>
      </c>
      <c r="C259" s="658"/>
      <c r="D259" s="822"/>
      <c r="E259" s="822"/>
      <c r="F259" s="822"/>
      <c r="G259" s="822"/>
      <c r="H259" s="822"/>
      <c r="I259" s="822"/>
      <c r="J259" s="822"/>
      <c r="K259" s="535"/>
      <c r="L259" s="535"/>
      <c r="M259" s="535"/>
      <c r="N259" s="535"/>
      <c r="O259" s="535"/>
      <c r="P259" s="535"/>
      <c r="Q259" s="535"/>
      <c r="R259" s="535"/>
      <c r="S259" s="535"/>
      <c r="U259" s="838"/>
      <c r="V259" s="838"/>
      <c r="W259" s="838"/>
      <c r="X259" s="838"/>
      <c r="Y259" s="838"/>
      <c r="Z259" s="640"/>
      <c r="AA259" s="640"/>
      <c r="AB259" s="2500">
        <f>PV(AB256/12,AB255*12,-AB253/12, ,0)</f>
        <v>0</v>
      </c>
      <c r="AC259" s="2501"/>
      <c r="AD259" s="2501"/>
      <c r="AE259" s="2501"/>
      <c r="AF259" s="2501"/>
      <c r="AG259" s="2502"/>
      <c r="AH259" s="607"/>
      <c r="AI259" s="607"/>
      <c r="AJ259" s="607"/>
      <c r="AK259" s="607"/>
    </row>
    <row r="260" spans="1:39" hidden="1">
      <c r="A260" s="602"/>
      <c r="B260" s="839"/>
      <c r="C260" s="658"/>
      <c r="D260" s="822"/>
      <c r="E260" s="822"/>
      <c r="F260" s="822"/>
      <c r="G260" s="822"/>
      <c r="H260" s="822"/>
      <c r="I260" s="822"/>
      <c r="J260" s="822"/>
      <c r="K260" s="535"/>
      <c r="L260" s="535"/>
      <c r="M260" s="535"/>
      <c r="N260" s="535"/>
      <c r="O260" s="535"/>
      <c r="P260" s="535"/>
      <c r="Q260" s="535"/>
      <c r="R260" s="535"/>
      <c r="S260" s="535"/>
      <c r="U260" s="838"/>
      <c r="V260" s="838"/>
      <c r="W260" s="838"/>
      <c r="X260" s="838"/>
      <c r="Y260" s="838"/>
      <c r="Z260" s="640"/>
      <c r="AA260" s="640"/>
      <c r="AB260" s="850"/>
      <c r="AC260" s="850"/>
      <c r="AD260" s="850"/>
      <c r="AE260" s="850"/>
      <c r="AF260" s="850"/>
      <c r="AG260" s="850"/>
      <c r="AH260" s="607"/>
      <c r="AI260" s="607"/>
      <c r="AJ260" s="607"/>
      <c r="AK260" s="607"/>
    </row>
    <row r="261" spans="1:39" hidden="1">
      <c r="A261" s="602"/>
      <c r="B261" s="839"/>
      <c r="C261" s="658"/>
      <c r="D261" s="822"/>
      <c r="E261" s="822"/>
      <c r="F261" s="822"/>
      <c r="G261" s="822"/>
      <c r="H261" s="822"/>
      <c r="I261" s="822"/>
      <c r="J261" s="822"/>
      <c r="K261" s="535"/>
      <c r="L261" s="535"/>
      <c r="M261" s="535"/>
      <c r="N261" s="535"/>
      <c r="O261" s="535"/>
      <c r="P261" s="535"/>
      <c r="Q261" s="535"/>
      <c r="R261" s="535"/>
      <c r="S261" s="535"/>
      <c r="U261" s="838"/>
      <c r="V261" s="838"/>
      <c r="W261" s="838"/>
      <c r="X261" s="838"/>
      <c r="Y261" s="838"/>
      <c r="Z261" s="640"/>
      <c r="AA261" s="640"/>
      <c r="AB261" s="850"/>
      <c r="AC261" s="850"/>
      <c r="AD261" s="850"/>
      <c r="AE261" s="850"/>
      <c r="AF261" s="850"/>
      <c r="AG261" s="850"/>
      <c r="AH261" s="607"/>
      <c r="AI261" s="607"/>
      <c r="AJ261" s="607"/>
      <c r="AK261" s="607"/>
    </row>
    <row r="262" spans="1:39" hidden="1">
      <c r="A262" s="602"/>
      <c r="B262" s="842" t="s">
        <v>1578</v>
      </c>
      <c r="C262" s="842"/>
      <c r="D262" s="822"/>
      <c r="E262" s="822"/>
      <c r="F262" s="822"/>
      <c r="G262" s="822"/>
      <c r="H262" s="822"/>
      <c r="I262" s="822"/>
      <c r="J262" s="822"/>
      <c r="K262" s="535"/>
      <c r="L262" s="535"/>
      <c r="M262" s="535"/>
      <c r="N262" s="535"/>
      <c r="O262" s="535"/>
      <c r="P262" s="535"/>
      <c r="Q262" s="535"/>
      <c r="R262" s="535"/>
      <c r="S262" s="535"/>
      <c r="T262" s="535"/>
      <c r="U262" s="535"/>
      <c r="V262" s="535"/>
      <c r="W262" s="535"/>
      <c r="X262" s="535"/>
      <c r="Y262" s="640"/>
      <c r="Z262" s="640"/>
      <c r="AA262" s="640"/>
      <c r="AB262" s="640"/>
      <c r="AC262" s="535"/>
      <c r="AD262" s="535"/>
      <c r="AE262" s="607"/>
      <c r="AF262" s="607"/>
      <c r="AG262" s="607"/>
      <c r="AH262" s="607"/>
      <c r="AI262" s="607"/>
      <c r="AJ262" s="607"/>
      <c r="AK262" s="607"/>
    </row>
    <row r="263" spans="1:39" hidden="1">
      <c r="A263" s="602"/>
      <c r="B263" s="602" t="s">
        <v>1581</v>
      </c>
      <c r="C263" s="658"/>
      <c r="D263" s="822"/>
      <c r="E263" s="822"/>
      <c r="F263" s="822"/>
      <c r="G263" s="822"/>
      <c r="H263" s="822"/>
      <c r="I263" s="822"/>
      <c r="J263" s="822"/>
      <c r="K263" s="535"/>
      <c r="L263" s="535"/>
      <c r="M263" s="535"/>
      <c r="N263" s="535"/>
      <c r="O263" s="535"/>
      <c r="P263" s="535"/>
      <c r="Q263" s="535"/>
      <c r="R263" s="535"/>
      <c r="S263" s="535"/>
      <c r="T263" s="535"/>
      <c r="U263" s="535"/>
      <c r="V263" s="535"/>
      <c r="W263" s="535"/>
      <c r="X263" s="535"/>
      <c r="Y263" s="640"/>
      <c r="Z263" s="640"/>
      <c r="AA263" s="640"/>
      <c r="AB263" s="640"/>
      <c r="AC263" s="535"/>
      <c r="AD263" s="535"/>
      <c r="AE263" s="607"/>
      <c r="AF263" s="607"/>
      <c r="AG263" s="607"/>
      <c r="AH263" s="607"/>
      <c r="AI263" s="607"/>
      <c r="AJ263" s="607"/>
      <c r="AK263" s="607"/>
    </row>
    <row r="264" spans="1:39" hidden="1">
      <c r="A264" s="602"/>
      <c r="B264" s="602" t="s">
        <v>1580</v>
      </c>
      <c r="C264" s="658"/>
      <c r="D264" s="822"/>
      <c r="E264" s="822"/>
      <c r="F264" s="822"/>
      <c r="G264" s="822"/>
      <c r="H264" s="822"/>
      <c r="I264" s="822"/>
      <c r="J264" s="822"/>
      <c r="K264" s="535"/>
      <c r="L264" s="535"/>
      <c r="M264" s="535"/>
      <c r="N264" s="535"/>
      <c r="O264" s="535"/>
      <c r="P264" s="535"/>
      <c r="Q264" s="535"/>
      <c r="R264" s="535"/>
      <c r="S264" s="535"/>
      <c r="T264" s="535"/>
      <c r="U264" s="535"/>
      <c r="V264" s="535"/>
      <c r="W264" s="535"/>
      <c r="X264" s="535"/>
      <c r="Y264" s="640"/>
      <c r="Z264" s="640"/>
      <c r="AA264" s="640"/>
      <c r="AB264" s="640"/>
      <c r="AC264" s="535"/>
      <c r="AD264" s="535"/>
      <c r="AE264" s="607"/>
      <c r="AF264" s="607"/>
      <c r="AG264" s="607"/>
      <c r="AH264" s="607"/>
      <c r="AI264" s="607"/>
      <c r="AJ264" s="607"/>
      <c r="AK264" s="607"/>
    </row>
    <row r="265" spans="1:39" hidden="1">
      <c r="A265" s="602"/>
      <c r="B265" s="602" t="s">
        <v>1579</v>
      </c>
      <c r="C265" s="658"/>
      <c r="D265" s="822"/>
      <c r="E265" s="822"/>
      <c r="F265" s="822"/>
      <c r="G265" s="822"/>
      <c r="H265" s="822"/>
      <c r="I265" s="822"/>
      <c r="J265" s="822"/>
      <c r="K265" s="535"/>
      <c r="L265" s="535"/>
      <c r="M265" s="535"/>
      <c r="N265" s="535"/>
      <c r="O265" s="535"/>
      <c r="P265" s="535"/>
      <c r="Q265" s="535"/>
      <c r="R265" s="535"/>
      <c r="S265" s="535"/>
      <c r="T265" s="535"/>
      <c r="U265" s="535"/>
      <c r="V265" s="535"/>
      <c r="W265" s="535"/>
      <c r="X265" s="535"/>
      <c r="Y265" s="640"/>
      <c r="Z265" s="640"/>
      <c r="AA265" s="640"/>
      <c r="AB265" s="2504">
        <f>IFERROR(('Sources and Uses Budget'!D105/'Sources and Uses Budget'!B105),0)</f>
        <v>2.9274129959171401E-2</v>
      </c>
      <c r="AC265" s="2505"/>
      <c r="AD265" s="2505"/>
      <c r="AE265" s="2505"/>
      <c r="AF265" s="2505"/>
      <c r="AG265" s="2506"/>
      <c r="AH265" s="851"/>
      <c r="AI265" s="851"/>
      <c r="AJ265" s="851"/>
      <c r="AK265" s="607"/>
    </row>
    <row r="266" spans="1:39" hidden="1">
      <c r="A266" s="602"/>
      <c r="B266" s="475"/>
      <c r="C266" s="658"/>
      <c r="D266" s="822"/>
      <c r="E266" s="822"/>
      <c r="F266" s="822"/>
      <c r="G266" s="822"/>
      <c r="H266" s="822"/>
      <c r="I266" s="822"/>
      <c r="J266" s="822"/>
      <c r="K266" s="535"/>
      <c r="L266" s="535"/>
      <c r="M266" s="535"/>
      <c r="N266" s="535"/>
      <c r="O266" s="535"/>
      <c r="P266" s="535"/>
      <c r="Q266" s="535"/>
      <c r="R266" s="535"/>
      <c r="S266" s="535"/>
      <c r="T266" s="535"/>
      <c r="U266" s="535"/>
      <c r="V266" s="535"/>
      <c r="W266" s="535"/>
      <c r="X266" s="535"/>
      <c r="Y266" s="640"/>
      <c r="Z266" s="640"/>
      <c r="AA266" s="640"/>
      <c r="AB266" s="640"/>
      <c r="AC266" s="535"/>
      <c r="AD266" s="535"/>
      <c r="AE266" s="607"/>
      <c r="AF266" s="607"/>
      <c r="AG266" s="607"/>
      <c r="AH266" s="607"/>
      <c r="AI266" s="607"/>
      <c r="AJ266" s="607"/>
      <c r="AK266" s="607"/>
    </row>
    <row r="267" spans="1:39" hidden="1">
      <c r="A267" s="619"/>
      <c r="B267" s="446" t="s">
        <v>1364</v>
      </c>
      <c r="C267" s="620"/>
      <c r="D267" s="620"/>
      <c r="E267" s="620"/>
      <c r="F267" s="620"/>
      <c r="H267" s="621"/>
      <c r="I267" s="621"/>
      <c r="J267" s="621"/>
      <c r="K267" s="621"/>
      <c r="L267" s="621"/>
      <c r="M267" s="621"/>
      <c r="N267" s="621"/>
      <c r="O267" s="621"/>
      <c r="P267" s="621"/>
      <c r="Q267" s="621"/>
      <c r="R267" s="621"/>
      <c r="Y267" s="621"/>
      <c r="Z267" s="621"/>
      <c r="AA267" s="621"/>
      <c r="AB267" s="619"/>
      <c r="AC267" s="619"/>
      <c r="AD267" s="619"/>
      <c r="AE267" s="619"/>
      <c r="AG267" s="2494">
        <f>AD210*(1-AB265)</f>
        <v>0</v>
      </c>
      <c r="AH267" s="2494"/>
      <c r="AI267" s="2494"/>
      <c r="AJ267" s="2494"/>
      <c r="AK267" s="2494"/>
    </row>
    <row r="268" spans="1:39" hidden="1">
      <c r="A268" s="619"/>
      <c r="B268" s="622" t="s">
        <v>1365</v>
      </c>
      <c r="C268" s="623"/>
      <c r="D268" s="621"/>
      <c r="E268" s="621"/>
      <c r="F268" s="623"/>
      <c r="G268" s="623"/>
      <c r="H268" s="623"/>
      <c r="I268" s="623"/>
      <c r="J268" s="623"/>
      <c r="K268" s="623"/>
      <c r="L268" s="623"/>
      <c r="M268" s="621"/>
      <c r="N268" s="623"/>
      <c r="O268" s="623"/>
      <c r="P268" s="623"/>
      <c r="Q268" s="623"/>
      <c r="R268" s="623"/>
      <c r="Y268" s="621"/>
      <c r="Z268" s="621"/>
      <c r="AA268" s="621"/>
      <c r="AB268" s="619"/>
      <c r="AC268" s="619"/>
      <c r="AD268" s="619"/>
      <c r="AE268" s="619"/>
      <c r="AG268" s="2494">
        <f>'Sources and Uses Budget'!C105</f>
        <v>104399290</v>
      </c>
      <c r="AH268" s="2494"/>
      <c r="AI268" s="2494"/>
      <c r="AJ268" s="2494"/>
      <c r="AK268" s="2494"/>
    </row>
    <row r="269" spans="1:39" hidden="1">
      <c r="A269" s="619"/>
      <c r="B269" s="621" t="s">
        <v>13</v>
      </c>
      <c r="C269" s="621"/>
      <c r="D269" s="621"/>
      <c r="E269" s="621"/>
      <c r="F269" s="621"/>
      <c r="G269" s="621"/>
      <c r="H269" s="621"/>
      <c r="I269" s="621"/>
      <c r="J269" s="621"/>
      <c r="K269" s="621"/>
      <c r="L269" s="621"/>
      <c r="M269" s="621"/>
      <c r="N269" s="621"/>
      <c r="O269" s="621"/>
      <c r="P269" s="621"/>
      <c r="Q269" s="621"/>
      <c r="R269" s="621"/>
      <c r="Y269" s="621"/>
      <c r="Z269" s="621"/>
      <c r="AA269" s="621"/>
      <c r="AB269" s="619"/>
      <c r="AC269" s="619"/>
      <c r="AD269" s="619"/>
      <c r="AE269" s="619"/>
      <c r="AG269" s="2495">
        <f>ROUNDDOWN(IF(AND(C305="Yes",AK83=10),((AG267*2)/AG268),AG267/AG268),2)</f>
        <v>0</v>
      </c>
      <c r="AH269" s="2495"/>
      <c r="AI269" s="2495"/>
      <c r="AJ269" s="2495"/>
      <c r="AK269" s="2495"/>
    </row>
    <row r="270" spans="1:39" hidden="1">
      <c r="A270" s="619"/>
      <c r="B270" s="972" t="s">
        <v>1728</v>
      </c>
      <c r="C270" s="621"/>
      <c r="D270" s="621"/>
      <c r="E270" s="621"/>
      <c r="F270" s="621"/>
      <c r="G270" s="621"/>
      <c r="H270" s="621"/>
      <c r="I270" s="621"/>
      <c r="J270" s="621"/>
      <c r="K270" s="621"/>
      <c r="L270" s="621"/>
      <c r="M270" s="621"/>
      <c r="N270" s="621"/>
      <c r="O270" s="621"/>
      <c r="P270" s="621"/>
      <c r="Q270" s="621"/>
      <c r="R270" s="621"/>
      <c r="Y270" s="621"/>
      <c r="Z270" s="621"/>
      <c r="AA270" s="621"/>
      <c r="AB270" s="619"/>
      <c r="AC270" s="619"/>
      <c r="AD270" s="619"/>
      <c r="AE270" s="619"/>
      <c r="AG270" s="971"/>
      <c r="AH270" s="971"/>
      <c r="AI270" s="971"/>
      <c r="AJ270" s="971"/>
      <c r="AK270" s="971"/>
    </row>
    <row r="271" spans="1:39" hidden="1">
      <c r="A271" s="624"/>
      <c r="B271" s="624"/>
      <c r="C271" s="624"/>
      <c r="D271" s="624"/>
      <c r="E271" s="624"/>
      <c r="F271" s="624"/>
      <c r="G271" s="624"/>
      <c r="H271" s="624"/>
      <c r="I271" s="624"/>
      <c r="J271" s="624"/>
      <c r="K271" s="624"/>
      <c r="L271" s="624"/>
      <c r="M271" s="624"/>
      <c r="N271" s="624"/>
      <c r="O271" s="624"/>
      <c r="P271" s="624"/>
      <c r="Q271" s="624"/>
      <c r="R271" s="624"/>
      <c r="S271" s="624"/>
      <c r="T271" s="624"/>
      <c r="U271" s="624"/>
      <c r="V271" s="624"/>
      <c r="W271" s="624"/>
      <c r="X271" s="624"/>
      <c r="Y271" s="624"/>
      <c r="Z271" s="624"/>
      <c r="AA271" s="624"/>
      <c r="AB271" s="624"/>
      <c r="AC271" s="624"/>
      <c r="AD271" s="624"/>
      <c r="AE271" s="624"/>
      <c r="AF271" s="624"/>
      <c r="AG271" s="624"/>
      <c r="AH271" s="624"/>
      <c r="AI271" s="624"/>
      <c r="AJ271" s="624"/>
    </row>
    <row r="272" spans="1:39" hidden="1">
      <c r="A272" s="625"/>
      <c r="B272" s="625"/>
      <c r="C272" s="625"/>
      <c r="D272" s="625"/>
      <c r="E272" s="625"/>
      <c r="F272" s="625"/>
      <c r="G272" s="625"/>
      <c r="H272" s="625"/>
      <c r="I272" s="625"/>
      <c r="J272" s="625"/>
      <c r="K272" s="625"/>
      <c r="L272" s="625"/>
      <c r="M272" s="625"/>
      <c r="N272" s="625"/>
      <c r="O272" s="625"/>
      <c r="P272" s="625"/>
      <c r="Q272" s="625"/>
      <c r="R272" s="625"/>
      <c r="S272" s="625"/>
      <c r="T272" s="625"/>
      <c r="U272" s="625"/>
      <c r="V272" s="625"/>
      <c r="W272" s="625"/>
      <c r="X272" s="625"/>
      <c r="Y272" s="625"/>
      <c r="Z272" s="625"/>
      <c r="AA272" s="625"/>
      <c r="AB272" s="625"/>
      <c r="AC272" s="625"/>
      <c r="AD272" s="625"/>
      <c r="AE272" s="625"/>
      <c r="AF272" s="625"/>
      <c r="AG272" s="625"/>
      <c r="AH272" s="626"/>
      <c r="AI272" s="562"/>
      <c r="AJ272" s="562" t="s">
        <v>1366</v>
      </c>
      <c r="AK272" s="2496">
        <f>IFERROR(IF(AG269=0,0,IF((AG269*100)&gt;8,8,(AG269*100))),0)</f>
        <v>0</v>
      </c>
      <c r="AL272" s="2496"/>
      <c r="AM272" s="2497"/>
    </row>
    <row r="273" spans="1:52" ht="13.5" hidden="1" thickBot="1"/>
    <row r="274" spans="1:52" s="548" customFormat="1" ht="12.75" customHeight="1" thickTop="1">
      <c r="A274" s="609"/>
      <c r="B274" s="627"/>
      <c r="C274" s="627"/>
      <c r="D274" s="627"/>
      <c r="E274" s="627"/>
      <c r="F274" s="627"/>
      <c r="G274" s="627"/>
      <c r="H274" s="627"/>
      <c r="I274" s="627"/>
      <c r="J274" s="627"/>
      <c r="K274" s="627"/>
      <c r="L274" s="627"/>
      <c r="M274" s="627"/>
      <c r="N274" s="627"/>
      <c r="O274" s="627"/>
      <c r="P274" s="627"/>
      <c r="Q274" s="627"/>
      <c r="R274" s="627"/>
      <c r="S274" s="627"/>
      <c r="T274" s="627"/>
      <c r="U274" s="627"/>
      <c r="V274" s="627"/>
      <c r="W274" s="627"/>
      <c r="X274" s="627"/>
      <c r="Y274" s="627"/>
      <c r="Z274" s="627"/>
      <c r="AA274" s="627"/>
      <c r="AB274" s="627"/>
      <c r="AC274" s="628"/>
      <c r="AD274" s="627"/>
      <c r="AE274" s="627"/>
      <c r="AF274" s="627"/>
      <c r="AG274" s="627"/>
      <c r="AH274" s="609"/>
      <c r="AI274" s="629"/>
      <c r="AJ274" s="629"/>
      <c r="AK274" s="630"/>
      <c r="AL274" s="630"/>
      <c r="AM274" s="631"/>
      <c r="AN274" s="594"/>
      <c r="AP274" s="535"/>
      <c r="AQ274" s="535"/>
      <c r="AR274" s="535"/>
      <c r="AS274" s="535"/>
      <c r="AT274" s="535"/>
      <c r="AU274" s="535"/>
      <c r="AV274" s="535"/>
      <c r="AW274" s="535"/>
      <c r="AX274" s="535"/>
      <c r="AY274" s="535"/>
      <c r="AZ274" s="535"/>
    </row>
    <row r="275" spans="1:52">
      <c r="A275" s="198" t="s">
        <v>1361</v>
      </c>
      <c r="B275" s="537" t="s">
        <v>1368</v>
      </c>
      <c r="C275" s="538"/>
      <c r="D275" s="548"/>
      <c r="E275" s="548"/>
      <c r="F275" s="548"/>
      <c r="G275" s="548"/>
      <c r="H275" s="548"/>
      <c r="I275" s="548"/>
      <c r="J275" s="548"/>
      <c r="K275" s="548"/>
      <c r="L275" s="548"/>
      <c r="M275" s="548"/>
      <c r="N275" s="548"/>
      <c r="O275" s="548"/>
      <c r="P275" s="548"/>
      <c r="Q275" s="548"/>
      <c r="R275" s="548"/>
      <c r="S275" s="548"/>
      <c r="T275" s="548"/>
      <c r="U275" s="548"/>
      <c r="V275" s="548"/>
      <c r="W275" s="548"/>
      <c r="X275" s="548"/>
      <c r="Y275" s="548"/>
      <c r="Z275" s="548"/>
      <c r="AA275" s="548"/>
      <c r="AB275" s="548"/>
      <c r="AC275" s="548"/>
      <c r="AD275" s="548"/>
      <c r="AE275" s="548"/>
      <c r="AF275" s="548"/>
      <c r="AG275" s="548"/>
      <c r="AH275" s="588" t="s">
        <v>1306</v>
      </c>
      <c r="AI275" s="548"/>
      <c r="AJ275" s="548"/>
      <c r="AK275" s="548"/>
      <c r="AL275" s="548"/>
      <c r="AM275" s="548"/>
      <c r="AO275" s="548"/>
    </row>
    <row r="276" spans="1:52">
      <c r="A276" s="198"/>
      <c r="B276" s="537"/>
      <c r="C276" s="538"/>
      <c r="D276" s="548"/>
      <c r="E276" s="548"/>
      <c r="F276" s="548"/>
      <c r="G276" s="548"/>
      <c r="H276" s="548"/>
      <c r="I276" s="548"/>
      <c r="J276" s="548"/>
      <c r="K276" s="548"/>
      <c r="L276" s="548"/>
      <c r="M276" s="548"/>
      <c r="N276" s="548"/>
      <c r="O276" s="548"/>
      <c r="P276" s="548"/>
      <c r="Q276" s="548"/>
      <c r="R276" s="548"/>
      <c r="S276" s="548"/>
      <c r="T276" s="548"/>
      <c r="U276" s="548"/>
      <c r="V276" s="548"/>
      <c r="W276" s="548"/>
      <c r="X276" s="548"/>
      <c r="Y276" s="548"/>
      <c r="Z276" s="548"/>
      <c r="AA276" s="548"/>
      <c r="AB276" s="548"/>
      <c r="AC276" s="548"/>
      <c r="AD276" s="548"/>
      <c r="AE276" s="548"/>
      <c r="AF276" s="548"/>
      <c r="AG276" s="548"/>
      <c r="AH276" s="588"/>
      <c r="AI276" s="548"/>
      <c r="AJ276" s="548"/>
      <c r="AK276" s="548"/>
      <c r="AL276" s="548"/>
      <c r="AM276" s="548"/>
      <c r="AO276" s="548"/>
    </row>
    <row r="277" spans="1:52" ht="14.25" customHeight="1">
      <c r="D277" s="14" t="s">
        <v>2574</v>
      </c>
      <c r="AI277" s="549"/>
      <c r="AJ277" s="548"/>
      <c r="AK277" s="548"/>
      <c r="AL277" s="548"/>
      <c r="AM277" s="548"/>
      <c r="AO277" s="548"/>
    </row>
    <row r="278" spans="1:52" ht="14.25" customHeight="1">
      <c r="AI278" s="549"/>
      <c r="AJ278" s="548"/>
      <c r="AK278" s="548"/>
      <c r="AL278" s="548"/>
      <c r="AM278" s="548"/>
      <c r="AO278" s="548"/>
    </row>
    <row r="279" spans="1:52" ht="13.7" customHeight="1">
      <c r="A279" s="548"/>
      <c r="B279" s="593"/>
      <c r="C279" s="2488" t="s">
        <v>543</v>
      </c>
      <c r="D279" s="2488"/>
      <c r="E279" s="545"/>
      <c r="F279" s="2643" t="s">
        <v>2566</v>
      </c>
      <c r="G279" s="2644"/>
      <c r="H279" s="2644"/>
      <c r="I279" s="2644"/>
      <c r="J279" s="2644"/>
      <c r="K279" s="2644"/>
      <c r="L279" s="2644"/>
      <c r="M279" s="2644"/>
      <c r="N279" s="2644"/>
      <c r="O279" s="2644"/>
      <c r="P279" s="2644"/>
      <c r="Q279" s="2644"/>
      <c r="R279" s="2644"/>
      <c r="S279" s="2644"/>
      <c r="T279" s="2644"/>
      <c r="U279" s="2644"/>
      <c r="V279" s="2644"/>
      <c r="W279" s="2644"/>
      <c r="X279" s="2644"/>
      <c r="Y279" s="2644"/>
      <c r="Z279" s="2644"/>
      <c r="AA279" s="2644"/>
      <c r="AB279" s="2644"/>
      <c r="AC279" s="2644"/>
      <c r="AD279" s="2645"/>
      <c r="AE279" s="548"/>
      <c r="AF279" s="632"/>
      <c r="AG279" s="2489" t="s">
        <v>1355</v>
      </c>
      <c r="AH279" s="2489"/>
      <c r="AI279" s="2489"/>
      <c r="AJ279" s="2489"/>
      <c r="AK279" s="548"/>
      <c r="AL279" s="548"/>
      <c r="AM279" s="548"/>
      <c r="AO279" s="548"/>
    </row>
    <row r="280" spans="1:52" ht="13.7" customHeight="1">
      <c r="A280" s="548"/>
      <c r="B280" s="593"/>
      <c r="C280" s="633"/>
      <c r="D280" s="548"/>
      <c r="E280" s="545"/>
      <c r="F280" s="2646"/>
      <c r="G280" s="2647"/>
      <c r="H280" s="2647"/>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47"/>
      <c r="AD280" s="2648"/>
      <c r="AE280" s="548"/>
      <c r="AF280" s="632"/>
      <c r="AG280" s="632"/>
      <c r="AH280" s="632"/>
      <c r="AI280" s="632"/>
      <c r="AJ280" s="548"/>
      <c r="AK280" s="548"/>
      <c r="AL280" s="548"/>
      <c r="AM280" s="548"/>
      <c r="AO280" s="548"/>
    </row>
    <row r="281" spans="1:52" ht="13.7" customHeight="1">
      <c r="A281" s="548"/>
      <c r="B281" s="593"/>
      <c r="C281" s="633"/>
      <c r="D281" s="548"/>
      <c r="E281" s="545"/>
      <c r="F281" s="2646"/>
      <c r="G281" s="2647"/>
      <c r="H281" s="2647"/>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47"/>
      <c r="AD281" s="2648"/>
      <c r="AE281" s="548"/>
      <c r="AF281" s="632"/>
      <c r="AG281" s="632"/>
      <c r="AH281" s="632"/>
      <c r="AI281" s="632"/>
      <c r="AJ281" s="548"/>
      <c r="AK281" s="548"/>
      <c r="AL281" s="548"/>
      <c r="AM281" s="548"/>
      <c r="AO281" s="548"/>
    </row>
    <row r="282" spans="1:52" ht="13.7" customHeight="1">
      <c r="A282" s="548"/>
      <c r="B282" s="593"/>
      <c r="C282" s="633"/>
      <c r="D282" s="548"/>
      <c r="E282" s="545"/>
      <c r="F282" s="2646"/>
      <c r="G282" s="2647"/>
      <c r="H282" s="2647"/>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47"/>
      <c r="AD282" s="2648"/>
      <c r="AE282" s="548"/>
      <c r="AF282" s="632"/>
      <c r="AG282" s="632"/>
      <c r="AH282" s="632"/>
      <c r="AI282" s="632"/>
      <c r="AJ282" s="548"/>
      <c r="AK282" s="548"/>
      <c r="AL282" s="548"/>
      <c r="AM282" s="548"/>
      <c r="AO282" s="548"/>
    </row>
    <row r="283" spans="1:52" ht="13.7" customHeight="1">
      <c r="A283" s="548"/>
      <c r="B283" s="593"/>
      <c r="C283" s="633"/>
      <c r="D283" s="548"/>
      <c r="E283" s="545"/>
      <c r="F283" s="2646"/>
      <c r="G283" s="2647"/>
      <c r="H283" s="2647"/>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47"/>
      <c r="AD283" s="2648"/>
      <c r="AE283" s="548"/>
      <c r="AF283" s="632"/>
      <c r="AG283" s="632"/>
      <c r="AH283" s="632"/>
      <c r="AI283" s="632"/>
      <c r="AJ283" s="548"/>
      <c r="AK283" s="548"/>
      <c r="AL283" s="548"/>
      <c r="AM283" s="548"/>
      <c r="AO283" s="548"/>
    </row>
    <row r="284" spans="1:52">
      <c r="A284" s="548"/>
      <c r="B284" s="593"/>
      <c r="C284" s="633"/>
      <c r="D284" s="548"/>
      <c r="E284" s="545"/>
      <c r="F284" s="2646"/>
      <c r="G284" s="2647"/>
      <c r="H284" s="2647"/>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47"/>
      <c r="AD284" s="2648"/>
      <c r="AE284" s="548"/>
      <c r="AF284" s="632"/>
      <c r="AG284" s="632"/>
      <c r="AH284" s="632"/>
      <c r="AI284" s="632"/>
      <c r="AJ284" s="548"/>
      <c r="AK284" s="548"/>
      <c r="AL284" s="548"/>
      <c r="AM284" s="548"/>
      <c r="AO284" s="548"/>
      <c r="AP284" s="634"/>
    </row>
    <row r="285" spans="1:52">
      <c r="A285" s="548"/>
      <c r="B285" s="593"/>
      <c r="C285" s="633"/>
      <c r="D285" s="548"/>
      <c r="E285" s="545"/>
      <c r="F285" s="2646"/>
      <c r="G285" s="2647"/>
      <c r="H285" s="2647"/>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47"/>
      <c r="AD285" s="2648"/>
      <c r="AE285" s="548"/>
      <c r="AF285" s="632"/>
      <c r="AG285" s="632"/>
      <c r="AH285" s="632"/>
      <c r="AI285" s="632"/>
      <c r="AJ285" s="548"/>
      <c r="AK285" s="548"/>
      <c r="AL285" s="548"/>
      <c r="AM285" s="548"/>
      <c r="AO285" s="548"/>
      <c r="AP285" s="634"/>
    </row>
    <row r="286" spans="1:52" ht="13.7" customHeight="1">
      <c r="A286" s="548"/>
      <c r="B286" s="593"/>
      <c r="C286" s="2490"/>
      <c r="D286" s="2490"/>
      <c r="E286" s="545"/>
      <c r="F286" s="2649"/>
      <c r="G286" s="2650"/>
      <c r="H286" s="2650"/>
      <c r="I286" s="2650"/>
      <c r="J286" s="2650"/>
      <c r="K286" s="2650"/>
      <c r="L286" s="2650"/>
      <c r="M286" s="2650"/>
      <c r="N286" s="2650"/>
      <c r="O286" s="2650"/>
      <c r="P286" s="2650"/>
      <c r="Q286" s="2650"/>
      <c r="R286" s="2650"/>
      <c r="S286" s="2650"/>
      <c r="T286" s="2650"/>
      <c r="U286" s="2650"/>
      <c r="V286" s="2650"/>
      <c r="W286" s="2650"/>
      <c r="X286" s="2650"/>
      <c r="Y286" s="2650"/>
      <c r="Z286" s="2650"/>
      <c r="AA286" s="2650"/>
      <c r="AB286" s="2650"/>
      <c r="AC286" s="2650"/>
      <c r="AD286" s="2651"/>
      <c r="AE286" s="548"/>
      <c r="AF286" s="632"/>
      <c r="AG286" s="2489"/>
      <c r="AH286" s="2489"/>
      <c r="AI286" s="2489"/>
      <c r="AJ286" s="2489"/>
      <c r="AK286" s="548"/>
      <c r="AL286" s="548"/>
      <c r="AM286" s="548"/>
    </row>
    <row r="287" spans="1:52" ht="13.7" hidden="1" customHeight="1">
      <c r="A287" s="548"/>
      <c r="C287" s="600"/>
      <c r="D287" s="600"/>
      <c r="E287" s="600"/>
      <c r="F287" s="1017"/>
      <c r="G287" s="1018"/>
      <c r="H287" s="1018"/>
      <c r="I287" s="1018"/>
      <c r="J287" s="1018"/>
      <c r="K287" s="1018"/>
      <c r="L287" s="1018"/>
      <c r="M287" s="1018"/>
      <c r="N287" s="1018"/>
      <c r="O287" s="1018"/>
      <c r="P287" s="1018"/>
      <c r="Q287" s="1018"/>
      <c r="R287" s="1018"/>
      <c r="S287" s="1018"/>
      <c r="T287" s="1018"/>
      <c r="U287" s="1018"/>
      <c r="V287" s="1018"/>
      <c r="W287" s="1018"/>
      <c r="X287" s="1018"/>
      <c r="Y287" s="1018"/>
      <c r="Z287" s="1018"/>
      <c r="AA287" s="1018"/>
      <c r="AB287" s="1018"/>
      <c r="AC287" s="1018"/>
      <c r="AD287" s="1019"/>
      <c r="AE287" s="600"/>
      <c r="AF287" s="600"/>
      <c r="AG287" s="600"/>
      <c r="AH287" s="600"/>
      <c r="AI287" s="632"/>
      <c r="AJ287" s="548"/>
      <c r="AK287" s="548"/>
      <c r="AL287" s="548"/>
      <c r="AM287" s="548"/>
    </row>
    <row r="288" spans="1:52">
      <c r="A288" s="548"/>
      <c r="B288" s="600"/>
      <c r="C288" s="600"/>
      <c r="D288" s="600"/>
      <c r="E288" s="600"/>
      <c r="F288" s="600"/>
      <c r="G288" s="600"/>
      <c r="H288" s="600"/>
      <c r="I288" s="600"/>
      <c r="J288" s="600"/>
      <c r="K288" s="600"/>
      <c r="L288" s="600"/>
      <c r="M288" s="600"/>
      <c r="N288" s="600"/>
      <c r="O288" s="600"/>
      <c r="P288" s="600"/>
      <c r="Q288" s="600"/>
      <c r="R288" s="600"/>
      <c r="S288" s="600"/>
      <c r="T288" s="600"/>
      <c r="U288" s="600"/>
      <c r="V288" s="600"/>
      <c r="W288" s="600"/>
      <c r="X288" s="600"/>
      <c r="Y288" s="600"/>
      <c r="Z288" s="600"/>
      <c r="AA288" s="600"/>
      <c r="AB288" s="600"/>
      <c r="AC288" s="600"/>
      <c r="AD288" s="600"/>
      <c r="AE288" s="600"/>
      <c r="AF288" s="600"/>
      <c r="AG288" s="600"/>
      <c r="AH288" s="600"/>
      <c r="AI288" s="600"/>
      <c r="AJ288" s="600"/>
      <c r="AK288" s="600"/>
      <c r="AL288" s="548"/>
      <c r="AM288" s="548"/>
      <c r="AN288" s="73"/>
    </row>
    <row r="289" spans="1:49">
      <c r="A289" s="548"/>
      <c r="B289" s="2404" t="s">
        <v>2573</v>
      </c>
      <c r="C289" s="2404"/>
      <c r="D289" s="2404"/>
      <c r="E289" s="2404"/>
      <c r="F289" s="2404"/>
      <c r="G289" s="2404"/>
      <c r="H289" s="2404"/>
      <c r="I289" s="2404"/>
      <c r="J289" s="2404"/>
      <c r="K289" s="2404"/>
      <c r="L289" s="2404"/>
      <c r="M289" s="2404"/>
      <c r="N289" s="2404"/>
      <c r="O289" s="2404"/>
      <c r="P289" s="2404"/>
      <c r="Q289" s="2404"/>
      <c r="R289" s="2404"/>
      <c r="S289" s="2404"/>
      <c r="T289" s="2404"/>
      <c r="U289" s="2404"/>
      <c r="V289" s="2404"/>
      <c r="W289" s="2404"/>
      <c r="X289" s="2404"/>
      <c r="Y289" s="2404"/>
      <c r="Z289" s="2404"/>
      <c r="AA289" s="2404"/>
      <c r="AB289" s="2404"/>
      <c r="AC289" s="2404"/>
      <c r="AD289" s="2404"/>
      <c r="AE289" s="2404"/>
      <c r="AF289" s="2404"/>
      <c r="AG289" s="2404"/>
      <c r="AH289" s="2404"/>
      <c r="AI289" s="2404"/>
      <c r="AJ289" s="2404"/>
      <c r="AK289" s="2404"/>
      <c r="AL289" s="2404"/>
      <c r="AM289" s="548"/>
      <c r="AN289" s="73"/>
    </row>
    <row r="290" spans="1:49">
      <c r="A290" s="548"/>
      <c r="B290" s="2404"/>
      <c r="C290" s="2404"/>
      <c r="D290" s="2404"/>
      <c r="E290" s="2404"/>
      <c r="F290" s="2404"/>
      <c r="G290" s="2404"/>
      <c r="H290" s="2404"/>
      <c r="I290" s="2404"/>
      <c r="J290" s="2404"/>
      <c r="K290" s="2404"/>
      <c r="L290" s="2404"/>
      <c r="M290" s="2404"/>
      <c r="N290" s="2404"/>
      <c r="O290" s="2404"/>
      <c r="P290" s="2404"/>
      <c r="Q290" s="2404"/>
      <c r="R290" s="2404"/>
      <c r="S290" s="2404"/>
      <c r="T290" s="2404"/>
      <c r="U290" s="2404"/>
      <c r="V290" s="2404"/>
      <c r="W290" s="2404"/>
      <c r="X290" s="2404"/>
      <c r="Y290" s="2404"/>
      <c r="Z290" s="2404"/>
      <c r="AA290" s="2404"/>
      <c r="AB290" s="2404"/>
      <c r="AC290" s="2404"/>
      <c r="AD290" s="2404"/>
      <c r="AE290" s="2404"/>
      <c r="AF290" s="2404"/>
      <c r="AG290" s="2404"/>
      <c r="AH290" s="2404"/>
      <c r="AI290" s="2404"/>
      <c r="AJ290" s="2404"/>
      <c r="AK290" s="2404"/>
      <c r="AL290" s="2404"/>
      <c r="AM290" s="548"/>
      <c r="AN290" s="73"/>
    </row>
    <row r="291" spans="1:49">
      <c r="A291" s="548"/>
      <c r="B291" s="2404"/>
      <c r="C291" s="2404"/>
      <c r="D291" s="2404"/>
      <c r="E291" s="2404"/>
      <c r="F291" s="2404"/>
      <c r="G291" s="2404"/>
      <c r="H291" s="2404"/>
      <c r="I291" s="2404"/>
      <c r="J291" s="2404"/>
      <c r="K291" s="2404"/>
      <c r="L291" s="2404"/>
      <c r="M291" s="2404"/>
      <c r="N291" s="2404"/>
      <c r="O291" s="2404"/>
      <c r="P291" s="2404"/>
      <c r="Q291" s="2404"/>
      <c r="R291" s="2404"/>
      <c r="S291" s="2404"/>
      <c r="T291" s="2404"/>
      <c r="U291" s="2404"/>
      <c r="V291" s="2404"/>
      <c r="W291" s="2404"/>
      <c r="X291" s="2404"/>
      <c r="Y291" s="2404"/>
      <c r="Z291" s="2404"/>
      <c r="AA291" s="2404"/>
      <c r="AB291" s="2404"/>
      <c r="AC291" s="2404"/>
      <c r="AD291" s="2404"/>
      <c r="AE291" s="2404"/>
      <c r="AF291" s="2404"/>
      <c r="AG291" s="2404"/>
      <c r="AH291" s="2404"/>
      <c r="AI291" s="2404"/>
      <c r="AJ291" s="2404"/>
      <c r="AK291" s="2404"/>
      <c r="AL291" s="2404"/>
      <c r="AM291" s="548"/>
      <c r="AN291" s="73"/>
    </row>
    <row r="292" spans="1:49">
      <c r="A292" s="548"/>
      <c r="B292" s="2404"/>
      <c r="C292" s="2404"/>
      <c r="D292" s="2404"/>
      <c r="E292" s="2404"/>
      <c r="F292" s="2404"/>
      <c r="G292" s="2404"/>
      <c r="H292" s="2404"/>
      <c r="I292" s="2404"/>
      <c r="J292" s="2404"/>
      <c r="K292" s="2404"/>
      <c r="L292" s="2404"/>
      <c r="M292" s="2404"/>
      <c r="N292" s="2404"/>
      <c r="O292" s="2404"/>
      <c r="P292" s="2404"/>
      <c r="Q292" s="2404"/>
      <c r="R292" s="2404"/>
      <c r="S292" s="2404"/>
      <c r="T292" s="2404"/>
      <c r="U292" s="2404"/>
      <c r="V292" s="2404"/>
      <c r="W292" s="2404"/>
      <c r="X292" s="2404"/>
      <c r="Y292" s="2404"/>
      <c r="Z292" s="2404"/>
      <c r="AA292" s="2404"/>
      <c r="AB292" s="2404"/>
      <c r="AC292" s="2404"/>
      <c r="AD292" s="2404"/>
      <c r="AE292" s="2404"/>
      <c r="AF292" s="2404"/>
      <c r="AG292" s="2404"/>
      <c r="AH292" s="2404"/>
      <c r="AI292" s="2404"/>
      <c r="AJ292" s="2404"/>
      <c r="AK292" s="2404"/>
      <c r="AL292" s="2404"/>
      <c r="AM292" s="548"/>
      <c r="AN292" s="73"/>
    </row>
    <row r="293" spans="1:49">
      <c r="A293" s="548"/>
      <c r="B293" s="2404"/>
      <c r="C293" s="2404"/>
      <c r="D293" s="2404"/>
      <c r="E293" s="2404"/>
      <c r="F293" s="2404"/>
      <c r="G293" s="2404"/>
      <c r="H293" s="2404"/>
      <c r="I293" s="2404"/>
      <c r="J293" s="2404"/>
      <c r="K293" s="2404"/>
      <c r="L293" s="2404"/>
      <c r="M293" s="2404"/>
      <c r="N293" s="2404"/>
      <c r="O293" s="2404"/>
      <c r="P293" s="2404"/>
      <c r="Q293" s="2404"/>
      <c r="R293" s="2404"/>
      <c r="S293" s="2404"/>
      <c r="T293" s="2404"/>
      <c r="U293" s="2404"/>
      <c r="V293" s="2404"/>
      <c r="W293" s="2404"/>
      <c r="X293" s="2404"/>
      <c r="Y293" s="2404"/>
      <c r="Z293" s="2404"/>
      <c r="AA293" s="2404"/>
      <c r="AB293" s="2404"/>
      <c r="AC293" s="2404"/>
      <c r="AD293" s="2404"/>
      <c r="AE293" s="2404"/>
      <c r="AF293" s="2404"/>
      <c r="AG293" s="2404"/>
      <c r="AH293" s="2404"/>
      <c r="AI293" s="2404"/>
      <c r="AJ293" s="2404"/>
      <c r="AK293" s="2404"/>
      <c r="AL293" s="2404"/>
      <c r="AM293" s="548"/>
      <c r="AN293" s="73"/>
    </row>
    <row r="294" spans="1:49">
      <c r="A294" s="548"/>
      <c r="B294" s="2404"/>
      <c r="C294" s="2404"/>
      <c r="D294" s="2404"/>
      <c r="E294" s="2404"/>
      <c r="F294" s="2404"/>
      <c r="G294" s="2404"/>
      <c r="H294" s="2404"/>
      <c r="I294" s="2404"/>
      <c r="J294" s="2404"/>
      <c r="K294" s="2404"/>
      <c r="L294" s="2404"/>
      <c r="M294" s="2404"/>
      <c r="N294" s="2404"/>
      <c r="O294" s="2404"/>
      <c r="P294" s="2404"/>
      <c r="Q294" s="2404"/>
      <c r="R294" s="2404"/>
      <c r="S294" s="2404"/>
      <c r="T294" s="2404"/>
      <c r="U294" s="2404"/>
      <c r="V294" s="2404"/>
      <c r="W294" s="2404"/>
      <c r="X294" s="2404"/>
      <c r="Y294" s="2404"/>
      <c r="Z294" s="2404"/>
      <c r="AA294" s="2404"/>
      <c r="AB294" s="2404"/>
      <c r="AC294" s="2404"/>
      <c r="AD294" s="2404"/>
      <c r="AE294" s="2404"/>
      <c r="AF294" s="2404"/>
      <c r="AG294" s="2404"/>
      <c r="AH294" s="2404"/>
      <c r="AI294" s="2404"/>
      <c r="AJ294" s="2404"/>
      <c r="AK294" s="2404"/>
      <c r="AL294" s="2404"/>
      <c r="AM294" s="548"/>
      <c r="AN294" s="73"/>
    </row>
    <row r="295" spans="1:49">
      <c r="A295" s="548"/>
      <c r="B295" s="2404"/>
      <c r="C295" s="2404"/>
      <c r="D295" s="2404"/>
      <c r="E295" s="2404"/>
      <c r="F295" s="2404"/>
      <c r="G295" s="2404"/>
      <c r="H295" s="2404"/>
      <c r="I295" s="2404"/>
      <c r="J295" s="2404"/>
      <c r="K295" s="2404"/>
      <c r="L295" s="2404"/>
      <c r="M295" s="2404"/>
      <c r="N295" s="2404"/>
      <c r="O295" s="2404"/>
      <c r="P295" s="2404"/>
      <c r="Q295" s="2404"/>
      <c r="R295" s="2404"/>
      <c r="S295" s="2404"/>
      <c r="T295" s="2404"/>
      <c r="U295" s="2404"/>
      <c r="V295" s="2404"/>
      <c r="W295" s="2404"/>
      <c r="X295" s="2404"/>
      <c r="Y295" s="2404"/>
      <c r="Z295" s="2404"/>
      <c r="AA295" s="2404"/>
      <c r="AB295" s="2404"/>
      <c r="AC295" s="2404"/>
      <c r="AD295" s="2404"/>
      <c r="AE295" s="2404"/>
      <c r="AF295" s="2404"/>
      <c r="AG295" s="2404"/>
      <c r="AH295" s="2404"/>
      <c r="AI295" s="2404"/>
      <c r="AJ295" s="2404"/>
      <c r="AK295" s="2404"/>
      <c r="AL295" s="2404"/>
      <c r="AM295" s="548"/>
      <c r="AN295" s="73"/>
    </row>
    <row r="296" spans="1:49">
      <c r="A296" s="548"/>
      <c r="B296" s="2404"/>
      <c r="C296" s="2404"/>
      <c r="D296" s="2404"/>
      <c r="E296" s="2404"/>
      <c r="F296" s="2404"/>
      <c r="G296" s="2404"/>
      <c r="H296" s="2404"/>
      <c r="I296" s="2404"/>
      <c r="J296" s="2404"/>
      <c r="K296" s="2404"/>
      <c r="L296" s="2404"/>
      <c r="M296" s="2404"/>
      <c r="N296" s="2404"/>
      <c r="O296" s="2404"/>
      <c r="P296" s="2404"/>
      <c r="Q296" s="2404"/>
      <c r="R296" s="2404"/>
      <c r="S296" s="2404"/>
      <c r="T296" s="2404"/>
      <c r="U296" s="2404"/>
      <c r="V296" s="2404"/>
      <c r="W296" s="2404"/>
      <c r="X296" s="2404"/>
      <c r="Y296" s="2404"/>
      <c r="Z296" s="2404"/>
      <c r="AA296" s="2404"/>
      <c r="AB296" s="2404"/>
      <c r="AC296" s="2404"/>
      <c r="AD296" s="2404"/>
      <c r="AE296" s="2404"/>
      <c r="AF296" s="2404"/>
      <c r="AG296" s="2404"/>
      <c r="AH296" s="2404"/>
      <c r="AI296" s="2404"/>
      <c r="AJ296" s="2404"/>
      <c r="AK296" s="2404"/>
      <c r="AL296" s="2404"/>
      <c r="AM296" s="548"/>
      <c r="AN296" s="73"/>
    </row>
    <row r="297" spans="1:49">
      <c r="A297" s="548"/>
      <c r="B297" s="600"/>
      <c r="C297" s="600"/>
      <c r="D297" s="600"/>
      <c r="E297" s="600"/>
      <c r="F297" s="600"/>
      <c r="G297" s="600"/>
      <c r="H297" s="600"/>
      <c r="I297" s="600"/>
      <c r="J297" s="600"/>
      <c r="K297" s="600"/>
      <c r="L297" s="600"/>
      <c r="M297" s="600"/>
      <c r="N297" s="600"/>
      <c r="O297" s="600"/>
      <c r="P297" s="600"/>
      <c r="Q297" s="600"/>
      <c r="R297" s="600"/>
      <c r="S297" s="600"/>
      <c r="T297" s="600"/>
      <c r="U297" s="600"/>
      <c r="V297" s="600"/>
      <c r="W297" s="600"/>
      <c r="X297" s="600"/>
      <c r="Y297" s="600"/>
      <c r="Z297" s="600"/>
      <c r="AA297" s="600"/>
      <c r="AB297" s="600"/>
      <c r="AC297" s="600"/>
      <c r="AD297" s="600"/>
      <c r="AE297" s="600"/>
      <c r="AF297" s="600"/>
      <c r="AG297" s="600"/>
      <c r="AH297" s="600"/>
      <c r="AI297" s="600"/>
      <c r="AJ297" s="600"/>
      <c r="AK297" s="600"/>
      <c r="AL297" s="548"/>
      <c r="AM297" s="548"/>
      <c r="AN297" s="73"/>
    </row>
    <row r="298" spans="1:49">
      <c r="A298" s="603"/>
      <c r="B298" s="561"/>
      <c r="C298" s="561"/>
      <c r="D298" s="561"/>
      <c r="E298" s="561"/>
      <c r="F298" s="561"/>
      <c r="G298" s="561"/>
      <c r="H298" s="561"/>
      <c r="I298" s="561"/>
      <c r="J298" s="561"/>
      <c r="K298" s="561"/>
      <c r="L298" s="561"/>
      <c r="M298" s="561"/>
      <c r="N298" s="561"/>
      <c r="O298" s="561"/>
      <c r="P298" s="561"/>
      <c r="Q298" s="561"/>
      <c r="R298" s="561"/>
      <c r="S298" s="561"/>
      <c r="T298" s="561"/>
      <c r="U298" s="561"/>
      <c r="V298" s="561"/>
      <c r="W298" s="561"/>
      <c r="X298" s="561"/>
      <c r="Y298" s="561"/>
      <c r="Z298" s="561"/>
      <c r="AA298" s="561"/>
      <c r="AB298" s="561"/>
      <c r="AC298" s="561"/>
      <c r="AD298" s="561"/>
      <c r="AE298" s="561"/>
      <c r="AF298" s="561"/>
      <c r="AG298" s="561"/>
      <c r="AH298" s="561"/>
      <c r="AI298" s="562"/>
      <c r="AJ298" s="562" t="s">
        <v>1370</v>
      </c>
      <c r="AK298" s="2496">
        <f>IF($C$279="yes",10,0)</f>
        <v>10</v>
      </c>
      <c r="AL298" s="2496"/>
      <c r="AM298" s="2497"/>
      <c r="AN298" s="73"/>
    </row>
    <row r="299" spans="1:49" ht="13.5" thickBot="1"/>
    <row r="300" spans="1:49" ht="13.5" thickTop="1">
      <c r="A300" s="635"/>
      <c r="B300" s="635"/>
      <c r="C300" s="635"/>
      <c r="D300" s="635"/>
      <c r="E300" s="635"/>
      <c r="F300" s="635"/>
      <c r="G300" s="635"/>
      <c r="H300" s="635"/>
      <c r="I300" s="635"/>
      <c r="J300" s="635"/>
      <c r="K300" s="635"/>
      <c r="L300" s="635"/>
      <c r="M300" s="635"/>
      <c r="N300" s="635"/>
      <c r="O300" s="635"/>
      <c r="P300" s="635"/>
      <c r="Q300" s="635"/>
      <c r="R300" s="635"/>
      <c r="S300" s="635"/>
      <c r="T300" s="635"/>
      <c r="U300" s="635"/>
      <c r="V300" s="635"/>
      <c r="W300" s="635"/>
      <c r="X300" s="635"/>
      <c r="Y300" s="635"/>
      <c r="Z300" s="635"/>
      <c r="AA300" s="635"/>
      <c r="AB300" s="635"/>
      <c r="AC300" s="635"/>
      <c r="AD300" s="635"/>
      <c r="AE300" s="635"/>
      <c r="AF300" s="635"/>
      <c r="AG300" s="635"/>
      <c r="AH300" s="635"/>
      <c r="AI300" s="635"/>
      <c r="AJ300" s="635"/>
      <c r="AK300" s="635"/>
      <c r="AL300" s="635"/>
      <c r="AM300" s="636"/>
    </row>
    <row r="301" spans="1:49">
      <c r="A301" s="537" t="s">
        <v>1367</v>
      </c>
      <c r="B301" s="537" t="s">
        <v>2567</v>
      </c>
      <c r="AH301" s="588" t="s">
        <v>1306</v>
      </c>
    </row>
    <row r="302" spans="1:49" ht="15" customHeight="1">
      <c r="B302" s="538"/>
    </row>
    <row r="303" spans="1:49" ht="15" customHeight="1">
      <c r="B303" s="538" t="s">
        <v>1715</v>
      </c>
    </row>
    <row r="304" spans="1:49">
      <c r="B304" s="548"/>
      <c r="C304" s="637"/>
      <c r="D304" s="548"/>
      <c r="E304" s="548"/>
      <c r="F304" s="548"/>
      <c r="G304" s="548"/>
      <c r="H304" s="548"/>
      <c r="I304" s="548"/>
      <c r="J304" s="548"/>
      <c r="K304" s="548"/>
      <c r="L304" s="548"/>
      <c r="M304" s="548"/>
      <c r="N304" s="548"/>
      <c r="O304" s="548"/>
      <c r="P304" s="548"/>
      <c r="Q304" s="548"/>
      <c r="R304" s="548"/>
      <c r="S304" s="548"/>
      <c r="T304" s="548"/>
      <c r="U304" s="548"/>
      <c r="V304" s="548"/>
      <c r="W304" s="548"/>
      <c r="X304" s="548"/>
      <c r="Y304" s="548"/>
      <c r="Z304" s="548"/>
      <c r="AA304" s="548"/>
      <c r="AB304" s="548"/>
      <c r="AC304" s="548"/>
      <c r="AD304" s="548"/>
      <c r="AG304" s="548"/>
      <c r="AI304" s="548"/>
      <c r="AJ304" s="548"/>
      <c r="AK304" s="548"/>
      <c r="AL304" s="548"/>
      <c r="AM304" s="548"/>
      <c r="AN304" s="73"/>
      <c r="AO304" s="14"/>
      <c r="AP304" s="567"/>
      <c r="AQ304" s="638"/>
      <c r="AR304" s="567"/>
      <c r="AS304" s="567"/>
      <c r="AT304" s="567"/>
      <c r="AU304" s="567"/>
      <c r="AV304" s="32"/>
      <c r="AW304" s="32"/>
    </row>
    <row r="305" spans="1:49" ht="12.75" customHeight="1">
      <c r="A305" s="1683" t="s">
        <v>1372</v>
      </c>
      <c r="B305" s="1683"/>
      <c r="C305" s="2478" t="s">
        <v>589</v>
      </c>
      <c r="D305" s="2488"/>
      <c r="E305" s="545"/>
      <c r="F305" s="2510" t="s">
        <v>1373</v>
      </c>
      <c r="G305" s="2511"/>
      <c r="H305" s="2511"/>
      <c r="I305" s="2511"/>
      <c r="J305" s="2511"/>
      <c r="K305" s="2511"/>
      <c r="L305" s="2511"/>
      <c r="M305" s="2511"/>
      <c r="N305" s="2511"/>
      <c r="O305" s="2511"/>
      <c r="P305" s="2511"/>
      <c r="Q305" s="2511"/>
      <c r="R305" s="2511"/>
      <c r="S305" s="2511"/>
      <c r="T305" s="2511"/>
      <c r="U305" s="2511"/>
      <c r="V305" s="2511"/>
      <c r="W305" s="2511"/>
      <c r="X305" s="2511"/>
      <c r="Y305" s="2511"/>
      <c r="Z305" s="2511"/>
      <c r="AA305" s="2511"/>
      <c r="AB305" s="2511"/>
      <c r="AC305" s="2511"/>
      <c r="AD305" s="2512"/>
      <c r="AE305" s="639"/>
      <c r="AF305" s="548"/>
      <c r="AG305" s="2513" t="s">
        <v>1980</v>
      </c>
      <c r="AH305" s="2513"/>
      <c r="AI305" s="2513"/>
      <c r="AJ305" s="2513"/>
      <c r="AK305" s="2513"/>
      <c r="AL305" s="548"/>
      <c r="AM305" s="548"/>
      <c r="AN305" s="73"/>
      <c r="AO305" s="14"/>
      <c r="AP305" s="30"/>
      <c r="AS305" s="567"/>
      <c r="AT305" s="567"/>
      <c r="AU305" s="567"/>
      <c r="AV305" s="32"/>
      <c r="AW305" s="32"/>
    </row>
    <row r="306" spans="1:49">
      <c r="A306" s="637"/>
      <c r="B306" s="593"/>
      <c r="F306" s="2482"/>
      <c r="G306" s="2483"/>
      <c r="H306" s="2483"/>
      <c r="I306" s="2483"/>
      <c r="J306" s="2483"/>
      <c r="K306" s="2483"/>
      <c r="L306" s="2483"/>
      <c r="M306" s="2483"/>
      <c r="N306" s="2483"/>
      <c r="O306" s="2483"/>
      <c r="P306" s="2483"/>
      <c r="Q306" s="2483"/>
      <c r="R306" s="2483"/>
      <c r="S306" s="2483"/>
      <c r="T306" s="2483"/>
      <c r="U306" s="2483"/>
      <c r="V306" s="2483"/>
      <c r="W306" s="2483"/>
      <c r="X306" s="2483"/>
      <c r="Y306" s="2483"/>
      <c r="Z306" s="2483"/>
      <c r="AA306" s="2483"/>
      <c r="AB306" s="2483"/>
      <c r="AC306" s="2483"/>
      <c r="AD306" s="2484"/>
      <c r="AE306" s="639"/>
      <c r="AF306" s="549"/>
      <c r="AH306" s="549"/>
      <c r="AI306" s="549"/>
      <c r="AJ306" s="548"/>
      <c r="AK306" s="548"/>
      <c r="AL306" s="548"/>
      <c r="AM306" s="548"/>
      <c r="AN306" s="73"/>
      <c r="AO306" s="14"/>
      <c r="AP306" s="548">
        <f>IF($C$305="yes",10,IF(C305="50% Met",9,0))</f>
        <v>0</v>
      </c>
      <c r="AS306" s="567"/>
      <c r="AT306" s="567"/>
      <c r="AU306" s="567"/>
      <c r="AV306" s="32"/>
      <c r="AW306" s="32"/>
    </row>
    <row r="307" spans="1:49" ht="12.75" customHeight="1">
      <c r="A307" s="637"/>
      <c r="B307" s="593"/>
      <c r="F307" s="2482"/>
      <c r="G307" s="2483"/>
      <c r="H307" s="2483"/>
      <c r="I307" s="2483"/>
      <c r="J307" s="2483"/>
      <c r="K307" s="2483"/>
      <c r="L307" s="2483"/>
      <c r="M307" s="2483"/>
      <c r="N307" s="2483"/>
      <c r="O307" s="2483"/>
      <c r="P307" s="2483"/>
      <c r="Q307" s="2483"/>
      <c r="R307" s="2483"/>
      <c r="S307" s="2483"/>
      <c r="T307" s="2483"/>
      <c r="U307" s="2483"/>
      <c r="V307" s="2483"/>
      <c r="W307" s="2483"/>
      <c r="X307" s="2483"/>
      <c r="Y307" s="2483"/>
      <c r="Z307" s="2483"/>
      <c r="AA307" s="2483"/>
      <c r="AB307" s="2483"/>
      <c r="AC307" s="2483"/>
      <c r="AD307" s="2484"/>
      <c r="AE307" s="639"/>
      <c r="AF307" s="549"/>
      <c r="AH307" s="549"/>
      <c r="AI307" s="549"/>
      <c r="AJ307" s="548"/>
      <c r="AK307" s="548"/>
      <c r="AL307" s="548"/>
      <c r="AM307" s="548"/>
      <c r="AN307" s="73"/>
      <c r="AO307" s="14"/>
      <c r="AP307" s="548">
        <f>IF($C$315="yes",9,0)</f>
        <v>9</v>
      </c>
      <c r="AS307" s="567"/>
      <c r="AT307" s="567"/>
      <c r="AU307" s="567"/>
      <c r="AV307" s="32"/>
      <c r="AW307" s="32"/>
    </row>
    <row r="308" spans="1:49" ht="12.75" customHeight="1">
      <c r="A308" s="637"/>
      <c r="B308" s="593"/>
      <c r="F308" s="2482" t="s">
        <v>1985</v>
      </c>
      <c r="G308" s="2483"/>
      <c r="H308" s="2483"/>
      <c r="I308" s="2483"/>
      <c r="J308" s="2483"/>
      <c r="K308" s="2483"/>
      <c r="L308" s="2483"/>
      <c r="M308" s="2483"/>
      <c r="N308" s="2483"/>
      <c r="O308" s="2483"/>
      <c r="P308" s="2483"/>
      <c r="Q308" s="2483"/>
      <c r="R308" s="2483"/>
      <c r="S308" s="2483"/>
      <c r="T308" s="2483"/>
      <c r="U308" s="2483"/>
      <c r="V308" s="2483"/>
      <c r="W308" s="2483"/>
      <c r="X308" s="2483"/>
      <c r="Y308" s="2483"/>
      <c r="Z308" s="2483"/>
      <c r="AA308" s="2483"/>
      <c r="AB308" s="2483"/>
      <c r="AC308" s="2483"/>
      <c r="AD308" s="2484"/>
      <c r="AE308" s="639"/>
      <c r="AF308" s="549"/>
      <c r="AH308" s="549"/>
      <c r="AI308" s="549"/>
      <c r="AJ308" s="548"/>
      <c r="AK308" s="548"/>
      <c r="AL308" s="548"/>
      <c r="AM308" s="548"/>
      <c r="AN308" s="73"/>
      <c r="AO308" s="14"/>
      <c r="AP308" s="608">
        <f>MAX(AP306,AP307)</f>
        <v>9</v>
      </c>
      <c r="AQ308" s="571" t="s">
        <v>1308</v>
      </c>
      <c r="AS308" s="567"/>
      <c r="AT308" s="567"/>
      <c r="AU308" s="567"/>
      <c r="AV308" s="32"/>
      <c r="AW308" s="32"/>
    </row>
    <row r="309" spans="1:49">
      <c r="A309" s="637"/>
      <c r="B309" s="593"/>
      <c r="F309" s="2482"/>
      <c r="G309" s="2483"/>
      <c r="H309" s="2483"/>
      <c r="I309" s="2483"/>
      <c r="J309" s="2483"/>
      <c r="K309" s="2483"/>
      <c r="L309" s="2483"/>
      <c r="M309" s="2483"/>
      <c r="N309" s="2483"/>
      <c r="O309" s="2483"/>
      <c r="P309" s="2483"/>
      <c r="Q309" s="2483"/>
      <c r="R309" s="2483"/>
      <c r="S309" s="2483"/>
      <c r="T309" s="2483"/>
      <c r="U309" s="2483"/>
      <c r="V309" s="2483"/>
      <c r="W309" s="2483"/>
      <c r="X309" s="2483"/>
      <c r="Y309" s="2483"/>
      <c r="Z309" s="2483"/>
      <c r="AA309" s="2483"/>
      <c r="AB309" s="2483"/>
      <c r="AC309" s="2483"/>
      <c r="AD309" s="2484"/>
      <c r="AE309" s="639"/>
      <c r="AF309" s="549"/>
      <c r="AH309" s="549"/>
      <c r="AI309" s="549"/>
      <c r="AJ309" s="548"/>
      <c r="AK309" s="548"/>
      <c r="AL309" s="548"/>
      <c r="AM309" s="548"/>
      <c r="AN309" s="73"/>
      <c r="AO309" s="14"/>
      <c r="AP309" s="548"/>
      <c r="AS309" s="567"/>
      <c r="AT309" s="567"/>
      <c r="AU309" s="567"/>
      <c r="AV309" s="32"/>
      <c r="AW309" s="32"/>
    </row>
    <row r="310" spans="1:49" ht="12.75" customHeight="1">
      <c r="A310" s="548"/>
      <c r="B310" s="549"/>
      <c r="C310" s="548"/>
      <c r="D310" s="549"/>
      <c r="E310" s="548"/>
      <c r="F310" s="2482" t="s">
        <v>1374</v>
      </c>
      <c r="G310" s="2483"/>
      <c r="H310" s="2483"/>
      <c r="I310" s="2483"/>
      <c r="J310" s="2483"/>
      <c r="K310" s="2483"/>
      <c r="L310" s="2483"/>
      <c r="M310" s="2483"/>
      <c r="N310" s="2483"/>
      <c r="O310" s="2483"/>
      <c r="P310" s="2483"/>
      <c r="Q310" s="2483"/>
      <c r="R310" s="2483"/>
      <c r="S310" s="2483"/>
      <c r="T310" s="2483"/>
      <c r="U310" s="2483"/>
      <c r="V310" s="2483"/>
      <c r="W310" s="2483"/>
      <c r="X310" s="2483"/>
      <c r="Y310" s="2483"/>
      <c r="Z310" s="2483"/>
      <c r="AA310" s="2483"/>
      <c r="AB310" s="2483"/>
      <c r="AC310" s="2483"/>
      <c r="AD310" s="2484"/>
      <c r="AE310" s="639"/>
      <c r="AF310" s="549"/>
      <c r="AG310" s="549"/>
      <c r="AH310" s="549"/>
      <c r="AI310" s="549"/>
      <c r="AJ310" s="548"/>
      <c r="AK310" s="548"/>
      <c r="AL310" s="548"/>
      <c r="AM310" s="548"/>
      <c r="AN310" s="73"/>
      <c r="AO310" s="14"/>
      <c r="AS310" s="567"/>
      <c r="AT310" s="567"/>
      <c r="AU310" s="567"/>
      <c r="AV310" s="32"/>
      <c r="AW310" s="32"/>
    </row>
    <row r="311" spans="1:49" ht="12.75" customHeight="1">
      <c r="A311" s="548"/>
      <c r="B311" s="549"/>
      <c r="C311" s="549"/>
      <c r="D311" s="549"/>
      <c r="E311" s="549"/>
      <c r="F311" s="2482"/>
      <c r="G311" s="2483"/>
      <c r="H311" s="2483"/>
      <c r="I311" s="2483"/>
      <c r="J311" s="2483"/>
      <c r="K311" s="2483"/>
      <c r="L311" s="2483"/>
      <c r="M311" s="2483"/>
      <c r="N311" s="2483"/>
      <c r="O311" s="2483"/>
      <c r="P311" s="2483"/>
      <c r="Q311" s="2483"/>
      <c r="R311" s="2483"/>
      <c r="S311" s="2483"/>
      <c r="T311" s="2483"/>
      <c r="U311" s="2483"/>
      <c r="V311" s="2483"/>
      <c r="W311" s="2483"/>
      <c r="X311" s="2483"/>
      <c r="Y311" s="2483"/>
      <c r="Z311" s="2483"/>
      <c r="AA311" s="2483"/>
      <c r="AB311" s="2483"/>
      <c r="AC311" s="2483"/>
      <c r="AD311" s="2484"/>
      <c r="AE311" s="639"/>
      <c r="AF311" s="549"/>
      <c r="AG311" s="549"/>
      <c r="AH311" s="549"/>
      <c r="AI311" s="549"/>
      <c r="AJ311" s="548"/>
      <c r="AK311" s="548"/>
      <c r="AL311" s="548"/>
      <c r="AM311" s="548"/>
      <c r="AN311" s="73"/>
      <c r="AO311" s="14"/>
      <c r="AS311" s="567"/>
      <c r="AT311" s="567"/>
      <c r="AU311" s="567"/>
      <c r="AV311" s="32"/>
      <c r="AW311" s="32"/>
    </row>
    <row r="312" spans="1:49" ht="12.75" customHeight="1">
      <c r="A312" s="548"/>
      <c r="B312" s="549"/>
      <c r="C312" s="549"/>
      <c r="D312" s="549"/>
      <c r="E312" s="549"/>
      <c r="F312" s="2482" t="s">
        <v>1375</v>
      </c>
      <c r="G312" s="2483"/>
      <c r="H312" s="2483"/>
      <c r="I312" s="2483"/>
      <c r="J312" s="2483"/>
      <c r="K312" s="2483"/>
      <c r="L312" s="2483"/>
      <c r="M312" s="2483"/>
      <c r="N312" s="2483"/>
      <c r="O312" s="2483"/>
      <c r="P312" s="2483"/>
      <c r="Q312" s="2483"/>
      <c r="R312" s="2483"/>
      <c r="S312" s="2483"/>
      <c r="T312" s="2483"/>
      <c r="U312" s="2483"/>
      <c r="V312" s="2483"/>
      <c r="W312" s="2483"/>
      <c r="X312" s="2483"/>
      <c r="Y312" s="2483"/>
      <c r="Z312" s="2483"/>
      <c r="AA312" s="2483"/>
      <c r="AB312" s="2483"/>
      <c r="AC312" s="2483"/>
      <c r="AD312" s="2484"/>
      <c r="AE312" s="640"/>
      <c r="AF312" s="549"/>
      <c r="AG312" s="549"/>
      <c r="AH312" s="549"/>
      <c r="AI312" s="549"/>
      <c r="AJ312" s="548"/>
      <c r="AK312" s="548"/>
      <c r="AL312" s="548"/>
      <c r="AM312" s="548"/>
      <c r="AN312" s="73"/>
      <c r="AO312" s="14"/>
      <c r="AP312" s="548"/>
      <c r="AS312" s="567"/>
      <c r="AT312" s="567"/>
      <c r="AU312" s="567"/>
      <c r="AV312" s="32"/>
      <c r="AW312" s="32"/>
    </row>
    <row r="313" spans="1:49">
      <c r="B313" s="549"/>
      <c r="C313" s="549"/>
      <c r="D313" s="549"/>
      <c r="E313" s="549"/>
      <c r="F313" s="2485"/>
      <c r="G313" s="2486"/>
      <c r="H313" s="2486"/>
      <c r="I313" s="2486"/>
      <c r="J313" s="2486"/>
      <c r="K313" s="2486"/>
      <c r="L313" s="2486"/>
      <c r="M313" s="2486"/>
      <c r="N313" s="2486"/>
      <c r="O313" s="2486"/>
      <c r="P313" s="2486"/>
      <c r="Q313" s="2486"/>
      <c r="R313" s="2486"/>
      <c r="S313" s="2486"/>
      <c r="T313" s="2486"/>
      <c r="U313" s="2486"/>
      <c r="V313" s="2486"/>
      <c r="W313" s="2486"/>
      <c r="X313" s="2486"/>
      <c r="Y313" s="2486"/>
      <c r="Z313" s="2486"/>
      <c r="AA313" s="2486"/>
      <c r="AB313" s="2486"/>
      <c r="AC313" s="2486"/>
      <c r="AD313" s="2487"/>
      <c r="AE313" s="640"/>
      <c r="AF313" s="549"/>
      <c r="AG313" s="549"/>
      <c r="AH313" s="549"/>
      <c r="AI313" s="549"/>
      <c r="AJ313" s="548"/>
      <c r="AK313" s="548"/>
      <c r="AL313" s="548"/>
      <c r="AM313" s="548"/>
      <c r="AN313" s="73"/>
      <c r="AO313" s="14"/>
      <c r="AP313" s="548"/>
      <c r="AS313" s="567"/>
      <c r="AT313" s="567"/>
      <c r="AU313" s="567"/>
      <c r="AV313" s="32"/>
      <c r="AW313" s="32"/>
    </row>
    <row r="314" spans="1:49">
      <c r="A314" s="548"/>
      <c r="B314" s="549"/>
      <c r="C314" s="549"/>
      <c r="D314" s="549"/>
      <c r="E314" s="549"/>
      <c r="F314" s="640"/>
      <c r="G314" s="640"/>
      <c r="H314" s="640"/>
      <c r="I314" s="640"/>
      <c r="J314" s="640"/>
      <c r="K314" s="640"/>
      <c r="L314" s="640"/>
      <c r="M314" s="640"/>
      <c r="N314" s="640"/>
      <c r="O314" s="640"/>
      <c r="P314" s="640"/>
      <c r="Q314" s="640"/>
      <c r="R314" s="640"/>
      <c r="S314" s="640"/>
      <c r="T314" s="640"/>
      <c r="U314" s="640"/>
      <c r="V314" s="640"/>
      <c r="W314" s="640"/>
      <c r="X314" s="640"/>
      <c r="Y314" s="640"/>
      <c r="Z314" s="640"/>
      <c r="AA314" s="640"/>
      <c r="AB314" s="640"/>
      <c r="AC314" s="640"/>
      <c r="AD314" s="640"/>
      <c r="AE314" s="549"/>
      <c r="AF314" s="549"/>
      <c r="AG314" s="549"/>
      <c r="AH314" s="549"/>
      <c r="AI314" s="549"/>
      <c r="AJ314" s="548"/>
      <c r="AK314" s="548"/>
      <c r="AL314" s="548"/>
      <c r="AM314" s="548"/>
      <c r="AN314" s="73"/>
      <c r="AO314" s="14"/>
      <c r="AS314" s="567"/>
      <c r="AT314" s="567"/>
      <c r="AU314" s="567"/>
      <c r="AV314" s="32"/>
      <c r="AW314" s="32"/>
    </row>
    <row r="315" spans="1:49" ht="15" customHeight="1">
      <c r="A315" s="1683" t="s">
        <v>1376</v>
      </c>
      <c r="B315" s="1683"/>
      <c r="C315" s="2488" t="s">
        <v>543</v>
      </c>
      <c r="D315" s="2488"/>
      <c r="E315" s="545"/>
      <c r="F315" s="966" t="s">
        <v>2568</v>
      </c>
      <c r="G315" s="967"/>
      <c r="H315" s="967"/>
      <c r="I315" s="967"/>
      <c r="J315" s="967"/>
      <c r="K315" s="967"/>
      <c r="L315" s="967"/>
      <c r="M315" s="967"/>
      <c r="N315" s="967"/>
      <c r="O315" s="967"/>
      <c r="P315" s="967"/>
      <c r="Q315" s="967"/>
      <c r="R315" s="967"/>
      <c r="S315" s="967"/>
      <c r="T315" s="967"/>
      <c r="U315" s="967"/>
      <c r="V315" s="967"/>
      <c r="W315" s="967"/>
      <c r="X315" s="967"/>
      <c r="Y315" s="967"/>
      <c r="Z315" s="967"/>
      <c r="AA315" s="967"/>
      <c r="AB315" s="967"/>
      <c r="AC315" s="967"/>
      <c r="AD315" s="968"/>
      <c r="AE315" s="549"/>
      <c r="AF315" s="549"/>
      <c r="AG315" s="538" t="s">
        <v>1378</v>
      </c>
      <c r="AH315" s="549"/>
      <c r="AI315" s="549"/>
      <c r="AJ315" s="548"/>
      <c r="AK315" s="548"/>
      <c r="AL315" s="548"/>
      <c r="AM315" s="548"/>
      <c r="AN315" s="642"/>
      <c r="AO315" s="14"/>
    </row>
    <row r="316" spans="1:49">
      <c r="A316" s="548"/>
      <c r="B316" s="549"/>
      <c r="C316" s="548"/>
      <c r="D316" s="549"/>
      <c r="E316" s="548"/>
      <c r="F316" s="2482" t="s">
        <v>1981</v>
      </c>
      <c r="G316" s="2483"/>
      <c r="H316" s="2483"/>
      <c r="I316" s="2483"/>
      <c r="J316" s="2483"/>
      <c r="K316" s="2483"/>
      <c r="L316" s="2483"/>
      <c r="M316" s="2483"/>
      <c r="N316" s="2483"/>
      <c r="O316" s="2483"/>
      <c r="P316" s="2483"/>
      <c r="Q316" s="2483"/>
      <c r="R316" s="2483"/>
      <c r="S316" s="2483"/>
      <c r="T316" s="2483"/>
      <c r="U316" s="2483"/>
      <c r="V316" s="2483"/>
      <c r="W316" s="2483"/>
      <c r="X316" s="2483"/>
      <c r="Y316" s="2483"/>
      <c r="Z316" s="2483"/>
      <c r="AA316" s="2483"/>
      <c r="AB316" s="2483"/>
      <c r="AC316" s="2483"/>
      <c r="AD316" s="2484"/>
      <c r="AE316" s="549"/>
      <c r="AF316" s="549"/>
      <c r="AG316" s="549"/>
      <c r="AH316" s="549"/>
      <c r="AI316" s="549"/>
      <c r="AJ316" s="548"/>
      <c r="AK316" s="548"/>
      <c r="AL316" s="548"/>
      <c r="AM316" s="548"/>
      <c r="AR316" s="643"/>
    </row>
    <row r="317" spans="1:49" ht="15" customHeight="1">
      <c r="A317" s="548"/>
      <c r="B317" s="549"/>
      <c r="C317" s="548"/>
      <c r="D317" s="549"/>
      <c r="E317" s="548"/>
      <c r="F317" s="2482"/>
      <c r="G317" s="2483"/>
      <c r="H317" s="2483"/>
      <c r="I317" s="2483"/>
      <c r="J317" s="2483"/>
      <c r="K317" s="2483"/>
      <c r="L317" s="2483"/>
      <c r="M317" s="2483"/>
      <c r="N317" s="2483"/>
      <c r="O317" s="2483"/>
      <c r="P317" s="2483"/>
      <c r="Q317" s="2483"/>
      <c r="R317" s="2483"/>
      <c r="S317" s="2483"/>
      <c r="T317" s="2483"/>
      <c r="U317" s="2483"/>
      <c r="V317" s="2483"/>
      <c r="W317" s="2483"/>
      <c r="X317" s="2483"/>
      <c r="Y317" s="2483"/>
      <c r="Z317" s="2483"/>
      <c r="AA317" s="2483"/>
      <c r="AB317" s="2483"/>
      <c r="AC317" s="2483"/>
      <c r="AD317" s="2484"/>
      <c r="AE317" s="549"/>
      <c r="AF317" s="549"/>
      <c r="AG317" s="549"/>
      <c r="AH317" s="549"/>
      <c r="AI317" s="549"/>
      <c r="AJ317" s="548"/>
      <c r="AK317" s="548"/>
      <c r="AL317" s="548"/>
      <c r="AM317" s="548"/>
      <c r="AR317" s="643"/>
    </row>
    <row r="318" spans="1:49">
      <c r="A318" s="548"/>
      <c r="B318" s="549"/>
      <c r="C318" s="548"/>
      <c r="D318" s="549"/>
      <c r="E318" s="548"/>
      <c r="F318" s="2482"/>
      <c r="G318" s="2483"/>
      <c r="H318" s="2483"/>
      <c r="I318" s="2483"/>
      <c r="J318" s="2483"/>
      <c r="K318" s="2483"/>
      <c r="L318" s="2483"/>
      <c r="M318" s="2483"/>
      <c r="N318" s="2483"/>
      <c r="O318" s="2483"/>
      <c r="P318" s="2483"/>
      <c r="Q318" s="2483"/>
      <c r="R318" s="2483"/>
      <c r="S318" s="2483"/>
      <c r="T318" s="2483"/>
      <c r="U318" s="2483"/>
      <c r="V318" s="2483"/>
      <c r="W318" s="2483"/>
      <c r="X318" s="2483"/>
      <c r="Y318" s="2483"/>
      <c r="Z318" s="2483"/>
      <c r="AA318" s="2483"/>
      <c r="AB318" s="2483"/>
      <c r="AC318" s="2483"/>
      <c r="AD318" s="2484"/>
      <c r="AE318" s="549"/>
      <c r="AF318" s="549"/>
      <c r="AG318" s="549"/>
      <c r="AH318" s="549"/>
      <c r="AI318" s="549"/>
      <c r="AJ318" s="548"/>
      <c r="AK318" s="548"/>
      <c r="AL318" s="548"/>
      <c r="AM318" s="548"/>
      <c r="AP318" s="608"/>
      <c r="AQ318" s="571"/>
      <c r="AR318" s="643"/>
    </row>
    <row r="319" spans="1:49" ht="11.25" customHeight="1">
      <c r="A319" s="548"/>
      <c r="B319" s="549"/>
      <c r="C319" s="548"/>
      <c r="D319" s="549"/>
      <c r="E319" s="548"/>
      <c r="F319" s="2485"/>
      <c r="G319" s="2486"/>
      <c r="H319" s="2486"/>
      <c r="I319" s="2486"/>
      <c r="J319" s="2486"/>
      <c r="K319" s="2486"/>
      <c r="L319" s="2486"/>
      <c r="M319" s="2486"/>
      <c r="N319" s="2486"/>
      <c r="O319" s="2486"/>
      <c r="P319" s="2486"/>
      <c r="Q319" s="2486"/>
      <c r="R319" s="2486"/>
      <c r="S319" s="2486"/>
      <c r="T319" s="2486"/>
      <c r="U319" s="2486"/>
      <c r="V319" s="2486"/>
      <c r="W319" s="2486"/>
      <c r="X319" s="2486"/>
      <c r="Y319" s="2486"/>
      <c r="Z319" s="2486"/>
      <c r="AA319" s="2486"/>
      <c r="AB319" s="2486"/>
      <c r="AC319" s="2486"/>
      <c r="AD319" s="2487"/>
      <c r="AE319" s="549"/>
      <c r="AF319" s="549"/>
      <c r="AG319" s="549"/>
      <c r="AH319" s="549"/>
      <c r="AI319" s="549"/>
      <c r="AJ319" s="548"/>
      <c r="AK319" s="548"/>
      <c r="AL319" s="548"/>
      <c r="AM319" s="548"/>
      <c r="AP319" s="608"/>
      <c r="AQ319" s="571"/>
      <c r="AR319" s="643"/>
    </row>
    <row r="320" spans="1:49">
      <c r="A320" s="548"/>
      <c r="B320" s="549"/>
      <c r="C320" s="549"/>
      <c r="D320" s="549"/>
      <c r="E320" s="549"/>
      <c r="F320" s="549"/>
      <c r="G320" s="549"/>
      <c r="H320" s="549"/>
      <c r="I320" s="549"/>
      <c r="J320" s="549"/>
      <c r="K320" s="549"/>
      <c r="L320" s="549"/>
      <c r="M320" s="549"/>
      <c r="N320" s="549"/>
      <c r="O320" s="549"/>
      <c r="P320" s="549"/>
      <c r="Q320" s="549"/>
      <c r="R320" s="549"/>
      <c r="S320" s="549"/>
      <c r="T320" s="549"/>
      <c r="U320" s="549"/>
      <c r="V320" s="549"/>
      <c r="W320" s="549"/>
      <c r="X320" s="549"/>
      <c r="Y320" s="549"/>
      <c r="Z320" s="549"/>
      <c r="AA320" s="549"/>
      <c r="AB320" s="549"/>
      <c r="AC320" s="549"/>
      <c r="AD320" s="549"/>
      <c r="AE320" s="549"/>
      <c r="AF320" s="549"/>
      <c r="AG320" s="549"/>
      <c r="AH320" s="549"/>
      <c r="AI320" s="549"/>
      <c r="AJ320" s="548"/>
      <c r="AK320" s="548"/>
      <c r="AL320" s="548"/>
      <c r="AM320" s="548"/>
      <c r="AP320" s="608"/>
      <c r="AQ320" s="571"/>
      <c r="AR320" s="643"/>
    </row>
    <row r="321" spans="1:44" hidden="1">
      <c r="A321" s="548"/>
      <c r="B321" s="549"/>
      <c r="C321" s="549"/>
      <c r="D321" s="549"/>
      <c r="E321" s="549"/>
      <c r="F321" s="549"/>
      <c r="G321" s="549"/>
      <c r="H321" s="549"/>
      <c r="I321" s="549"/>
      <c r="J321" s="549"/>
      <c r="K321" s="549"/>
      <c r="L321" s="549"/>
      <c r="M321" s="549"/>
      <c r="N321" s="549"/>
      <c r="O321" s="549"/>
      <c r="P321" s="549"/>
      <c r="Q321" s="549"/>
      <c r="R321" s="549"/>
      <c r="S321" s="549"/>
      <c r="T321" s="549"/>
      <c r="U321" s="549"/>
      <c r="V321" s="549"/>
      <c r="W321" s="549"/>
      <c r="X321" s="549"/>
      <c r="Y321" s="549"/>
      <c r="Z321" s="549"/>
      <c r="AA321" s="549"/>
      <c r="AB321" s="549"/>
      <c r="AC321" s="549"/>
      <c r="AD321" s="549"/>
      <c r="AE321" s="549"/>
      <c r="AF321" s="549"/>
      <c r="AG321" s="549"/>
      <c r="AH321" s="549"/>
      <c r="AI321" s="549"/>
      <c r="AJ321" s="548"/>
      <c r="AK321" s="548"/>
      <c r="AL321" s="548"/>
      <c r="AM321" s="548"/>
      <c r="AP321" s="608"/>
      <c r="AQ321" s="571"/>
      <c r="AR321" s="643"/>
    </row>
    <row r="322" spans="1:44" hidden="1">
      <c r="A322" s="548"/>
      <c r="B322" s="549"/>
      <c r="C322" s="549"/>
      <c r="D322" s="549"/>
      <c r="E322" s="549"/>
      <c r="F322" s="549"/>
      <c r="G322" s="549"/>
      <c r="H322" s="549"/>
      <c r="I322" s="549"/>
      <c r="J322" s="549"/>
      <c r="K322" s="549"/>
      <c r="L322" s="549"/>
      <c r="M322" s="549"/>
      <c r="N322" s="549"/>
      <c r="O322" s="549"/>
      <c r="P322" s="549"/>
      <c r="Q322" s="549"/>
      <c r="R322" s="549"/>
      <c r="S322" s="549"/>
      <c r="T322" s="549"/>
      <c r="U322" s="549"/>
      <c r="V322" s="549"/>
      <c r="W322" s="549"/>
      <c r="X322" s="549"/>
      <c r="Y322" s="549"/>
      <c r="Z322" s="549"/>
      <c r="AA322" s="549"/>
      <c r="AB322" s="549"/>
      <c r="AC322" s="549"/>
      <c r="AD322" s="549"/>
      <c r="AE322" s="549"/>
      <c r="AF322" s="549"/>
      <c r="AG322" s="549"/>
      <c r="AH322" s="549"/>
      <c r="AI322" s="549"/>
      <c r="AJ322" s="548"/>
      <c r="AK322" s="548"/>
      <c r="AL322" s="548"/>
      <c r="AM322" s="548"/>
      <c r="AN322" s="73"/>
      <c r="AO322" s="14"/>
    </row>
    <row r="323" spans="1:44" hidden="1">
      <c r="A323" s="1683" t="s">
        <v>1379</v>
      </c>
      <c r="B323" s="1683"/>
      <c r="C323" s="2488" t="s">
        <v>589</v>
      </c>
      <c r="D323" s="2488"/>
      <c r="E323" s="545"/>
      <c r="F323" s="641" t="s">
        <v>1377</v>
      </c>
      <c r="G323" s="644"/>
      <c r="H323" s="644"/>
      <c r="I323" s="644"/>
      <c r="J323" s="644"/>
      <c r="K323" s="644"/>
      <c r="L323" s="644"/>
      <c r="M323" s="644"/>
      <c r="N323" s="644"/>
      <c r="O323" s="644"/>
      <c r="P323" s="644"/>
      <c r="Q323" s="644"/>
      <c r="R323" s="644"/>
      <c r="S323" s="644"/>
      <c r="T323" s="644"/>
      <c r="U323" s="644"/>
      <c r="V323" s="644"/>
      <c r="W323" s="644"/>
      <c r="X323" s="644"/>
      <c r="Y323" s="644"/>
      <c r="Z323" s="644"/>
      <c r="AA323" s="644"/>
      <c r="AB323" s="644"/>
      <c r="AC323" s="644"/>
      <c r="AD323" s="645"/>
      <c r="AE323" s="549"/>
      <c r="AF323" s="549"/>
      <c r="AG323" s="538" t="s">
        <v>1378</v>
      </c>
      <c r="AH323" s="549"/>
      <c r="AI323" s="549"/>
      <c r="AJ323" s="548"/>
      <c r="AK323" s="548"/>
      <c r="AL323" s="548"/>
      <c r="AM323" s="548"/>
      <c r="AN323" s="73"/>
      <c r="AO323" s="14"/>
    </row>
    <row r="324" spans="1:44" hidden="1">
      <c r="A324" s="89"/>
      <c r="B324" s="89"/>
      <c r="C324" s="725"/>
      <c r="D324" s="725"/>
      <c r="E324" s="545"/>
      <c r="F324" s="2482" t="s">
        <v>1986</v>
      </c>
      <c r="G324" s="2483"/>
      <c r="H324" s="2483"/>
      <c r="I324" s="2483"/>
      <c r="J324" s="2483"/>
      <c r="K324" s="2483"/>
      <c r="L324" s="2483"/>
      <c r="M324" s="2483"/>
      <c r="N324" s="2483"/>
      <c r="O324" s="2483"/>
      <c r="P324" s="2483"/>
      <c r="Q324" s="2483"/>
      <c r="R324" s="2483"/>
      <c r="S324" s="2483"/>
      <c r="T324" s="2483"/>
      <c r="U324" s="2483"/>
      <c r="V324" s="2483"/>
      <c r="W324" s="2483"/>
      <c r="X324" s="2483"/>
      <c r="Y324" s="2483"/>
      <c r="Z324" s="2483"/>
      <c r="AA324" s="2483"/>
      <c r="AB324" s="2483"/>
      <c r="AC324" s="2483"/>
      <c r="AD324" s="2484"/>
      <c r="AE324" s="549"/>
      <c r="AF324" s="549"/>
      <c r="AG324" s="538"/>
      <c r="AH324" s="549"/>
      <c r="AI324" s="549"/>
      <c r="AJ324" s="548"/>
      <c r="AK324" s="548"/>
      <c r="AL324" s="548"/>
      <c r="AM324" s="548"/>
      <c r="AN324" s="73"/>
      <c r="AO324" s="14"/>
      <c r="AP324" s="554" t="s">
        <v>1182</v>
      </c>
    </row>
    <row r="325" spans="1:44" hidden="1">
      <c r="F325" s="2482"/>
      <c r="G325" s="2483"/>
      <c r="H325" s="2483"/>
      <c r="I325" s="2483"/>
      <c r="J325" s="2483"/>
      <c r="K325" s="2483"/>
      <c r="L325" s="2483"/>
      <c r="M325" s="2483"/>
      <c r="N325" s="2483"/>
      <c r="O325" s="2483"/>
      <c r="P325" s="2483"/>
      <c r="Q325" s="2483"/>
      <c r="R325" s="2483"/>
      <c r="S325" s="2483"/>
      <c r="T325" s="2483"/>
      <c r="U325" s="2483"/>
      <c r="V325" s="2483"/>
      <c r="W325" s="2483"/>
      <c r="X325" s="2483"/>
      <c r="Y325" s="2483"/>
      <c r="Z325" s="2483"/>
      <c r="AA325" s="2483"/>
      <c r="AB325" s="2483"/>
      <c r="AC325" s="2483"/>
      <c r="AD325" s="2484"/>
      <c r="AE325" s="549"/>
      <c r="AF325" s="549"/>
      <c r="AH325" s="549"/>
      <c r="AI325" s="549"/>
      <c r="AJ325" s="548"/>
      <c r="AK325" s="548"/>
      <c r="AL325" s="548"/>
      <c r="AM325" s="548"/>
      <c r="AN325" s="73"/>
      <c r="AO325" s="14"/>
      <c r="AP325" s="554" t="s">
        <v>1717</v>
      </c>
    </row>
    <row r="326" spans="1:44" hidden="1">
      <c r="A326" s="548"/>
      <c r="B326" s="549"/>
      <c r="C326" s="725"/>
      <c r="D326" s="725"/>
      <c r="E326" s="545"/>
      <c r="F326" s="647" t="s">
        <v>1380</v>
      </c>
      <c r="G326" s="658"/>
      <c r="H326" s="658"/>
      <c r="I326" s="658"/>
      <c r="J326" s="658"/>
      <c r="K326" s="658"/>
      <c r="L326" s="658"/>
      <c r="M326" s="658"/>
      <c r="N326" s="658"/>
      <c r="O326" s="658"/>
      <c r="P326" s="658"/>
      <c r="Q326" s="658"/>
      <c r="R326" s="658"/>
      <c r="S326" s="658"/>
      <c r="T326" s="658"/>
      <c r="U326" s="658"/>
      <c r="V326" s="658"/>
      <c r="W326" s="658"/>
      <c r="X326" s="658"/>
      <c r="Y326" s="658"/>
      <c r="Z326" s="658"/>
      <c r="AA326" s="658"/>
      <c r="AB326" s="658"/>
      <c r="AC326" s="658"/>
      <c r="AD326" s="1014"/>
      <c r="AE326" s="549"/>
      <c r="AF326" s="549"/>
      <c r="AG326" s="538"/>
      <c r="AH326" s="549"/>
      <c r="AI326" s="549"/>
      <c r="AJ326" s="548"/>
      <c r="AK326" s="548"/>
      <c r="AL326" s="548"/>
      <c r="AM326" s="548"/>
      <c r="AN326" s="73"/>
      <c r="AO326" s="14"/>
      <c r="AP326" s="554" t="s">
        <v>1719</v>
      </c>
    </row>
    <row r="327" spans="1:44" hidden="1">
      <c r="A327" s="548"/>
      <c r="B327" s="549"/>
      <c r="C327" s="725"/>
      <c r="D327" s="725"/>
      <c r="E327" s="545"/>
      <c r="F327" s="647"/>
      <c r="G327" s="658"/>
      <c r="H327" s="658"/>
      <c r="I327" s="658"/>
      <c r="J327" s="658"/>
      <c r="K327" s="658"/>
      <c r="L327" s="658"/>
      <c r="M327" s="658"/>
      <c r="N327" s="658"/>
      <c r="O327" s="658"/>
      <c r="P327" s="658"/>
      <c r="Q327" s="658"/>
      <c r="R327" s="658"/>
      <c r="S327" s="658"/>
      <c r="T327" s="658"/>
      <c r="U327" s="658"/>
      <c r="V327" s="658"/>
      <c r="W327" s="658"/>
      <c r="X327" s="658"/>
      <c r="Y327" s="658"/>
      <c r="Z327" s="658"/>
      <c r="AA327" s="658"/>
      <c r="AB327" s="658"/>
      <c r="AC327" s="658"/>
      <c r="AD327" s="1014"/>
      <c r="AE327" s="549"/>
      <c r="AF327" s="549"/>
      <c r="AG327" s="538"/>
      <c r="AH327" s="549"/>
      <c r="AI327" s="549"/>
      <c r="AJ327" s="548"/>
      <c r="AK327" s="548"/>
      <c r="AL327" s="548"/>
      <c r="AM327" s="548"/>
      <c r="AN327" s="73"/>
      <c r="AO327" s="14"/>
      <c r="AP327" s="554" t="s">
        <v>1829</v>
      </c>
    </row>
    <row r="328" spans="1:44" ht="12.75" hidden="1" customHeight="1">
      <c r="A328" s="548"/>
      <c r="B328" s="549"/>
      <c r="C328" s="725"/>
      <c r="D328" s="725"/>
      <c r="E328" s="545"/>
      <c r="F328" s="647"/>
      <c r="G328" s="639"/>
      <c r="H328" s="639"/>
      <c r="I328" s="639"/>
      <c r="J328" s="639"/>
      <c r="K328" s="639"/>
      <c r="L328" s="639"/>
      <c r="M328" s="639"/>
      <c r="N328" s="639"/>
      <c r="O328" s="639"/>
      <c r="P328" s="639"/>
      <c r="Q328" s="639"/>
      <c r="R328" s="639"/>
      <c r="S328" s="639"/>
      <c r="T328" s="639"/>
      <c r="U328" s="639"/>
      <c r="V328" s="639"/>
      <c r="W328" s="639"/>
      <c r="X328" s="639"/>
      <c r="Y328" s="639"/>
      <c r="Z328" s="639"/>
      <c r="AA328" s="639"/>
      <c r="AB328" s="639"/>
      <c r="AC328" s="639"/>
      <c r="AD328" s="648"/>
      <c r="AE328" s="549"/>
      <c r="AF328" s="549"/>
      <c r="AG328" s="538"/>
      <c r="AH328" s="549"/>
      <c r="AI328" s="549"/>
      <c r="AJ328" s="548"/>
      <c r="AK328" s="548"/>
      <c r="AL328" s="548"/>
      <c r="AM328" s="548"/>
      <c r="AN328" s="73"/>
      <c r="AO328" s="14"/>
      <c r="AP328" s="30"/>
    </row>
    <row r="329" spans="1:44" ht="12.75" hidden="1" customHeight="1">
      <c r="A329" s="548"/>
      <c r="B329" s="549"/>
      <c r="C329" s="725"/>
      <c r="D329" s="725"/>
      <c r="E329" s="545"/>
      <c r="F329" s="2517" t="s">
        <v>1182</v>
      </c>
      <c r="G329" s="2518"/>
      <c r="H329" s="2518"/>
      <c r="I329" s="2518"/>
      <c r="J329" s="2518"/>
      <c r="K329" s="2518"/>
      <c r="L329" s="2518"/>
      <c r="M329" s="2518"/>
      <c r="N329" s="2518"/>
      <c r="O329" s="2518"/>
      <c r="P329" s="2518"/>
      <c r="Q329" s="2518"/>
      <c r="R329" s="2518"/>
      <c r="S329" s="2518"/>
      <c r="T329" s="2518"/>
      <c r="U329" s="2518"/>
      <c r="V329" s="2518"/>
      <c r="W329" s="2518"/>
      <c r="X329" s="2518"/>
      <c r="Y329" s="2518"/>
      <c r="Z329" s="2518"/>
      <c r="AA329" s="2518"/>
      <c r="AB329" s="2518"/>
      <c r="AC329" s="2518"/>
      <c r="AD329" s="2519"/>
      <c r="AE329" s="639"/>
      <c r="AF329" s="639"/>
      <c r="AG329" s="639"/>
      <c r="AH329" s="639"/>
      <c r="AI329" s="639"/>
      <c r="AJ329" s="639"/>
      <c r="AK329" s="639"/>
      <c r="AL329" s="548"/>
      <c r="AM329" s="548"/>
      <c r="AN329" s="73"/>
      <c r="AO329" s="14"/>
      <c r="AP329" s="30"/>
    </row>
    <row r="330" spans="1:44" hidden="1">
      <c r="A330" s="548"/>
      <c r="B330" s="549"/>
      <c r="C330" s="725"/>
      <c r="D330" s="725"/>
      <c r="E330" s="545"/>
      <c r="F330" s="2517"/>
      <c r="G330" s="2518"/>
      <c r="H330" s="2518"/>
      <c r="I330" s="2518"/>
      <c r="J330" s="2518"/>
      <c r="K330" s="2518"/>
      <c r="L330" s="2518"/>
      <c r="M330" s="2518"/>
      <c r="N330" s="2518"/>
      <c r="O330" s="2518"/>
      <c r="P330" s="2518"/>
      <c r="Q330" s="2518"/>
      <c r="R330" s="2518"/>
      <c r="S330" s="2518"/>
      <c r="T330" s="2518"/>
      <c r="U330" s="2518"/>
      <c r="V330" s="2518"/>
      <c r="W330" s="2518"/>
      <c r="X330" s="2518"/>
      <c r="Y330" s="2518"/>
      <c r="Z330" s="2518"/>
      <c r="AA330" s="2518"/>
      <c r="AB330" s="2518"/>
      <c r="AC330" s="2518"/>
      <c r="AD330" s="2519"/>
      <c r="AE330" s="549"/>
      <c r="AF330" s="549"/>
      <c r="AG330" s="538"/>
      <c r="AH330" s="549"/>
      <c r="AI330" s="549"/>
      <c r="AJ330" s="548"/>
      <c r="AK330" s="548"/>
      <c r="AL330" s="548"/>
      <c r="AM330" s="548"/>
      <c r="AN330" s="73"/>
      <c r="AO330" s="14"/>
      <c r="AP330" s="30"/>
    </row>
    <row r="331" spans="1:44" hidden="1">
      <c r="A331" s="548"/>
      <c r="B331" s="549"/>
      <c r="C331" s="725"/>
      <c r="D331" s="725"/>
      <c r="E331" s="545"/>
      <c r="F331" s="2517"/>
      <c r="G331" s="2518"/>
      <c r="H331" s="2518"/>
      <c r="I331" s="2518"/>
      <c r="J331" s="2518"/>
      <c r="K331" s="2518"/>
      <c r="L331" s="2518"/>
      <c r="M331" s="2518"/>
      <c r="N331" s="2518"/>
      <c r="O331" s="2518"/>
      <c r="P331" s="2518"/>
      <c r="Q331" s="2518"/>
      <c r="R331" s="2518"/>
      <c r="S331" s="2518"/>
      <c r="T331" s="2518"/>
      <c r="U331" s="2518"/>
      <c r="V331" s="2518"/>
      <c r="W331" s="2518"/>
      <c r="X331" s="2518"/>
      <c r="Y331" s="2518"/>
      <c r="Z331" s="2518"/>
      <c r="AA331" s="2518"/>
      <c r="AB331" s="2518"/>
      <c r="AC331" s="2518"/>
      <c r="AD331" s="2519"/>
      <c r="AE331" s="549"/>
      <c r="AF331" s="549"/>
      <c r="AG331" s="538"/>
      <c r="AH331" s="549"/>
      <c r="AI331" s="549"/>
      <c r="AJ331" s="548"/>
      <c r="AK331" s="548"/>
      <c r="AL331" s="548"/>
      <c r="AM331" s="548"/>
      <c r="AN331" s="73"/>
      <c r="AO331" s="14"/>
      <c r="AP331" s="30"/>
    </row>
    <row r="332" spans="1:44" hidden="1">
      <c r="A332" s="548"/>
      <c r="B332" s="549"/>
      <c r="C332" s="725"/>
      <c r="D332" s="725"/>
      <c r="E332" s="545"/>
      <c r="F332" s="2517"/>
      <c r="G332" s="2518"/>
      <c r="H332" s="2518"/>
      <c r="I332" s="2518"/>
      <c r="J332" s="2518"/>
      <c r="K332" s="2518"/>
      <c r="L332" s="2518"/>
      <c r="M332" s="2518"/>
      <c r="N332" s="2518"/>
      <c r="O332" s="2518"/>
      <c r="P332" s="2518"/>
      <c r="Q332" s="2518"/>
      <c r="R332" s="2518"/>
      <c r="S332" s="2518"/>
      <c r="T332" s="2518"/>
      <c r="U332" s="2518"/>
      <c r="V332" s="2518"/>
      <c r="W332" s="2518"/>
      <c r="X332" s="2518"/>
      <c r="Y332" s="2518"/>
      <c r="Z332" s="2518"/>
      <c r="AA332" s="2518"/>
      <c r="AB332" s="2518"/>
      <c r="AC332" s="2518"/>
      <c r="AD332" s="2519"/>
      <c r="AE332" s="549"/>
      <c r="AF332" s="549"/>
      <c r="AG332" s="538"/>
      <c r="AH332" s="549"/>
      <c r="AI332" s="549"/>
      <c r="AJ332" s="548"/>
      <c r="AK332" s="548"/>
      <c r="AL332" s="548"/>
      <c r="AM332" s="548"/>
      <c r="AN332" s="73"/>
      <c r="AO332" s="14"/>
      <c r="AP332" s="30"/>
    </row>
    <row r="333" spans="1:44" hidden="1">
      <c r="A333" s="548"/>
      <c r="B333" s="549"/>
      <c r="C333" s="725"/>
      <c r="D333" s="725"/>
      <c r="E333" s="545"/>
      <c r="F333" s="2520"/>
      <c r="G333" s="2521"/>
      <c r="H333" s="2521"/>
      <c r="I333" s="2521"/>
      <c r="J333" s="2521"/>
      <c r="K333" s="2521"/>
      <c r="L333" s="2521"/>
      <c r="M333" s="2521"/>
      <c r="N333" s="2521"/>
      <c r="O333" s="2521"/>
      <c r="P333" s="2521"/>
      <c r="Q333" s="2521"/>
      <c r="R333" s="2521"/>
      <c r="S333" s="2521"/>
      <c r="T333" s="2521"/>
      <c r="U333" s="2521"/>
      <c r="V333" s="2521"/>
      <c r="W333" s="2521"/>
      <c r="X333" s="2521"/>
      <c r="Y333" s="2521"/>
      <c r="Z333" s="2521"/>
      <c r="AA333" s="2521"/>
      <c r="AB333" s="2521"/>
      <c r="AC333" s="2521"/>
      <c r="AD333" s="2522"/>
      <c r="AE333" s="549"/>
      <c r="AF333" s="549"/>
      <c r="AG333" s="538"/>
      <c r="AH333" s="549"/>
      <c r="AI333" s="549"/>
      <c r="AJ333" s="548"/>
      <c r="AK333" s="548"/>
      <c r="AL333" s="548"/>
      <c r="AM333" s="548"/>
      <c r="AN333" s="73"/>
      <c r="AO333" s="14"/>
      <c r="AP333" s="30"/>
    </row>
    <row r="334" spans="1:44" hidden="1">
      <c r="A334" s="548"/>
      <c r="B334" s="549"/>
      <c r="C334" s="725"/>
      <c r="D334" s="725"/>
      <c r="E334" s="545"/>
      <c r="F334" s="970"/>
      <c r="G334" s="639"/>
      <c r="H334" s="639"/>
      <c r="I334" s="639"/>
      <c r="J334" s="639"/>
      <c r="K334" s="639"/>
      <c r="L334" s="639"/>
      <c r="M334" s="639"/>
      <c r="N334" s="639"/>
      <c r="O334" s="639"/>
      <c r="P334" s="639"/>
      <c r="Q334" s="639"/>
      <c r="R334" s="639"/>
      <c r="S334" s="639"/>
      <c r="T334" s="639"/>
      <c r="U334" s="639"/>
      <c r="V334" s="639"/>
      <c r="W334" s="639"/>
      <c r="X334" s="639"/>
      <c r="Y334" s="639"/>
      <c r="Z334" s="639"/>
      <c r="AA334" s="639"/>
      <c r="AB334" s="639"/>
      <c r="AC334" s="639"/>
      <c r="AD334" s="648"/>
      <c r="AE334" s="549"/>
      <c r="AF334" s="549"/>
      <c r="AG334" s="538"/>
      <c r="AH334" s="549"/>
      <c r="AI334" s="549"/>
      <c r="AJ334" s="548"/>
      <c r="AK334" s="548"/>
      <c r="AL334" s="548"/>
      <c r="AM334" s="548"/>
      <c r="AN334" s="73"/>
      <c r="AO334" s="14"/>
      <c r="AP334" s="30"/>
    </row>
    <row r="335" spans="1:44" hidden="1">
      <c r="A335" s="548"/>
      <c r="B335" s="549"/>
      <c r="C335" s="725"/>
      <c r="D335" s="725"/>
      <c r="E335" s="545"/>
      <c r="F335" s="649" t="s">
        <v>1718</v>
      </c>
      <c r="G335" s="549"/>
      <c r="H335" s="549"/>
      <c r="I335" s="549"/>
      <c r="J335" s="549"/>
      <c r="K335" s="549"/>
      <c r="L335" s="549"/>
      <c r="M335" s="549"/>
      <c r="N335" s="549"/>
      <c r="O335" s="549"/>
      <c r="P335" s="549"/>
      <c r="Q335" s="549"/>
      <c r="R335" s="549"/>
      <c r="S335" s="549"/>
      <c r="T335" s="549"/>
      <c r="U335" s="549"/>
      <c r="V335" s="549"/>
      <c r="W335" s="549"/>
      <c r="X335" s="549"/>
      <c r="Y335" s="549"/>
      <c r="Z335" s="549"/>
      <c r="AA335" s="549"/>
      <c r="AB335" s="549"/>
      <c r="AC335" s="549"/>
      <c r="AD335" s="650"/>
      <c r="AE335" s="549"/>
      <c r="AF335" s="549"/>
      <c r="AG335" s="538"/>
      <c r="AH335" s="549"/>
      <c r="AI335" s="549"/>
      <c r="AJ335" s="548"/>
      <c r="AK335" s="548"/>
      <c r="AL335" s="548"/>
      <c r="AM335" s="548"/>
      <c r="AN335" s="73"/>
      <c r="AO335" s="14"/>
      <c r="AP335" s="30"/>
    </row>
    <row r="336" spans="1:44" hidden="1">
      <c r="A336" s="548"/>
      <c r="B336" s="549"/>
      <c r="C336" s="725"/>
      <c r="D336" s="725"/>
      <c r="E336" s="545"/>
      <c r="F336" s="649"/>
      <c r="G336" s="549"/>
      <c r="H336" s="549"/>
      <c r="I336" s="549"/>
      <c r="J336" s="549"/>
      <c r="K336" s="549"/>
      <c r="L336" s="549"/>
      <c r="M336" s="549"/>
      <c r="N336" s="549"/>
      <c r="O336" s="549"/>
      <c r="P336" s="549"/>
      <c r="Q336" s="549"/>
      <c r="R336" s="549"/>
      <c r="S336" s="549"/>
      <c r="T336" s="549"/>
      <c r="U336" s="549"/>
      <c r="V336" s="549"/>
      <c r="W336" s="549"/>
      <c r="X336" s="549"/>
      <c r="Y336" s="549"/>
      <c r="Z336" s="549"/>
      <c r="AA336" s="549"/>
      <c r="AB336" s="549"/>
      <c r="AC336" s="549"/>
      <c r="AD336" s="650"/>
      <c r="AE336" s="549"/>
      <c r="AF336" s="549"/>
      <c r="AG336" s="538"/>
      <c r="AH336" s="549"/>
      <c r="AI336" s="549"/>
      <c r="AJ336" s="548"/>
      <c r="AK336" s="548"/>
      <c r="AL336" s="548"/>
      <c r="AM336" s="548"/>
      <c r="AN336" s="73"/>
      <c r="AO336" s="14"/>
      <c r="AP336" s="554" t="s">
        <v>1182</v>
      </c>
    </row>
    <row r="337" spans="1:42" ht="12.75" hidden="1" customHeight="1">
      <c r="A337" s="548"/>
      <c r="B337" s="549"/>
      <c r="C337" s="725"/>
      <c r="D337" s="725"/>
      <c r="E337" s="545"/>
      <c r="F337" s="651"/>
      <c r="G337" s="572" t="s">
        <v>685</v>
      </c>
      <c r="H337" s="572"/>
      <c r="I337" s="2523" t="s">
        <v>1182</v>
      </c>
      <c r="J337" s="2523"/>
      <c r="K337" s="2523"/>
      <c r="L337" s="2523"/>
      <c r="M337" s="2523"/>
      <c r="N337" s="2523"/>
      <c r="O337" s="2523"/>
      <c r="P337" s="2523"/>
      <c r="Q337" s="2523"/>
      <c r="R337" s="2523"/>
      <c r="S337" s="2523"/>
      <c r="T337" s="2523"/>
      <c r="U337" s="2523"/>
      <c r="V337" s="2523"/>
      <c r="W337" s="2523"/>
      <c r="X337" s="2523"/>
      <c r="Y337" s="2523"/>
      <c r="Z337" s="2523"/>
      <c r="AA337" s="2523"/>
      <c r="AB337" s="2523"/>
      <c r="AC337" s="2523"/>
      <c r="AD337" s="2524"/>
      <c r="AE337" s="549"/>
      <c r="AF337" s="549"/>
      <c r="AG337" s="538"/>
      <c r="AH337" s="549"/>
      <c r="AI337" s="549"/>
      <c r="AJ337" s="548"/>
      <c r="AK337" s="548"/>
      <c r="AL337" s="548"/>
      <c r="AM337" s="548"/>
      <c r="AN337" s="73"/>
      <c r="AO337" s="14"/>
      <c r="AP337" s="554" t="s">
        <v>1624</v>
      </c>
    </row>
    <row r="338" spans="1:42" hidden="1">
      <c r="A338" s="548"/>
      <c r="B338" s="549"/>
      <c r="C338" s="725"/>
      <c r="D338" s="725"/>
      <c r="E338" s="545"/>
      <c r="F338" s="651"/>
      <c r="G338" s="572"/>
      <c r="H338" s="572"/>
      <c r="I338" s="2523"/>
      <c r="J338" s="2523"/>
      <c r="K338" s="2523"/>
      <c r="L338" s="2523"/>
      <c r="M338" s="2523"/>
      <c r="N338" s="2523"/>
      <c r="O338" s="2523"/>
      <c r="P338" s="2523"/>
      <c r="Q338" s="2523"/>
      <c r="R338" s="2523"/>
      <c r="S338" s="2523"/>
      <c r="T338" s="2523"/>
      <c r="U338" s="2523"/>
      <c r="V338" s="2523"/>
      <c r="W338" s="2523"/>
      <c r="X338" s="2523"/>
      <c r="Y338" s="2523"/>
      <c r="Z338" s="2523"/>
      <c r="AA338" s="2523"/>
      <c r="AB338" s="2523"/>
      <c r="AC338" s="2523"/>
      <c r="AD338" s="2524"/>
      <c r="AE338" s="549"/>
      <c r="AF338" s="549"/>
      <c r="AG338" s="538"/>
      <c r="AH338" s="549"/>
      <c r="AI338" s="549"/>
      <c r="AJ338" s="548"/>
      <c r="AK338" s="548"/>
      <c r="AL338" s="548"/>
      <c r="AM338" s="548"/>
      <c r="AN338" s="73"/>
      <c r="AO338" s="14"/>
      <c r="AP338" s="554" t="s">
        <v>1720</v>
      </c>
    </row>
    <row r="339" spans="1:42" hidden="1">
      <c r="A339" s="548"/>
      <c r="B339" s="549"/>
      <c r="C339" s="646"/>
      <c r="D339" s="646"/>
      <c r="E339" s="545"/>
      <c r="F339" s="651"/>
      <c r="G339" s="572"/>
      <c r="H339" s="572"/>
      <c r="I339" s="2523"/>
      <c r="J339" s="2523"/>
      <c r="K339" s="2523"/>
      <c r="L339" s="2523"/>
      <c r="M339" s="2523"/>
      <c r="N339" s="2523"/>
      <c r="O339" s="2523"/>
      <c r="P339" s="2523"/>
      <c r="Q339" s="2523"/>
      <c r="R339" s="2523"/>
      <c r="S339" s="2523"/>
      <c r="T339" s="2523"/>
      <c r="U339" s="2523"/>
      <c r="V339" s="2523"/>
      <c r="W339" s="2523"/>
      <c r="X339" s="2523"/>
      <c r="Y339" s="2523"/>
      <c r="Z339" s="2523"/>
      <c r="AA339" s="2523"/>
      <c r="AB339" s="2523"/>
      <c r="AC339" s="2523"/>
      <c r="AD339" s="2524"/>
      <c r="AE339" s="549"/>
      <c r="AF339" s="549"/>
      <c r="AG339" s="538"/>
      <c r="AH339" s="549"/>
      <c r="AI339" s="549"/>
      <c r="AJ339" s="548"/>
      <c r="AK339" s="548"/>
      <c r="AL339" s="548"/>
      <c r="AM339" s="548"/>
      <c r="AN339" s="73"/>
      <c r="AO339" s="14"/>
      <c r="AP339" s="554" t="s">
        <v>1722</v>
      </c>
    </row>
    <row r="340" spans="1:42" hidden="1">
      <c r="A340" s="548"/>
      <c r="B340" s="549"/>
      <c r="C340" s="646"/>
      <c r="D340" s="646"/>
      <c r="E340" s="545"/>
      <c r="F340" s="649"/>
      <c r="G340" s="549"/>
      <c r="H340" s="549"/>
      <c r="I340" s="2525"/>
      <c r="J340" s="2525"/>
      <c r="K340" s="2525"/>
      <c r="L340" s="2525"/>
      <c r="M340" s="2525"/>
      <c r="N340" s="2525"/>
      <c r="O340" s="2525"/>
      <c r="P340" s="2525"/>
      <c r="Q340" s="2525"/>
      <c r="R340" s="2525"/>
      <c r="S340" s="2525"/>
      <c r="T340" s="2525"/>
      <c r="U340" s="2525"/>
      <c r="V340" s="2525"/>
      <c r="W340" s="2525"/>
      <c r="X340" s="2525"/>
      <c r="Y340" s="2525"/>
      <c r="Z340" s="2525"/>
      <c r="AA340" s="2525"/>
      <c r="AB340" s="2525"/>
      <c r="AC340" s="2525"/>
      <c r="AD340" s="2526"/>
      <c r="AE340" s="549"/>
      <c r="AF340" s="549"/>
      <c r="AG340" s="538"/>
      <c r="AH340" s="549"/>
      <c r="AI340" s="549"/>
      <c r="AJ340" s="548"/>
      <c r="AK340" s="548"/>
      <c r="AL340" s="548"/>
      <c r="AM340" s="548"/>
      <c r="AN340" s="73"/>
      <c r="AO340" s="14"/>
      <c r="AP340" s="554" t="s">
        <v>1721</v>
      </c>
    </row>
    <row r="341" spans="1:42" hidden="1">
      <c r="A341" s="548"/>
      <c r="B341" s="549"/>
      <c r="C341" s="646"/>
      <c r="D341" s="646"/>
      <c r="E341" s="545"/>
      <c r="F341" s="649"/>
      <c r="G341" s="549"/>
      <c r="H341" s="549"/>
      <c r="I341" s="549"/>
      <c r="J341" s="549"/>
      <c r="K341" s="549"/>
      <c r="L341" s="549"/>
      <c r="M341" s="549"/>
      <c r="N341" s="549"/>
      <c r="O341" s="549"/>
      <c r="P341" s="549"/>
      <c r="Q341" s="549"/>
      <c r="R341" s="549"/>
      <c r="S341" s="549"/>
      <c r="T341" s="549"/>
      <c r="U341" s="549"/>
      <c r="V341" s="549"/>
      <c r="W341" s="549"/>
      <c r="X341" s="549"/>
      <c r="Y341" s="549"/>
      <c r="Z341" s="549"/>
      <c r="AA341" s="549"/>
      <c r="AB341" s="549"/>
      <c r="AC341" s="549"/>
      <c r="AD341" s="650"/>
      <c r="AE341" s="549"/>
      <c r="AF341" s="549"/>
      <c r="AG341" s="538"/>
      <c r="AH341" s="549"/>
      <c r="AI341" s="549"/>
      <c r="AJ341" s="548"/>
      <c r="AK341" s="548"/>
      <c r="AL341" s="548"/>
      <c r="AM341" s="548"/>
      <c r="AN341" s="73"/>
      <c r="AO341" s="14"/>
      <c r="AP341" s="30"/>
    </row>
    <row r="342" spans="1:42" hidden="1">
      <c r="A342" s="548"/>
      <c r="B342" s="549"/>
      <c r="C342" s="646"/>
      <c r="D342" s="646"/>
      <c r="E342" s="545"/>
      <c r="F342" s="649"/>
      <c r="G342" s="549" t="s">
        <v>507</v>
      </c>
      <c r="H342" s="549"/>
      <c r="I342" s="2523" t="s">
        <v>1182</v>
      </c>
      <c r="J342" s="2523"/>
      <c r="K342" s="2523"/>
      <c r="L342" s="2523"/>
      <c r="M342" s="2523"/>
      <c r="N342" s="2523"/>
      <c r="O342" s="2523"/>
      <c r="P342" s="2523"/>
      <c r="Q342" s="2523"/>
      <c r="R342" s="2523"/>
      <c r="S342" s="2523"/>
      <c r="T342" s="2523"/>
      <c r="U342" s="2523"/>
      <c r="V342" s="2523"/>
      <c r="W342" s="2523"/>
      <c r="X342" s="2523"/>
      <c r="Y342" s="2523"/>
      <c r="Z342" s="2523"/>
      <c r="AA342" s="2523"/>
      <c r="AB342" s="2523"/>
      <c r="AC342" s="2523"/>
      <c r="AD342" s="2524"/>
      <c r="AE342" s="549"/>
      <c r="AF342" s="549"/>
      <c r="AG342" s="538"/>
      <c r="AH342" s="549"/>
      <c r="AI342" s="549"/>
      <c r="AJ342" s="548"/>
      <c r="AK342" s="548"/>
      <c r="AL342" s="548"/>
      <c r="AM342" s="548"/>
      <c r="AN342" s="73"/>
      <c r="AO342" s="14"/>
    </row>
    <row r="343" spans="1:42" hidden="1">
      <c r="A343" s="548"/>
      <c r="B343" s="549"/>
      <c r="C343" s="646"/>
      <c r="D343" s="646"/>
      <c r="E343" s="545"/>
      <c r="F343" s="649"/>
      <c r="G343" s="549"/>
      <c r="H343" s="549"/>
      <c r="I343" s="2523"/>
      <c r="J343" s="2523"/>
      <c r="K343" s="2523"/>
      <c r="L343" s="2523"/>
      <c r="M343" s="2523"/>
      <c r="N343" s="2523"/>
      <c r="O343" s="2523"/>
      <c r="P343" s="2523"/>
      <c r="Q343" s="2523"/>
      <c r="R343" s="2523"/>
      <c r="S343" s="2523"/>
      <c r="T343" s="2523"/>
      <c r="U343" s="2523"/>
      <c r="V343" s="2523"/>
      <c r="W343" s="2523"/>
      <c r="X343" s="2523"/>
      <c r="Y343" s="2523"/>
      <c r="Z343" s="2523"/>
      <c r="AA343" s="2523"/>
      <c r="AB343" s="2523"/>
      <c r="AC343" s="2523"/>
      <c r="AD343" s="2524"/>
      <c r="AE343" s="549"/>
      <c r="AF343" s="549"/>
      <c r="AG343" s="538"/>
      <c r="AH343" s="549"/>
      <c r="AI343" s="549"/>
      <c r="AJ343" s="548"/>
      <c r="AK343" s="548"/>
      <c r="AL343" s="548"/>
      <c r="AM343" s="548"/>
      <c r="AN343" s="73"/>
      <c r="AO343" s="14"/>
      <c r="AP343" s="554" t="s">
        <v>1182</v>
      </c>
    </row>
    <row r="344" spans="1:42" hidden="1">
      <c r="A344" s="548"/>
      <c r="B344" s="549"/>
      <c r="C344" s="646"/>
      <c r="D344" s="646"/>
      <c r="E344" s="545"/>
      <c r="F344" s="652"/>
      <c r="G344" s="653"/>
      <c r="H344" s="653"/>
      <c r="I344" s="2525"/>
      <c r="J344" s="2525"/>
      <c r="K344" s="2525"/>
      <c r="L344" s="2525"/>
      <c r="M344" s="2525"/>
      <c r="N344" s="2525"/>
      <c r="O344" s="2525"/>
      <c r="P344" s="2525"/>
      <c r="Q344" s="2525"/>
      <c r="R344" s="2525"/>
      <c r="S344" s="2525"/>
      <c r="T344" s="2525"/>
      <c r="U344" s="2525"/>
      <c r="V344" s="2525"/>
      <c r="W344" s="2525"/>
      <c r="X344" s="2525"/>
      <c r="Y344" s="2525"/>
      <c r="Z344" s="2525"/>
      <c r="AA344" s="2525"/>
      <c r="AB344" s="2525"/>
      <c r="AC344" s="2525"/>
      <c r="AD344" s="2526"/>
      <c r="AE344" s="549"/>
      <c r="AF344" s="549"/>
      <c r="AG344" s="538"/>
      <c r="AH344" s="549"/>
      <c r="AI344" s="549"/>
      <c r="AJ344" s="548"/>
      <c r="AK344" s="548"/>
      <c r="AL344" s="548"/>
      <c r="AM344" s="548"/>
      <c r="AN344" s="73"/>
      <c r="AO344" s="14"/>
      <c r="AP344" s="554" t="s">
        <v>1381</v>
      </c>
    </row>
    <row r="345" spans="1:42" hidden="1">
      <c r="A345" s="548"/>
      <c r="B345" s="549"/>
      <c r="C345" s="548"/>
      <c r="D345" s="549"/>
      <c r="E345" s="548"/>
      <c r="F345" s="613"/>
      <c r="G345" s="549"/>
      <c r="H345" s="549"/>
      <c r="I345" s="549"/>
      <c r="J345" s="549"/>
      <c r="K345" s="549"/>
      <c r="L345" s="549"/>
      <c r="M345" s="549"/>
      <c r="N345" s="549"/>
      <c r="O345" s="549"/>
      <c r="P345" s="549"/>
      <c r="Q345" s="549"/>
      <c r="R345" s="549"/>
      <c r="S345" s="549"/>
      <c r="T345" s="549"/>
      <c r="U345" s="549"/>
      <c r="V345" s="549"/>
      <c r="W345" s="549"/>
      <c r="X345" s="549"/>
      <c r="Y345" s="549"/>
      <c r="Z345" s="549"/>
      <c r="AA345" s="549"/>
      <c r="AB345" s="549"/>
      <c r="AC345" s="549"/>
      <c r="AD345" s="549"/>
      <c r="AE345" s="549"/>
      <c r="AF345" s="549"/>
      <c r="AG345" s="549"/>
      <c r="AH345" s="549"/>
      <c r="AI345" s="549"/>
      <c r="AJ345" s="548"/>
      <c r="AK345" s="548"/>
      <c r="AL345" s="548"/>
      <c r="AM345" s="548"/>
      <c r="AN345" s="73"/>
      <c r="AO345" s="14"/>
      <c r="AP345" s="554" t="s">
        <v>1625</v>
      </c>
    </row>
    <row r="346" spans="1:42" ht="12.75" hidden="1" customHeight="1">
      <c r="A346" s="1683" t="s">
        <v>1382</v>
      </c>
      <c r="B346" s="1683"/>
      <c r="C346" s="2488" t="s">
        <v>589</v>
      </c>
      <c r="D346" s="2488"/>
      <c r="E346" s="545"/>
      <c r="F346" s="2421" t="s">
        <v>1987</v>
      </c>
      <c r="G346" s="2422"/>
      <c r="H346" s="2422"/>
      <c r="I346" s="2422"/>
      <c r="J346" s="2422"/>
      <c r="K346" s="2422"/>
      <c r="L346" s="2422"/>
      <c r="M346" s="2422"/>
      <c r="N346" s="2422"/>
      <c r="O346" s="2422"/>
      <c r="P346" s="2422"/>
      <c r="Q346" s="2422"/>
      <c r="R346" s="2422"/>
      <c r="S346" s="2422"/>
      <c r="T346" s="2422"/>
      <c r="U346" s="2422"/>
      <c r="V346" s="2422"/>
      <c r="W346" s="2422"/>
      <c r="X346" s="2422"/>
      <c r="Y346" s="2422"/>
      <c r="Z346" s="2422"/>
      <c r="AA346" s="2422"/>
      <c r="AB346" s="2422"/>
      <c r="AC346" s="2422"/>
      <c r="AD346" s="2423"/>
      <c r="AE346" s="549"/>
      <c r="AF346" s="549"/>
      <c r="AG346" s="538" t="s">
        <v>1378</v>
      </c>
      <c r="AH346" s="549"/>
      <c r="AI346" s="549"/>
      <c r="AJ346" s="548"/>
      <c r="AK346" s="548"/>
      <c r="AL346" s="548"/>
      <c r="AM346" s="548"/>
      <c r="AN346" s="73"/>
      <c r="AO346" s="14"/>
    </row>
    <row r="347" spans="1:42" ht="15" hidden="1" customHeight="1">
      <c r="A347" s="548"/>
      <c r="B347" s="549"/>
      <c r="C347" s="549"/>
      <c r="D347" s="549"/>
      <c r="E347" s="549"/>
      <c r="F347" s="2450"/>
      <c r="G347" s="2451"/>
      <c r="H347" s="2451"/>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51"/>
      <c r="AD347" s="2452"/>
      <c r="AE347" s="549"/>
      <c r="AF347" s="549"/>
      <c r="AG347" s="549"/>
      <c r="AH347" s="549"/>
      <c r="AI347" s="549"/>
      <c r="AJ347" s="548"/>
      <c r="AK347" s="548"/>
      <c r="AL347" s="548"/>
      <c r="AM347" s="548"/>
      <c r="AN347" s="73"/>
      <c r="AO347" s="14"/>
    </row>
    <row r="348" spans="1:42" ht="15" hidden="1" customHeight="1">
      <c r="A348" s="548"/>
      <c r="B348" s="549"/>
      <c r="C348" s="549"/>
      <c r="D348" s="549"/>
      <c r="E348" s="549"/>
      <c r="F348" s="2450"/>
      <c r="G348" s="2451"/>
      <c r="H348" s="2451"/>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51"/>
      <c r="AD348" s="2452"/>
      <c r="AE348" s="549"/>
      <c r="AF348" s="549"/>
      <c r="AG348" s="549"/>
      <c r="AH348" s="549"/>
      <c r="AI348" s="549"/>
      <c r="AJ348" s="548"/>
      <c r="AK348" s="548"/>
      <c r="AL348" s="548"/>
      <c r="AM348" s="654"/>
      <c r="AN348" s="14"/>
      <c r="AO348" s="14"/>
    </row>
    <row r="349" spans="1:42" hidden="1">
      <c r="A349" s="548"/>
      <c r="B349" s="549"/>
      <c r="C349" s="548"/>
      <c r="D349" s="549"/>
      <c r="E349" s="548"/>
      <c r="F349" s="655" t="s">
        <v>1383</v>
      </c>
      <c r="G349" s="656"/>
      <c r="H349" s="656"/>
      <c r="I349" s="656"/>
      <c r="J349" s="656"/>
      <c r="K349" s="656"/>
      <c r="L349" s="656"/>
      <c r="M349" s="656"/>
      <c r="N349" s="656"/>
      <c r="O349" s="656"/>
      <c r="P349" s="656"/>
      <c r="Q349" s="656"/>
      <c r="R349" s="656"/>
      <c r="S349" s="656"/>
      <c r="T349" s="656"/>
      <c r="U349" s="656"/>
      <c r="V349" s="656"/>
      <c r="W349" s="656"/>
      <c r="X349" s="656"/>
      <c r="Y349" s="656"/>
      <c r="Z349" s="656"/>
      <c r="AA349" s="656"/>
      <c r="AB349" s="656"/>
      <c r="AC349" s="656"/>
      <c r="AD349" s="657"/>
      <c r="AE349" s="549"/>
      <c r="AF349" s="549"/>
      <c r="AG349" s="549"/>
      <c r="AH349" s="549"/>
      <c r="AI349" s="549"/>
      <c r="AJ349" s="548"/>
      <c r="AK349" s="548"/>
      <c r="AL349" s="548"/>
      <c r="AM349" s="654"/>
      <c r="AN349" s="30"/>
    </row>
    <row r="350" spans="1:42" hidden="1">
      <c r="A350" s="548"/>
      <c r="B350" s="549"/>
      <c r="C350" s="548"/>
      <c r="D350" s="549"/>
      <c r="E350" s="548"/>
      <c r="F350" s="658"/>
      <c r="G350" s="658"/>
      <c r="H350" s="658"/>
      <c r="I350" s="658"/>
      <c r="J350" s="658"/>
      <c r="K350" s="658"/>
      <c r="L350" s="658"/>
      <c r="M350" s="658"/>
      <c r="N350" s="658"/>
      <c r="O350" s="658"/>
      <c r="P350" s="658"/>
      <c r="Q350" s="658"/>
      <c r="R350" s="658"/>
      <c r="S350" s="658"/>
      <c r="T350" s="658"/>
      <c r="U350" s="658"/>
      <c r="V350" s="658"/>
      <c r="W350" s="658"/>
      <c r="X350" s="658"/>
      <c r="Y350" s="658"/>
      <c r="Z350" s="658"/>
      <c r="AA350" s="658"/>
      <c r="AB350" s="658"/>
      <c r="AC350" s="658"/>
      <c r="AD350" s="658"/>
      <c r="AE350" s="549"/>
      <c r="AF350" s="549"/>
      <c r="AG350" s="549"/>
      <c r="AH350" s="549"/>
      <c r="AI350" s="549"/>
      <c r="AJ350" s="548"/>
      <c r="AK350" s="548"/>
      <c r="AL350" s="548"/>
      <c r="AM350" s="654"/>
      <c r="AN350" s="30"/>
    </row>
    <row r="351" spans="1:42">
      <c r="A351" s="603"/>
      <c r="B351" s="659"/>
      <c r="C351" s="659"/>
      <c r="D351" s="659"/>
      <c r="E351" s="659"/>
      <c r="F351" s="659"/>
      <c r="G351" s="659"/>
      <c r="H351" s="659"/>
      <c r="I351" s="659"/>
      <c r="J351" s="659"/>
      <c r="K351" s="659"/>
      <c r="L351" s="659"/>
      <c r="M351" s="659"/>
      <c r="N351" s="659"/>
      <c r="O351" s="659"/>
      <c r="P351" s="659"/>
      <c r="Q351" s="659"/>
      <c r="R351" s="659"/>
      <c r="S351" s="659"/>
      <c r="T351" s="659"/>
      <c r="U351" s="659"/>
      <c r="V351" s="659"/>
      <c r="W351" s="659"/>
      <c r="X351" s="659"/>
      <c r="Y351" s="659"/>
      <c r="Z351" s="659"/>
      <c r="AA351" s="659"/>
      <c r="AB351" s="659"/>
      <c r="AC351" s="660"/>
      <c r="AD351" s="659"/>
      <c r="AE351" s="561"/>
      <c r="AF351" s="561"/>
      <c r="AG351" s="561"/>
      <c r="AH351" s="561"/>
      <c r="AI351" s="562"/>
      <c r="AJ351" s="562" t="s">
        <v>2600</v>
      </c>
      <c r="AK351" s="2491">
        <f>IF(NOT(OR(Application!M364="Yes",Application!M365="Yes")),0,AP308)</f>
        <v>9</v>
      </c>
      <c r="AL351" s="2492"/>
      <c r="AM351" s="2493"/>
      <c r="AN351" s="30"/>
    </row>
    <row r="352" spans="1:42" s="548" customFormat="1" ht="12.75" customHeight="1" thickBot="1">
      <c r="A352" s="618"/>
      <c r="B352" s="618"/>
      <c r="C352" s="618"/>
      <c r="D352" s="618"/>
      <c r="E352" s="618"/>
      <c r="F352" s="618"/>
      <c r="G352" s="618"/>
      <c r="H352" s="618"/>
      <c r="I352" s="618"/>
      <c r="J352" s="618"/>
      <c r="K352" s="618"/>
      <c r="L352" s="618"/>
      <c r="M352" s="618"/>
      <c r="N352" s="618"/>
      <c r="O352" s="618"/>
      <c r="P352" s="618"/>
      <c r="Q352" s="618"/>
      <c r="R352" s="618"/>
      <c r="S352" s="618"/>
      <c r="T352" s="618"/>
      <c r="U352" s="618"/>
      <c r="V352" s="618"/>
      <c r="W352" s="618"/>
      <c r="X352" s="618"/>
      <c r="Y352" s="618"/>
      <c r="Z352" s="618"/>
      <c r="AA352" s="618"/>
      <c r="AB352" s="618"/>
      <c r="AC352" s="618"/>
      <c r="AD352" s="618"/>
      <c r="AE352" s="618"/>
      <c r="AF352" s="618"/>
      <c r="AG352" s="618"/>
      <c r="AH352" s="618"/>
      <c r="AI352" s="618"/>
      <c r="AJ352" s="618"/>
      <c r="AK352" s="618"/>
      <c r="AL352" s="618"/>
      <c r="AM352" s="618"/>
      <c r="AN352" s="594"/>
    </row>
    <row r="353" spans="1:44" s="548"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4"/>
    </row>
    <row r="354" spans="1:44" s="548" customFormat="1" ht="12.75" customHeight="1">
      <c r="A354" s="537" t="s">
        <v>1371</v>
      </c>
      <c r="B354" s="538" t="s">
        <v>843</v>
      </c>
      <c r="C354" s="535"/>
      <c r="AC354" s="538"/>
      <c r="AE354" s="2433" t="s">
        <v>1306</v>
      </c>
      <c r="AF354" s="2433"/>
      <c r="AG354" s="2433"/>
      <c r="AH354" s="2433"/>
      <c r="AI354" s="2433"/>
      <c r="AJ354" s="2433"/>
      <c r="AK354" s="2433"/>
      <c r="AL354" s="538"/>
      <c r="AM354" s="538"/>
      <c r="AN354" s="589"/>
    </row>
    <row r="355" spans="1:44" s="548" customFormat="1" ht="12.75" customHeight="1">
      <c r="A355" s="538"/>
      <c r="B355" s="538"/>
      <c r="C355" s="535"/>
      <c r="AC355" s="538"/>
      <c r="AE355" s="542"/>
      <c r="AF355" s="542"/>
      <c r="AG355" s="542"/>
      <c r="AH355" s="542"/>
      <c r="AI355" s="542"/>
      <c r="AJ355" s="542"/>
      <c r="AK355" s="542"/>
      <c r="AL355" s="538"/>
      <c r="AM355" s="538"/>
      <c r="AN355" s="589"/>
    </row>
    <row r="356" spans="1:44" s="548" customFormat="1" ht="12.75" customHeight="1">
      <c r="B356" s="608"/>
      <c r="C356" s="2527" t="s">
        <v>1443</v>
      </c>
      <c r="D356" s="2527"/>
      <c r="E356" s="2527"/>
      <c r="F356" s="2527"/>
      <c r="G356" s="2527"/>
      <c r="H356" s="2527"/>
      <c r="I356" s="2527"/>
      <c r="J356" s="2527"/>
      <c r="K356" s="2527"/>
      <c r="L356" s="2527"/>
      <c r="M356" s="2527"/>
      <c r="N356" s="2527"/>
      <c r="O356" s="2527"/>
      <c r="P356" s="2527"/>
      <c r="Q356" s="2527"/>
      <c r="R356" s="2527"/>
      <c r="S356" s="2527"/>
      <c r="T356" s="2527"/>
      <c r="U356" s="2527"/>
      <c r="V356" s="2527"/>
      <c r="W356" s="2527"/>
      <c r="X356" s="2527"/>
      <c r="Y356" s="2527"/>
      <c r="Z356" s="2527"/>
      <c r="AA356" s="2527"/>
      <c r="AB356" s="2527"/>
      <c r="AC356" s="2527"/>
      <c r="AD356" s="2527"/>
      <c r="AE356" s="2527"/>
      <c r="AF356" s="2527"/>
      <c r="AG356" s="2527"/>
      <c r="AH356" s="2527"/>
      <c r="AI356" s="2527"/>
      <c r="AJ356" s="2527"/>
      <c r="AK356" s="600"/>
      <c r="AL356" s="600"/>
      <c r="AM356" s="600"/>
      <c r="AN356" s="594"/>
    </row>
    <row r="357" spans="1:44" s="548" customFormat="1" ht="12.75" customHeight="1">
      <c r="A357" s="600"/>
      <c r="B357" s="608"/>
      <c r="C357" s="2527"/>
      <c r="D357" s="2527"/>
      <c r="E357" s="2527"/>
      <c r="F357" s="2527"/>
      <c r="G357" s="2527"/>
      <c r="H357" s="2527"/>
      <c r="I357" s="2527"/>
      <c r="J357" s="2527"/>
      <c r="K357" s="2527"/>
      <c r="L357" s="2527"/>
      <c r="M357" s="2527"/>
      <c r="N357" s="2527"/>
      <c r="O357" s="2527"/>
      <c r="P357" s="2527"/>
      <c r="Q357" s="2527"/>
      <c r="R357" s="2527"/>
      <c r="S357" s="2527"/>
      <c r="T357" s="2527"/>
      <c r="U357" s="2527"/>
      <c r="V357" s="2527"/>
      <c r="W357" s="2527"/>
      <c r="X357" s="2527"/>
      <c r="Y357" s="2527"/>
      <c r="Z357" s="2527"/>
      <c r="AA357" s="2527"/>
      <c r="AB357" s="2527"/>
      <c r="AC357" s="2527"/>
      <c r="AD357" s="2527"/>
      <c r="AE357" s="2527"/>
      <c r="AF357" s="2527"/>
      <c r="AG357" s="2527"/>
      <c r="AH357" s="2527"/>
      <c r="AI357" s="2527"/>
      <c r="AJ357" s="2527"/>
      <c r="AK357" s="600"/>
      <c r="AL357" s="600"/>
      <c r="AM357" s="600"/>
      <c r="AN357" s="594"/>
    </row>
    <row r="358" spans="1:44" s="548" customFormat="1" ht="12.75" customHeight="1">
      <c r="A358" s="600"/>
      <c r="B358" s="608"/>
      <c r="C358" s="2527"/>
      <c r="D358" s="2527"/>
      <c r="E358" s="2527"/>
      <c r="F358" s="2527"/>
      <c r="G358" s="2527"/>
      <c r="H358" s="2527"/>
      <c r="I358" s="2527"/>
      <c r="J358" s="2527"/>
      <c r="K358" s="2527"/>
      <c r="L358" s="2527"/>
      <c r="M358" s="2527"/>
      <c r="N358" s="2527"/>
      <c r="O358" s="2527"/>
      <c r="P358" s="2527"/>
      <c r="Q358" s="2527"/>
      <c r="R358" s="2527"/>
      <c r="S358" s="2527"/>
      <c r="T358" s="2527"/>
      <c r="U358" s="2527"/>
      <c r="V358" s="2527"/>
      <c r="W358" s="2527"/>
      <c r="X358" s="2527"/>
      <c r="Y358" s="2527"/>
      <c r="Z358" s="2527"/>
      <c r="AA358" s="2527"/>
      <c r="AB358" s="2527"/>
      <c r="AC358" s="2527"/>
      <c r="AD358" s="2527"/>
      <c r="AE358" s="2527"/>
      <c r="AF358" s="2527"/>
      <c r="AG358" s="2527"/>
      <c r="AH358" s="2527"/>
      <c r="AI358" s="2527"/>
      <c r="AJ358" s="2527"/>
      <c r="AK358" s="600"/>
      <c r="AL358" s="600"/>
      <c r="AM358" s="600"/>
      <c r="AN358" s="594"/>
      <c r="AQ358" s="567"/>
    </row>
    <row r="359" spans="1:44" s="548" customFormat="1" ht="12.75" customHeight="1">
      <c r="A359" s="600"/>
      <c r="B359" s="608"/>
      <c r="C359" s="2527"/>
      <c r="D359" s="2527"/>
      <c r="E359" s="2527"/>
      <c r="F359" s="2527"/>
      <c r="G359" s="2527"/>
      <c r="H359" s="2527"/>
      <c r="I359" s="2527"/>
      <c r="J359" s="2527"/>
      <c r="K359" s="2527"/>
      <c r="L359" s="2527"/>
      <c r="M359" s="2527"/>
      <c r="N359" s="2527"/>
      <c r="O359" s="2527"/>
      <c r="P359" s="2527"/>
      <c r="Q359" s="2527"/>
      <c r="R359" s="2527"/>
      <c r="S359" s="2527"/>
      <c r="T359" s="2527"/>
      <c r="U359" s="2527"/>
      <c r="V359" s="2527"/>
      <c r="W359" s="2527"/>
      <c r="X359" s="2527"/>
      <c r="Y359" s="2527"/>
      <c r="Z359" s="2527"/>
      <c r="AA359" s="2527"/>
      <c r="AB359" s="2527"/>
      <c r="AC359" s="2527"/>
      <c r="AD359" s="2527"/>
      <c r="AE359" s="2527"/>
      <c r="AF359" s="2527"/>
      <c r="AG359" s="2527"/>
      <c r="AH359" s="2527"/>
      <c r="AI359" s="2527"/>
      <c r="AJ359" s="2527"/>
      <c r="AK359" s="600"/>
      <c r="AL359" s="600"/>
      <c r="AM359" s="600"/>
      <c r="AN359" s="594"/>
      <c r="AQ359" s="567"/>
    </row>
    <row r="360" spans="1:44" s="548" customFormat="1" ht="12.4" customHeight="1">
      <c r="A360" s="600"/>
      <c r="B360" s="608"/>
      <c r="C360" s="2527"/>
      <c r="D360" s="2527"/>
      <c r="E360" s="2527"/>
      <c r="F360" s="2527"/>
      <c r="G360" s="2527"/>
      <c r="H360" s="2527"/>
      <c r="I360" s="2527"/>
      <c r="J360" s="2527"/>
      <c r="K360" s="2527"/>
      <c r="L360" s="2527"/>
      <c r="M360" s="2527"/>
      <c r="N360" s="2527"/>
      <c r="O360" s="2527"/>
      <c r="P360" s="2527"/>
      <c r="Q360" s="2527"/>
      <c r="R360" s="2527"/>
      <c r="S360" s="2527"/>
      <c r="T360" s="2527"/>
      <c r="U360" s="2527"/>
      <c r="V360" s="2527"/>
      <c r="W360" s="2527"/>
      <c r="X360" s="2527"/>
      <c r="Y360" s="2527"/>
      <c r="Z360" s="2527"/>
      <c r="AA360" s="2527"/>
      <c r="AB360" s="2527"/>
      <c r="AC360" s="2527"/>
      <c r="AD360" s="2527"/>
      <c r="AE360" s="2527"/>
      <c r="AF360" s="2527"/>
      <c r="AG360" s="2527"/>
      <c r="AH360" s="2527"/>
      <c r="AI360" s="2527"/>
      <c r="AJ360" s="2527"/>
      <c r="AK360" s="600"/>
      <c r="AL360" s="600"/>
      <c r="AM360" s="600"/>
      <c r="AN360" s="594"/>
      <c r="AQ360" s="567"/>
      <c r="AR360" s="567"/>
    </row>
    <row r="361" spans="1:44" s="548" customFormat="1" ht="45.75" customHeight="1">
      <c r="A361" s="600"/>
      <c r="B361" s="608"/>
      <c r="C361" s="2527" t="s">
        <v>2046</v>
      </c>
      <c r="D361" s="2527"/>
      <c r="E361" s="2527"/>
      <c r="F361" s="2527"/>
      <c r="G361" s="2527"/>
      <c r="H361" s="2527"/>
      <c r="I361" s="2527"/>
      <c r="J361" s="2527"/>
      <c r="K361" s="2527"/>
      <c r="L361" s="2527"/>
      <c r="M361" s="2527"/>
      <c r="N361" s="2527"/>
      <c r="O361" s="2527"/>
      <c r="P361" s="2527"/>
      <c r="Q361" s="2527"/>
      <c r="R361" s="2527"/>
      <c r="S361" s="2527"/>
      <c r="T361" s="2527"/>
      <c r="U361" s="2527"/>
      <c r="V361" s="2527"/>
      <c r="W361" s="2527"/>
      <c r="X361" s="2527"/>
      <c r="Y361" s="2527"/>
      <c r="Z361" s="2527"/>
      <c r="AA361" s="2527"/>
      <c r="AB361" s="2527"/>
      <c r="AC361" s="2527"/>
      <c r="AD361" s="2527"/>
      <c r="AE361" s="2527"/>
      <c r="AF361" s="2527"/>
      <c r="AG361" s="2527"/>
      <c r="AH361" s="2527"/>
      <c r="AI361" s="2527"/>
      <c r="AJ361" s="2527"/>
      <c r="AK361" s="600"/>
      <c r="AL361" s="600"/>
      <c r="AM361" s="600"/>
      <c r="AN361" s="594"/>
      <c r="AQ361" s="567"/>
      <c r="AR361" s="567"/>
    </row>
    <row r="362" spans="1:44" s="548" customFormat="1" ht="12.4" customHeight="1">
      <c r="A362" s="600"/>
      <c r="B362" s="608"/>
      <c r="C362" s="688"/>
      <c r="D362" s="688"/>
      <c r="E362" s="688"/>
      <c r="F362" s="688"/>
      <c r="G362" s="688"/>
      <c r="H362" s="688"/>
      <c r="I362" s="688"/>
      <c r="J362" s="688"/>
      <c r="K362" s="688"/>
      <c r="L362" s="688"/>
      <c r="M362" s="688"/>
      <c r="N362" s="688"/>
      <c r="O362" s="688"/>
      <c r="P362" s="688"/>
      <c r="Q362" s="688"/>
      <c r="R362" s="688"/>
      <c r="S362" s="688"/>
      <c r="T362" s="688"/>
      <c r="U362" s="688"/>
      <c r="V362" s="688"/>
      <c r="W362" s="688"/>
      <c r="X362" s="688"/>
      <c r="Y362" s="688"/>
      <c r="Z362" s="688"/>
      <c r="AA362" s="688"/>
      <c r="AB362" s="688"/>
      <c r="AC362" s="688"/>
      <c r="AD362" s="688"/>
      <c r="AE362" s="688"/>
      <c r="AF362" s="688"/>
      <c r="AG362" s="688"/>
      <c r="AH362" s="688"/>
      <c r="AI362" s="688"/>
      <c r="AJ362" s="688"/>
      <c r="AK362" s="600"/>
      <c r="AL362" s="600"/>
      <c r="AM362" s="600"/>
      <c r="AN362" s="594"/>
      <c r="AQ362" s="567"/>
      <c r="AR362" s="567"/>
    </row>
    <row r="363" spans="1:44" s="548" customFormat="1" ht="12.75" customHeight="1">
      <c r="A363" s="600"/>
      <c r="B363" s="608"/>
      <c r="C363" s="2527" t="s">
        <v>2160</v>
      </c>
      <c r="D363" s="2527"/>
      <c r="E363" s="2527"/>
      <c r="F363" s="2527"/>
      <c r="G363" s="2527"/>
      <c r="H363" s="2527"/>
      <c r="I363" s="2527"/>
      <c r="J363" s="2527"/>
      <c r="K363" s="2527"/>
      <c r="L363" s="2527"/>
      <c r="M363" s="2527"/>
      <c r="N363" s="2527"/>
      <c r="O363" s="2527"/>
      <c r="P363" s="2527"/>
      <c r="Q363" s="2527"/>
      <c r="R363" s="2527"/>
      <c r="S363" s="2527"/>
      <c r="T363" s="2527"/>
      <c r="U363" s="2527"/>
      <c r="V363" s="2527"/>
      <c r="W363" s="2527"/>
      <c r="X363" s="2527"/>
      <c r="Y363" s="2527"/>
      <c r="Z363" s="2527"/>
      <c r="AA363" s="2527"/>
      <c r="AB363" s="2527"/>
      <c r="AC363" s="2527"/>
      <c r="AD363" s="2527"/>
      <c r="AE363" s="2527"/>
      <c r="AF363" s="2527"/>
      <c r="AG363" s="2527"/>
      <c r="AH363" s="2527"/>
      <c r="AI363" s="2527"/>
      <c r="AJ363" s="2527"/>
      <c r="AK363" s="600"/>
      <c r="AL363" s="600"/>
      <c r="AM363" s="600"/>
      <c r="AN363" s="594"/>
      <c r="AQ363" s="567"/>
      <c r="AR363" s="567"/>
    </row>
    <row r="364" spans="1:44" s="548" customFormat="1" ht="30" customHeight="1">
      <c r="A364" s="600"/>
      <c r="B364" s="608"/>
      <c r="C364" s="2527"/>
      <c r="D364" s="2527"/>
      <c r="E364" s="2527"/>
      <c r="F364" s="2527"/>
      <c r="G364" s="2527"/>
      <c r="H364" s="2527"/>
      <c r="I364" s="2527"/>
      <c r="J364" s="2527"/>
      <c r="K364" s="2527"/>
      <c r="L364" s="2527"/>
      <c r="M364" s="2527"/>
      <c r="N364" s="2527"/>
      <c r="O364" s="2527"/>
      <c r="P364" s="2527"/>
      <c r="Q364" s="2527"/>
      <c r="R364" s="2527"/>
      <c r="S364" s="2527"/>
      <c r="T364" s="2527"/>
      <c r="U364" s="2527"/>
      <c r="V364" s="2527"/>
      <c r="W364" s="2527"/>
      <c r="X364" s="2527"/>
      <c r="Y364" s="2527"/>
      <c r="Z364" s="2527"/>
      <c r="AA364" s="2527"/>
      <c r="AB364" s="2527"/>
      <c r="AC364" s="2527"/>
      <c r="AD364" s="2527"/>
      <c r="AE364" s="2527"/>
      <c r="AF364" s="2527"/>
      <c r="AG364" s="2527"/>
      <c r="AH364" s="2527"/>
      <c r="AI364" s="2527"/>
      <c r="AJ364" s="2527"/>
      <c r="AK364" s="600"/>
      <c r="AL364" s="600"/>
      <c r="AM364" s="600"/>
      <c r="AN364" s="594"/>
      <c r="AR364" s="567"/>
    </row>
    <row r="365" spans="1:44" s="548" customFormat="1" ht="12.75" customHeight="1">
      <c r="A365" s="600"/>
      <c r="B365" s="608"/>
      <c r="C365" s="2527"/>
      <c r="D365" s="2527"/>
      <c r="E365" s="2527"/>
      <c r="F365" s="2527"/>
      <c r="G365" s="2527"/>
      <c r="H365" s="2527"/>
      <c r="I365" s="2527"/>
      <c r="J365" s="2527"/>
      <c r="K365" s="2527"/>
      <c r="L365" s="2527"/>
      <c r="M365" s="2527"/>
      <c r="N365" s="2527"/>
      <c r="O365" s="2527"/>
      <c r="P365" s="2527"/>
      <c r="Q365" s="2527"/>
      <c r="R365" s="2527"/>
      <c r="S365" s="2527"/>
      <c r="T365" s="2527"/>
      <c r="U365" s="2527"/>
      <c r="V365" s="2527"/>
      <c r="W365" s="2527"/>
      <c r="X365" s="2527"/>
      <c r="Y365" s="2527"/>
      <c r="Z365" s="2527"/>
      <c r="AA365" s="2527"/>
      <c r="AB365" s="2527"/>
      <c r="AC365" s="2527"/>
      <c r="AD365" s="2527"/>
      <c r="AE365" s="2527"/>
      <c r="AF365" s="2527"/>
      <c r="AG365" s="2527"/>
      <c r="AH365" s="2527"/>
      <c r="AI365" s="2527"/>
      <c r="AJ365" s="2527"/>
      <c r="AK365" s="600"/>
      <c r="AL365" s="600"/>
      <c r="AM365" s="600"/>
      <c r="AN365" s="594"/>
      <c r="AR365" s="567"/>
    </row>
    <row r="366" spans="1:44" s="548" customFormat="1" ht="12.75" customHeight="1">
      <c r="A366" s="600"/>
      <c r="B366" s="608"/>
      <c r="C366" s="2527" t="s">
        <v>1444</v>
      </c>
      <c r="D366" s="2527"/>
      <c r="E366" s="2527"/>
      <c r="F366" s="2527"/>
      <c r="G366" s="2527"/>
      <c r="H366" s="2527"/>
      <c r="I366" s="2527"/>
      <c r="J366" s="2527"/>
      <c r="K366" s="2527"/>
      <c r="L366" s="2527"/>
      <c r="M366" s="2527"/>
      <c r="N366" s="2527"/>
      <c r="O366" s="2527"/>
      <c r="P366" s="2527"/>
      <c r="Q366" s="2527"/>
      <c r="R366" s="2527"/>
      <c r="S366" s="2527"/>
      <c r="T366" s="2527"/>
      <c r="U366" s="2527"/>
      <c r="V366" s="2527"/>
      <c r="W366" s="2527"/>
      <c r="X366" s="2527"/>
      <c r="Y366" s="2527"/>
      <c r="Z366" s="2527"/>
      <c r="AA366" s="2527"/>
      <c r="AB366" s="2527"/>
      <c r="AC366" s="2527"/>
      <c r="AD366" s="2527"/>
      <c r="AE366" s="2527"/>
      <c r="AF366" s="2527"/>
      <c r="AG366" s="2527"/>
      <c r="AH366" s="2527"/>
      <c r="AI366" s="2527"/>
      <c r="AJ366" s="2527"/>
      <c r="AK366" s="600"/>
      <c r="AL366" s="600"/>
      <c r="AM366" s="600"/>
      <c r="AN366" s="594"/>
      <c r="AQ366" s="567"/>
      <c r="AR366" s="567"/>
    </row>
    <row r="367" spans="1:44" s="548" customFormat="1" ht="12.75" customHeight="1">
      <c r="A367" s="600"/>
      <c r="B367" s="608"/>
      <c r="C367" s="2527"/>
      <c r="D367" s="2527"/>
      <c r="E367" s="2527"/>
      <c r="F367" s="2527"/>
      <c r="G367" s="2527"/>
      <c r="H367" s="2527"/>
      <c r="I367" s="2527"/>
      <c r="J367" s="2527"/>
      <c r="K367" s="2527"/>
      <c r="L367" s="2527"/>
      <c r="M367" s="2527"/>
      <c r="N367" s="2527"/>
      <c r="O367" s="2527"/>
      <c r="P367" s="2527"/>
      <c r="Q367" s="2527"/>
      <c r="R367" s="2527"/>
      <c r="S367" s="2527"/>
      <c r="T367" s="2527"/>
      <c r="U367" s="2527"/>
      <c r="V367" s="2527"/>
      <c r="W367" s="2527"/>
      <c r="X367" s="2527"/>
      <c r="Y367" s="2527"/>
      <c r="Z367" s="2527"/>
      <c r="AA367" s="2527"/>
      <c r="AB367" s="2527"/>
      <c r="AC367" s="2527"/>
      <c r="AD367" s="2527"/>
      <c r="AE367" s="2527"/>
      <c r="AF367" s="2527"/>
      <c r="AG367" s="2527"/>
      <c r="AH367" s="2527"/>
      <c r="AI367" s="2527"/>
      <c r="AJ367" s="2527"/>
      <c r="AK367" s="600"/>
      <c r="AL367" s="600"/>
      <c r="AM367" s="600"/>
      <c r="AN367" s="594"/>
      <c r="AQ367" s="567"/>
      <c r="AR367" s="567"/>
    </row>
    <row r="368" spans="1:44" s="548" customFormat="1" ht="13.15" customHeight="1">
      <c r="A368" s="600"/>
      <c r="B368" s="608"/>
      <c r="C368" s="2527"/>
      <c r="D368" s="2527"/>
      <c r="E368" s="2527"/>
      <c r="F368" s="2527"/>
      <c r="G368" s="2527"/>
      <c r="H368" s="2527"/>
      <c r="I368" s="2527"/>
      <c r="J368" s="2527"/>
      <c r="K368" s="2527"/>
      <c r="L368" s="2527"/>
      <c r="M368" s="2527"/>
      <c r="N368" s="2527"/>
      <c r="O368" s="2527"/>
      <c r="P368" s="2527"/>
      <c r="Q368" s="2527"/>
      <c r="R368" s="2527"/>
      <c r="S368" s="2527"/>
      <c r="T368" s="2527"/>
      <c r="U368" s="2527"/>
      <c r="V368" s="2527"/>
      <c r="W368" s="2527"/>
      <c r="X368" s="2527"/>
      <c r="Y368" s="2527"/>
      <c r="Z368" s="2527"/>
      <c r="AA368" s="2527"/>
      <c r="AB368" s="2527"/>
      <c r="AC368" s="2527"/>
      <c r="AD368" s="2527"/>
      <c r="AE368" s="2527"/>
      <c r="AF368" s="2527"/>
      <c r="AG368" s="2527"/>
      <c r="AH368" s="2527"/>
      <c r="AI368" s="2527"/>
      <c r="AJ368" s="2527"/>
      <c r="AK368" s="600"/>
      <c r="AL368" s="600"/>
      <c r="AM368" s="600"/>
      <c r="AN368" s="594"/>
      <c r="AQ368" s="567"/>
      <c r="AR368" s="567"/>
    </row>
    <row r="369" spans="1:46" s="548" customFormat="1" ht="12.75" customHeight="1">
      <c r="A369" s="600"/>
      <c r="B369" s="608"/>
      <c r="C369" s="2527"/>
      <c r="D369" s="2527"/>
      <c r="E369" s="2527"/>
      <c r="F369" s="2527"/>
      <c r="G369" s="2527"/>
      <c r="H369" s="2527"/>
      <c r="I369" s="2527"/>
      <c r="J369" s="2527"/>
      <c r="K369" s="2527"/>
      <c r="L369" s="2527"/>
      <c r="M369" s="2527"/>
      <c r="N369" s="2527"/>
      <c r="O369" s="2527"/>
      <c r="P369" s="2527"/>
      <c r="Q369" s="2527"/>
      <c r="R369" s="2527"/>
      <c r="S369" s="2527"/>
      <c r="T369" s="2527"/>
      <c r="U369" s="2527"/>
      <c r="V369" s="2527"/>
      <c r="W369" s="2527"/>
      <c r="X369" s="2527"/>
      <c r="Y369" s="2527"/>
      <c r="Z369" s="2527"/>
      <c r="AA369" s="2527"/>
      <c r="AB369" s="2527"/>
      <c r="AC369" s="2527"/>
      <c r="AD369" s="2527"/>
      <c r="AE369" s="2527"/>
      <c r="AF369" s="2527"/>
      <c r="AG369" s="2527"/>
      <c r="AH369" s="2527"/>
      <c r="AI369" s="2527"/>
      <c r="AJ369" s="2527"/>
      <c r="AK369" s="600"/>
      <c r="AL369" s="600"/>
      <c r="AM369" s="600"/>
      <c r="AN369" s="594"/>
      <c r="AO369" s="689"/>
      <c r="AP369" s="689"/>
      <c r="AQ369" s="567"/>
    </row>
    <row r="370" spans="1:46" s="548" customFormat="1" ht="11.85" customHeight="1">
      <c r="A370" s="600"/>
      <c r="B370" s="608"/>
      <c r="C370" s="2527"/>
      <c r="D370" s="2527"/>
      <c r="E370" s="2527"/>
      <c r="F370" s="2527"/>
      <c r="G370" s="2527"/>
      <c r="H370" s="2527"/>
      <c r="I370" s="2527"/>
      <c r="J370" s="2527"/>
      <c r="K370" s="2527"/>
      <c r="L370" s="2527"/>
      <c r="M370" s="2527"/>
      <c r="N370" s="2527"/>
      <c r="O370" s="2527"/>
      <c r="P370" s="2527"/>
      <c r="Q370" s="2527"/>
      <c r="R370" s="2527"/>
      <c r="S370" s="2527"/>
      <c r="T370" s="2527"/>
      <c r="U370" s="2527"/>
      <c r="V370" s="2527"/>
      <c r="W370" s="2527"/>
      <c r="X370" s="2527"/>
      <c r="Y370" s="2527"/>
      <c r="Z370" s="2527"/>
      <c r="AA370" s="2527"/>
      <c r="AB370" s="2527"/>
      <c r="AC370" s="2527"/>
      <c r="AD370" s="2527"/>
      <c r="AE370" s="2527"/>
      <c r="AF370" s="2527"/>
      <c r="AG370" s="2527"/>
      <c r="AH370" s="2527"/>
      <c r="AI370" s="2527"/>
      <c r="AJ370" s="2527"/>
      <c r="AK370" s="600"/>
      <c r="AL370" s="600"/>
      <c r="AM370" s="600"/>
      <c r="AN370" s="594"/>
      <c r="AO370" s="690" t="s">
        <v>112</v>
      </c>
      <c r="AP370" s="691">
        <f>IF(C394="Yes",5,0)</f>
        <v>5</v>
      </c>
      <c r="AS370" s="538" t="s">
        <v>1445</v>
      </c>
    </row>
    <row r="371" spans="1:46" s="548" customFormat="1" ht="12.75" customHeight="1">
      <c r="A371" s="600"/>
      <c r="B371" s="608"/>
      <c r="C371" s="2527"/>
      <c r="D371" s="2527"/>
      <c r="E371" s="2527"/>
      <c r="F371" s="2527"/>
      <c r="G371" s="2527"/>
      <c r="H371" s="2527"/>
      <c r="I371" s="2527"/>
      <c r="J371" s="2527"/>
      <c r="K371" s="2527"/>
      <c r="L371" s="2527"/>
      <c r="M371" s="2527"/>
      <c r="N371" s="2527"/>
      <c r="O371" s="2527"/>
      <c r="P371" s="2527"/>
      <c r="Q371" s="2527"/>
      <c r="R371" s="2527"/>
      <c r="S371" s="2527"/>
      <c r="T371" s="2527"/>
      <c r="U371" s="2527"/>
      <c r="V371" s="2527"/>
      <c r="W371" s="2527"/>
      <c r="X371" s="2527"/>
      <c r="Y371" s="2527"/>
      <c r="Z371" s="2527"/>
      <c r="AA371" s="2527"/>
      <c r="AB371" s="2527"/>
      <c r="AC371" s="2527"/>
      <c r="AD371" s="2527"/>
      <c r="AE371" s="2527"/>
      <c r="AF371" s="2527"/>
      <c r="AG371" s="2527"/>
      <c r="AH371" s="2527"/>
      <c r="AI371" s="2527"/>
      <c r="AJ371" s="2527"/>
      <c r="AK371" s="600"/>
      <c r="AL371" s="600"/>
      <c r="AM371" s="600"/>
      <c r="AN371" s="594"/>
      <c r="AO371" s="690" t="s">
        <v>113</v>
      </c>
      <c r="AP371" s="691">
        <f>IF(C402="Yes",5,0)</f>
        <v>0</v>
      </c>
      <c r="AS371" s="2557">
        <f>IF(Application!D211="Non-Targeted",(SUM(AQ379+AQ388)),AS375)</f>
        <v>10</v>
      </c>
      <c r="AT371" s="2557"/>
    </row>
    <row r="372" spans="1:46" s="548" customFormat="1" ht="12.75" customHeight="1">
      <c r="A372" s="600"/>
      <c r="B372" s="608"/>
      <c r="C372" s="2527"/>
      <c r="D372" s="2527"/>
      <c r="E372" s="2527"/>
      <c r="F372" s="2527"/>
      <c r="G372" s="2527"/>
      <c r="H372" s="2527"/>
      <c r="I372" s="2527"/>
      <c r="J372" s="2527"/>
      <c r="K372" s="2527"/>
      <c r="L372" s="2527"/>
      <c r="M372" s="2527"/>
      <c r="N372" s="2527"/>
      <c r="O372" s="2527"/>
      <c r="P372" s="2527"/>
      <c r="Q372" s="2527"/>
      <c r="R372" s="2527"/>
      <c r="S372" s="2527"/>
      <c r="T372" s="2527"/>
      <c r="U372" s="2527"/>
      <c r="V372" s="2527"/>
      <c r="W372" s="2527"/>
      <c r="X372" s="2527"/>
      <c r="Y372" s="2527"/>
      <c r="Z372" s="2527"/>
      <c r="AA372" s="2527"/>
      <c r="AB372" s="2527"/>
      <c r="AC372" s="2527"/>
      <c r="AD372" s="2527"/>
      <c r="AE372" s="2527"/>
      <c r="AF372" s="2527"/>
      <c r="AG372" s="2527"/>
      <c r="AH372" s="2527"/>
      <c r="AI372" s="2527"/>
      <c r="AJ372" s="2527"/>
      <c r="AK372" s="600"/>
      <c r="AL372" s="600"/>
      <c r="AM372" s="600"/>
      <c r="AN372" s="594"/>
      <c r="AO372" s="690" t="s">
        <v>119</v>
      </c>
      <c r="AP372" s="691">
        <f>IF(C410="Yes",7,0)</f>
        <v>0</v>
      </c>
      <c r="AS372" s="538" t="s">
        <v>1446</v>
      </c>
    </row>
    <row r="373" spans="1:46" s="548" customFormat="1" ht="12.75" customHeight="1">
      <c r="B373" s="608"/>
      <c r="C373" s="2527"/>
      <c r="D373" s="2527"/>
      <c r="E373" s="2527"/>
      <c r="F373" s="2527"/>
      <c r="G373" s="2527"/>
      <c r="H373" s="2527"/>
      <c r="I373" s="2527"/>
      <c r="J373" s="2527"/>
      <c r="K373" s="2527"/>
      <c r="L373" s="2527"/>
      <c r="M373" s="2527"/>
      <c r="N373" s="2527"/>
      <c r="O373" s="2527"/>
      <c r="P373" s="2527"/>
      <c r="Q373" s="2527"/>
      <c r="R373" s="2527"/>
      <c r="S373" s="2527"/>
      <c r="T373" s="2527"/>
      <c r="U373" s="2527"/>
      <c r="V373" s="2527"/>
      <c r="W373" s="2527"/>
      <c r="X373" s="2527"/>
      <c r="Y373" s="2527"/>
      <c r="Z373" s="2527"/>
      <c r="AA373" s="2527"/>
      <c r="AB373" s="2527"/>
      <c r="AC373" s="2527"/>
      <c r="AD373" s="2527"/>
      <c r="AE373" s="2527"/>
      <c r="AF373" s="2527"/>
      <c r="AG373" s="2527"/>
      <c r="AH373" s="2527"/>
      <c r="AI373" s="2527"/>
      <c r="AJ373" s="2527"/>
      <c r="AK373" s="600"/>
      <c r="AL373" s="600"/>
      <c r="AM373" s="600"/>
      <c r="AN373" s="594"/>
      <c r="AO373" s="594"/>
      <c r="AP373" s="691">
        <f>IF(C412="Yes",5,0)</f>
        <v>5</v>
      </c>
      <c r="AS373" s="2557">
        <f>IF(AND(AQ379&gt;0,AQ388&gt;0),(AQ379+AQ388)/2,0)</f>
        <v>0</v>
      </c>
      <c r="AT373" s="2557"/>
    </row>
    <row r="374" spans="1:46" s="548" customFormat="1" ht="12.75" customHeight="1">
      <c r="A374" s="600"/>
      <c r="B374" s="608"/>
      <c r="C374" s="2527"/>
      <c r="D374" s="2527"/>
      <c r="E374" s="2527"/>
      <c r="F374" s="2527"/>
      <c r="G374" s="2527"/>
      <c r="H374" s="2527"/>
      <c r="I374" s="2527"/>
      <c r="J374" s="2527"/>
      <c r="K374" s="2527"/>
      <c r="L374" s="2527"/>
      <c r="M374" s="2527"/>
      <c r="N374" s="2527"/>
      <c r="O374" s="2527"/>
      <c r="P374" s="2527"/>
      <c r="Q374" s="2527"/>
      <c r="R374" s="2527"/>
      <c r="S374" s="2527"/>
      <c r="T374" s="2527"/>
      <c r="U374" s="2527"/>
      <c r="V374" s="2527"/>
      <c r="W374" s="2527"/>
      <c r="X374" s="2527"/>
      <c r="Y374" s="2527"/>
      <c r="Z374" s="2527"/>
      <c r="AA374" s="2527"/>
      <c r="AB374" s="2527"/>
      <c r="AC374" s="2527"/>
      <c r="AD374" s="2527"/>
      <c r="AE374" s="2527"/>
      <c r="AF374" s="2527"/>
      <c r="AG374" s="2527"/>
      <c r="AH374" s="2527"/>
      <c r="AI374" s="2527"/>
      <c r="AJ374" s="2527"/>
      <c r="AK374" s="600"/>
      <c r="AL374" s="600"/>
      <c r="AM374" s="600"/>
      <c r="AN374" s="594"/>
      <c r="AO374" s="690" t="s">
        <v>579</v>
      </c>
      <c r="AP374" s="691">
        <f>IF(C420="Yes",5,0)</f>
        <v>0</v>
      </c>
      <c r="AS374" s="538" t="s">
        <v>1851</v>
      </c>
    </row>
    <row r="375" spans="1:46" s="548" customFormat="1" ht="12.75" customHeight="1">
      <c r="A375" s="600"/>
      <c r="B375" s="608"/>
      <c r="C375" s="2558" t="s">
        <v>2184</v>
      </c>
      <c r="D375" s="2558"/>
      <c r="E375" s="2558"/>
      <c r="F375" s="2558"/>
      <c r="G375" s="2558"/>
      <c r="H375" s="2558"/>
      <c r="I375" s="2558"/>
      <c r="J375" s="2558"/>
      <c r="K375" s="2558"/>
      <c r="L375" s="2558"/>
      <c r="M375" s="2558"/>
      <c r="N375" s="2558"/>
      <c r="O375" s="2558"/>
      <c r="P375" s="2558"/>
      <c r="Q375" s="2558"/>
      <c r="R375" s="2558"/>
      <c r="S375" s="2558"/>
      <c r="T375" s="2558"/>
      <c r="U375" s="2558"/>
      <c r="V375" s="2558"/>
      <c r="W375" s="2558"/>
      <c r="X375" s="2558"/>
      <c r="Y375" s="2558"/>
      <c r="Z375" s="2558"/>
      <c r="AA375" s="2558"/>
      <c r="AB375" s="2558"/>
      <c r="AC375" s="2558"/>
      <c r="AD375" s="2558"/>
      <c r="AE375" s="2558"/>
      <c r="AF375" s="2558"/>
      <c r="AG375" s="2558"/>
      <c r="AH375" s="2558"/>
      <c r="AI375" s="2558"/>
      <c r="AJ375" s="2558"/>
      <c r="AK375" s="600"/>
      <c r="AL375" s="600"/>
      <c r="AM375" s="600"/>
      <c r="AN375" s="594"/>
      <c r="AO375" s="594"/>
      <c r="AP375" s="691">
        <f>IF(C422="Yes",3,0)</f>
        <v>0</v>
      </c>
      <c r="AS375" s="2557">
        <f>IF(AQ379=0,AQ388,AQ379)</f>
        <v>10</v>
      </c>
      <c r="AT375" s="2557"/>
    </row>
    <row r="376" spans="1:46" s="548" customFormat="1" ht="12.75" customHeight="1">
      <c r="A376" s="600"/>
      <c r="B376" s="608"/>
      <c r="C376" s="2558"/>
      <c r="D376" s="2558"/>
      <c r="E376" s="2558"/>
      <c r="F376" s="2558"/>
      <c r="G376" s="2558"/>
      <c r="H376" s="2558"/>
      <c r="I376" s="2558"/>
      <c r="J376" s="2558"/>
      <c r="K376" s="2558"/>
      <c r="L376" s="2558"/>
      <c r="M376" s="2558"/>
      <c r="N376" s="2558"/>
      <c r="O376" s="2558"/>
      <c r="P376" s="2558"/>
      <c r="Q376" s="2558"/>
      <c r="R376" s="2558"/>
      <c r="S376" s="2558"/>
      <c r="T376" s="2558"/>
      <c r="U376" s="2558"/>
      <c r="V376" s="2558"/>
      <c r="W376" s="2558"/>
      <c r="X376" s="2558"/>
      <c r="Y376" s="2558"/>
      <c r="Z376" s="2558"/>
      <c r="AA376" s="2558"/>
      <c r="AB376" s="2558"/>
      <c r="AC376" s="2558"/>
      <c r="AD376" s="2558"/>
      <c r="AE376" s="2558"/>
      <c r="AF376" s="2558"/>
      <c r="AG376" s="2558"/>
      <c r="AH376" s="2558"/>
      <c r="AI376" s="2558"/>
      <c r="AJ376" s="2558"/>
      <c r="AK376" s="600"/>
      <c r="AL376" s="600"/>
      <c r="AM376" s="600"/>
      <c r="AN376" s="594"/>
      <c r="AO376" s="690" t="s">
        <v>761</v>
      </c>
      <c r="AP376" s="691">
        <f>IF(C425="Yes",5,0)</f>
        <v>0</v>
      </c>
    </row>
    <row r="377" spans="1:46" s="548" customFormat="1" ht="12.75" customHeight="1">
      <c r="A377" s="600"/>
      <c r="B377" s="608"/>
      <c r="C377" s="2558"/>
      <c r="D377" s="2558"/>
      <c r="E377" s="2558"/>
      <c r="F377" s="2558"/>
      <c r="G377" s="2558"/>
      <c r="H377" s="2558"/>
      <c r="I377" s="2558"/>
      <c r="J377" s="2558"/>
      <c r="K377" s="2558"/>
      <c r="L377" s="2558"/>
      <c r="M377" s="2558"/>
      <c r="N377" s="2558"/>
      <c r="O377" s="2558"/>
      <c r="P377" s="2558"/>
      <c r="Q377" s="2558"/>
      <c r="R377" s="2558"/>
      <c r="S377" s="2558"/>
      <c r="T377" s="2558"/>
      <c r="U377" s="2558"/>
      <c r="V377" s="2558"/>
      <c r="W377" s="2558"/>
      <c r="X377" s="2558"/>
      <c r="Y377" s="2558"/>
      <c r="Z377" s="2558"/>
      <c r="AA377" s="2558"/>
      <c r="AB377" s="2558"/>
      <c r="AC377" s="2558"/>
      <c r="AD377" s="2558"/>
      <c r="AE377" s="2558"/>
      <c r="AF377" s="2558"/>
      <c r="AG377" s="2558"/>
      <c r="AH377" s="2558"/>
      <c r="AI377" s="2558"/>
      <c r="AJ377" s="2558"/>
      <c r="AK377" s="600"/>
      <c r="AL377" s="600"/>
      <c r="AM377" s="600"/>
      <c r="AN377" s="594"/>
      <c r="AO377" s="690" t="s">
        <v>582</v>
      </c>
      <c r="AP377" s="691">
        <f>IF(C434="Yes",5,0)</f>
        <v>0</v>
      </c>
    </row>
    <row r="378" spans="1:46" s="548" customFormat="1" ht="11.85" customHeight="1">
      <c r="A378" s="600"/>
      <c r="B378" s="608"/>
      <c r="C378" s="2558"/>
      <c r="D378" s="2558"/>
      <c r="E378" s="2558"/>
      <c r="F378" s="2558"/>
      <c r="G378" s="2558"/>
      <c r="H378" s="2558"/>
      <c r="I378" s="2558"/>
      <c r="J378" s="2558"/>
      <c r="K378" s="2558"/>
      <c r="L378" s="2558"/>
      <c r="M378" s="2558"/>
      <c r="N378" s="2558"/>
      <c r="O378" s="2558"/>
      <c r="P378" s="2558"/>
      <c r="Q378" s="2558"/>
      <c r="R378" s="2558"/>
      <c r="S378" s="2558"/>
      <c r="T378" s="2558"/>
      <c r="U378" s="2558"/>
      <c r="V378" s="2558"/>
      <c r="W378" s="2558"/>
      <c r="X378" s="2558"/>
      <c r="Y378" s="2558"/>
      <c r="Z378" s="2558"/>
      <c r="AA378" s="2558"/>
      <c r="AB378" s="2558"/>
      <c r="AC378" s="2558"/>
      <c r="AD378" s="2558"/>
      <c r="AE378" s="2558"/>
      <c r="AF378" s="2558"/>
      <c r="AG378" s="2558"/>
      <c r="AH378" s="2558"/>
      <c r="AI378" s="2558"/>
      <c r="AJ378" s="2558"/>
      <c r="AK378" s="600"/>
      <c r="AL378" s="600"/>
      <c r="AM378" s="600"/>
      <c r="AN378" s="594"/>
      <c r="AO378" s="692"/>
      <c r="AP378" s="693">
        <f>IF(C436="Yes",3,0)</f>
        <v>0</v>
      </c>
    </row>
    <row r="379" spans="1:46" s="548" customFormat="1" ht="12.4" customHeight="1">
      <c r="A379" s="600"/>
      <c r="B379" s="608"/>
      <c r="C379" s="2558"/>
      <c r="D379" s="2558"/>
      <c r="E379" s="2558"/>
      <c r="F379" s="2558"/>
      <c r="G379" s="2558"/>
      <c r="H379" s="2558"/>
      <c r="I379" s="2558"/>
      <c r="J379" s="2558"/>
      <c r="K379" s="2558"/>
      <c r="L379" s="2558"/>
      <c r="M379" s="2558"/>
      <c r="N379" s="2558"/>
      <c r="O379" s="2558"/>
      <c r="P379" s="2558"/>
      <c r="Q379" s="2558"/>
      <c r="R379" s="2558"/>
      <c r="S379" s="2558"/>
      <c r="T379" s="2558"/>
      <c r="U379" s="2558"/>
      <c r="V379" s="2558"/>
      <c r="W379" s="2558"/>
      <c r="X379" s="2558"/>
      <c r="Y379" s="2558"/>
      <c r="Z379" s="2558"/>
      <c r="AA379" s="2558"/>
      <c r="AB379" s="2558"/>
      <c r="AC379" s="2558"/>
      <c r="AD379" s="2558"/>
      <c r="AE379" s="2558"/>
      <c r="AF379" s="2558"/>
      <c r="AG379" s="2558"/>
      <c r="AH379" s="2558"/>
      <c r="AI379" s="2558"/>
      <c r="AJ379" s="2558"/>
      <c r="AK379" s="600"/>
      <c r="AL379" s="600"/>
      <c r="AM379" s="600"/>
      <c r="AN379" s="594"/>
      <c r="AO379" s="694" t="s">
        <v>226</v>
      </c>
      <c r="AP379" s="695">
        <f>SUM(AP370:AP378)</f>
        <v>10</v>
      </c>
      <c r="AQ379" s="2559">
        <f>IF(AP379&gt;0,AP379,0)</f>
        <v>10</v>
      </c>
      <c r="AR379" s="2559"/>
    </row>
    <row r="380" spans="1:46" s="548" customFormat="1" ht="12.75" customHeight="1">
      <c r="A380" s="600"/>
      <c r="B380" s="608"/>
      <c r="C380" s="2558"/>
      <c r="D380" s="2558"/>
      <c r="E380" s="2558"/>
      <c r="F380" s="2558"/>
      <c r="G380" s="2558"/>
      <c r="H380" s="2558"/>
      <c r="I380" s="2558"/>
      <c r="J380" s="2558"/>
      <c r="K380" s="2558"/>
      <c r="L380" s="2558"/>
      <c r="M380" s="2558"/>
      <c r="N380" s="2558"/>
      <c r="O380" s="2558"/>
      <c r="P380" s="2558"/>
      <c r="Q380" s="2558"/>
      <c r="R380" s="2558"/>
      <c r="S380" s="2558"/>
      <c r="T380" s="2558"/>
      <c r="U380" s="2558"/>
      <c r="V380" s="2558"/>
      <c r="W380" s="2558"/>
      <c r="X380" s="2558"/>
      <c r="Y380" s="2558"/>
      <c r="Z380" s="2558"/>
      <c r="AA380" s="2558"/>
      <c r="AB380" s="2558"/>
      <c r="AC380" s="2558"/>
      <c r="AD380" s="2558"/>
      <c r="AE380" s="2558"/>
      <c r="AF380" s="2558"/>
      <c r="AG380" s="2558"/>
      <c r="AH380" s="2558"/>
      <c r="AI380" s="2558"/>
      <c r="AJ380" s="2558"/>
      <c r="AK380" s="600"/>
      <c r="AL380" s="600"/>
      <c r="AM380" s="600"/>
      <c r="AN380" s="594"/>
      <c r="AP380" s="567"/>
    </row>
    <row r="381" spans="1:46" s="548" customFormat="1" ht="12.75" customHeight="1">
      <c r="A381" s="600"/>
      <c r="B381" s="608"/>
      <c r="C381" s="687"/>
      <c r="D381" s="687"/>
      <c r="E381" s="687"/>
      <c r="F381" s="687"/>
      <c r="G381" s="687"/>
      <c r="H381" s="687"/>
      <c r="I381" s="687"/>
      <c r="J381" s="687"/>
      <c r="K381" s="687"/>
      <c r="L381" s="687"/>
      <c r="M381" s="687"/>
      <c r="N381" s="687"/>
      <c r="O381" s="687"/>
      <c r="P381" s="687"/>
      <c r="Q381" s="687"/>
      <c r="R381" s="687"/>
      <c r="S381" s="687"/>
      <c r="T381" s="687"/>
      <c r="U381" s="687"/>
      <c r="V381" s="687"/>
      <c r="W381" s="687"/>
      <c r="X381" s="687"/>
      <c r="Y381" s="687"/>
      <c r="Z381" s="687"/>
      <c r="AA381" s="687"/>
      <c r="AB381" s="687"/>
      <c r="AC381" s="687"/>
      <c r="AD381" s="687"/>
      <c r="AE381" s="687"/>
      <c r="AF381" s="687"/>
      <c r="AG381" s="687"/>
      <c r="AH381" s="687"/>
      <c r="AI381" s="687"/>
      <c r="AJ381" s="687"/>
      <c r="AK381" s="600"/>
      <c r="AL381" s="600"/>
      <c r="AM381" s="600"/>
      <c r="AN381" s="594"/>
      <c r="AO381" s="690" t="s">
        <v>453</v>
      </c>
      <c r="AP381" s="691">
        <f>IF(C443="Yes",5,0)</f>
        <v>0</v>
      </c>
    </row>
    <row r="382" spans="1:46" s="548" customFormat="1" ht="12.75" customHeight="1">
      <c r="A382" s="600"/>
      <c r="B382" s="608"/>
      <c r="C382" s="2527" t="s">
        <v>1447</v>
      </c>
      <c r="D382" s="2527"/>
      <c r="E382" s="2527"/>
      <c r="F382" s="2527"/>
      <c r="G382" s="2527"/>
      <c r="H382" s="2527"/>
      <c r="I382" s="2527"/>
      <c r="J382" s="2527"/>
      <c r="K382" s="2527"/>
      <c r="L382" s="2527"/>
      <c r="M382" s="2527"/>
      <c r="N382" s="2527"/>
      <c r="O382" s="2527"/>
      <c r="P382" s="2527"/>
      <c r="Q382" s="2527"/>
      <c r="R382" s="2527"/>
      <c r="S382" s="2527"/>
      <c r="T382" s="2527"/>
      <c r="U382" s="2527"/>
      <c r="V382" s="2527"/>
      <c r="W382" s="2527"/>
      <c r="X382" s="2527"/>
      <c r="Y382" s="2527"/>
      <c r="Z382" s="2527"/>
      <c r="AA382" s="2527"/>
      <c r="AB382" s="2527"/>
      <c r="AC382" s="2527"/>
      <c r="AD382" s="2527"/>
      <c r="AE382" s="2527"/>
      <c r="AF382" s="2527"/>
      <c r="AG382" s="2527"/>
      <c r="AH382" s="2527"/>
      <c r="AI382" s="2527"/>
      <c r="AJ382" s="2527"/>
      <c r="AK382" s="600"/>
      <c r="AL382" s="600"/>
      <c r="AM382" s="600"/>
      <c r="AN382" s="594"/>
      <c r="AO382" s="690" t="s">
        <v>454</v>
      </c>
      <c r="AP382" s="691">
        <f>IF(C455="Yes",5,0)</f>
        <v>0</v>
      </c>
    </row>
    <row r="383" spans="1:46" s="548" customFormat="1" ht="12.75" customHeight="1">
      <c r="A383" s="600"/>
      <c r="B383" s="608"/>
      <c r="C383" s="2527"/>
      <c r="D383" s="2527"/>
      <c r="E383" s="2527"/>
      <c r="F383" s="2527"/>
      <c r="G383" s="2527"/>
      <c r="H383" s="2527"/>
      <c r="I383" s="2527"/>
      <c r="J383" s="2527"/>
      <c r="K383" s="2527"/>
      <c r="L383" s="2527"/>
      <c r="M383" s="2527"/>
      <c r="N383" s="2527"/>
      <c r="O383" s="2527"/>
      <c r="P383" s="2527"/>
      <c r="Q383" s="2527"/>
      <c r="R383" s="2527"/>
      <c r="S383" s="2527"/>
      <c r="T383" s="2527"/>
      <c r="U383" s="2527"/>
      <c r="V383" s="2527"/>
      <c r="W383" s="2527"/>
      <c r="X383" s="2527"/>
      <c r="Y383" s="2527"/>
      <c r="Z383" s="2527"/>
      <c r="AA383" s="2527"/>
      <c r="AB383" s="2527"/>
      <c r="AC383" s="2527"/>
      <c r="AD383" s="2527"/>
      <c r="AE383" s="2527"/>
      <c r="AF383" s="2527"/>
      <c r="AG383" s="2527"/>
      <c r="AH383" s="2527"/>
      <c r="AI383" s="2527"/>
      <c r="AJ383" s="2527"/>
      <c r="AK383" s="600"/>
      <c r="AL383" s="600"/>
      <c r="AM383" s="600"/>
      <c r="AN383" s="594"/>
      <c r="AO383" s="690" t="s">
        <v>459</v>
      </c>
      <c r="AP383" s="691">
        <f>IF(C462="Yes",5,0)</f>
        <v>0</v>
      </c>
    </row>
    <row r="384" spans="1:46" s="548" customFormat="1" ht="68.099999999999994" customHeight="1">
      <c r="A384" s="600"/>
      <c r="B384" s="608"/>
      <c r="C384" s="2527"/>
      <c r="D384" s="2527"/>
      <c r="E384" s="2527"/>
      <c r="F384" s="2527"/>
      <c r="G384" s="2527"/>
      <c r="H384" s="2527"/>
      <c r="I384" s="2527"/>
      <c r="J384" s="2527"/>
      <c r="K384" s="2527"/>
      <c r="L384" s="2527"/>
      <c r="M384" s="2527"/>
      <c r="N384" s="2527"/>
      <c r="O384" s="2527"/>
      <c r="P384" s="2527"/>
      <c r="Q384" s="2527"/>
      <c r="R384" s="2527"/>
      <c r="S384" s="2527"/>
      <c r="T384" s="2527"/>
      <c r="U384" s="2527"/>
      <c r="V384" s="2527"/>
      <c r="W384" s="2527"/>
      <c r="X384" s="2527"/>
      <c r="Y384" s="2527"/>
      <c r="Z384" s="2527"/>
      <c r="AA384" s="2527"/>
      <c r="AB384" s="2527"/>
      <c r="AC384" s="2527"/>
      <c r="AD384" s="2527"/>
      <c r="AE384" s="2527"/>
      <c r="AF384" s="2527"/>
      <c r="AG384" s="2527"/>
      <c r="AH384" s="2527"/>
      <c r="AI384" s="2527"/>
      <c r="AJ384" s="2527"/>
      <c r="AK384" s="600"/>
      <c r="AL384" s="600"/>
      <c r="AM384" s="600"/>
      <c r="AN384" s="594"/>
      <c r="AO384" s="690" t="s">
        <v>644</v>
      </c>
      <c r="AP384" s="696">
        <f>IF(C466="Yes",5,0)</f>
        <v>0</v>
      </c>
    </row>
    <row r="385" spans="1:81" s="548" customFormat="1" ht="12.4" customHeight="1">
      <c r="B385" s="608"/>
      <c r="C385" s="548" t="s">
        <v>1448</v>
      </c>
      <c r="AF385" s="600"/>
      <c r="AG385" s="600"/>
      <c r="AH385" s="600"/>
      <c r="AI385" s="600"/>
      <c r="AJ385" s="600"/>
      <c r="AK385" s="600"/>
      <c r="AL385" s="600"/>
      <c r="AM385" s="600"/>
      <c r="AN385" s="594"/>
      <c r="AO385" s="690" t="s">
        <v>361</v>
      </c>
      <c r="AP385" s="691">
        <f>IF(C470="Yes",5,0)</f>
        <v>0</v>
      </c>
    </row>
    <row r="386" spans="1:81" s="548" customFormat="1" ht="12.75" customHeight="1">
      <c r="A386" s="600"/>
      <c r="B386" s="608"/>
      <c r="C386" s="697" t="s">
        <v>2163</v>
      </c>
      <c r="D386" s="698"/>
      <c r="E386" s="698"/>
      <c r="F386" s="698"/>
      <c r="G386" s="698"/>
      <c r="H386" s="698"/>
      <c r="I386" s="698"/>
      <c r="J386" s="698"/>
      <c r="K386" s="698"/>
      <c r="L386" s="698"/>
      <c r="M386" s="662"/>
      <c r="N386" s="662"/>
      <c r="O386" s="699"/>
      <c r="P386" s="698"/>
      <c r="Q386" s="698"/>
      <c r="R386" s="662"/>
      <c r="S386" s="662"/>
      <c r="T386" s="698"/>
      <c r="U386" s="2623">
        <f>Application!DU810-U387</f>
        <v>209</v>
      </c>
      <c r="V386" s="2623"/>
      <c r="W386" s="2623"/>
      <c r="X386" s="698"/>
      <c r="Y386" s="698"/>
      <c r="Z386" s="698"/>
      <c r="AA386" s="700"/>
      <c r="AB386" s="701"/>
      <c r="AC386" s="701"/>
      <c r="AD386" s="701"/>
      <c r="AE386" s="600"/>
      <c r="AF386" s="600"/>
      <c r="AG386" s="600"/>
      <c r="AH386" s="600"/>
      <c r="AI386" s="600"/>
      <c r="AJ386" s="600"/>
      <c r="AK386" s="600"/>
      <c r="AL386" s="600"/>
      <c r="AM386" s="600"/>
      <c r="AN386" s="594"/>
      <c r="AO386" s="690" t="s">
        <v>362</v>
      </c>
      <c r="AP386" s="691">
        <f>IF(C479="Yes",5,0)</f>
        <v>0</v>
      </c>
    </row>
    <row r="387" spans="1:81" s="548" customFormat="1" ht="12.75" customHeight="1">
      <c r="A387" s="600"/>
      <c r="B387" s="608"/>
      <c r="C387" s="702" t="s">
        <v>2164</v>
      </c>
      <c r="D387" s="689"/>
      <c r="E387" s="689"/>
      <c r="F387" s="689"/>
      <c r="G387" s="689"/>
      <c r="H387" s="689"/>
      <c r="I387" s="689"/>
      <c r="J387" s="689"/>
      <c r="K387" s="689"/>
      <c r="L387" s="689"/>
      <c r="M387" s="689"/>
      <c r="N387" s="689"/>
      <c r="O387" s="689"/>
      <c r="P387" s="689"/>
      <c r="Q387" s="689"/>
      <c r="R387" s="689"/>
      <c r="S387" s="689"/>
      <c r="T387" s="689"/>
      <c r="U387" s="2624">
        <f>IF(Application!D211="SRO",Application!DU763,Application!AG764)</f>
        <v>10</v>
      </c>
      <c r="V387" s="2624"/>
      <c r="W387" s="2624"/>
      <c r="X387" s="689"/>
      <c r="Y387" s="689"/>
      <c r="Z387" s="689"/>
      <c r="AA387" s="703"/>
      <c r="AC387" s="704"/>
      <c r="AD387" s="704"/>
      <c r="AE387" s="600"/>
      <c r="AF387" s="600"/>
      <c r="AG387" s="600"/>
      <c r="AH387" s="600"/>
      <c r="AI387" s="600"/>
      <c r="AJ387" s="600"/>
      <c r="AK387" s="600"/>
      <c r="AL387" s="600"/>
      <c r="AM387" s="600"/>
      <c r="AN387" s="594"/>
      <c r="AO387" s="692"/>
      <c r="AP387" s="693"/>
    </row>
    <row r="388" spans="1:81" s="548" customFormat="1" ht="12.75" customHeight="1">
      <c r="A388" s="600"/>
      <c r="B388" s="608"/>
      <c r="C388" s="593"/>
      <c r="U388" s="782"/>
      <c r="V388" s="782"/>
      <c r="W388" s="782"/>
      <c r="AC388" s="704"/>
      <c r="AD388" s="704"/>
      <c r="AE388" s="600"/>
      <c r="AF388" s="600"/>
      <c r="AG388" s="600"/>
      <c r="AH388" s="600"/>
      <c r="AI388" s="600"/>
      <c r="AJ388" s="600"/>
      <c r="AK388" s="600"/>
      <c r="AL388" s="600"/>
      <c r="AM388" s="600"/>
      <c r="AN388" s="594"/>
      <c r="AO388" s="705" t="s">
        <v>226</v>
      </c>
      <c r="AP388" s="706">
        <f>SUM(AP381:AP386)</f>
        <v>0</v>
      </c>
      <c r="AQ388" s="2559">
        <f>IF(AP388&gt;0,AP388,0)</f>
        <v>0</v>
      </c>
      <c r="AR388" s="2559"/>
    </row>
    <row r="389" spans="1:81" s="548" customFormat="1" ht="12.75" customHeight="1">
      <c r="A389" s="600"/>
      <c r="B389" s="14"/>
      <c r="C389" s="707" t="s">
        <v>2161</v>
      </c>
      <c r="D389" s="600"/>
      <c r="E389" s="600"/>
      <c r="F389" s="600"/>
      <c r="G389" s="600"/>
      <c r="H389" s="600"/>
      <c r="I389" s="600"/>
      <c r="J389" s="600"/>
      <c r="K389" s="600"/>
      <c r="L389" s="600"/>
      <c r="M389" s="600"/>
      <c r="N389" s="600"/>
      <c r="O389" s="600"/>
      <c r="P389" s="600"/>
      <c r="Q389" s="600"/>
      <c r="R389" s="600"/>
      <c r="S389" s="600"/>
      <c r="T389" s="600"/>
      <c r="U389" s="600"/>
      <c r="V389" s="600"/>
      <c r="W389" s="600"/>
      <c r="X389" s="600"/>
      <c r="Y389" s="600"/>
      <c r="Z389" s="600"/>
      <c r="AA389" s="600"/>
      <c r="AB389" s="600"/>
      <c r="AC389" s="600"/>
      <c r="AD389" s="600"/>
      <c r="AE389" s="600"/>
      <c r="AF389" s="600"/>
      <c r="AG389" s="600"/>
      <c r="AH389" s="600"/>
      <c r="AI389" s="600"/>
      <c r="AJ389" s="600"/>
      <c r="AK389" s="600"/>
      <c r="AL389" s="600"/>
      <c r="AM389" s="600"/>
      <c r="AN389" s="594"/>
      <c r="BS389" s="30"/>
      <c r="BT389" s="30"/>
      <c r="BU389" s="14"/>
      <c r="BV389" s="14"/>
      <c r="BW389" s="14"/>
    </row>
    <row r="390" spans="1:81" s="548" customFormat="1" ht="12.75" customHeight="1">
      <c r="A390" s="535"/>
      <c r="B390" s="14"/>
      <c r="C390" s="708"/>
      <c r="D390" s="709"/>
      <c r="E390" s="710" t="s">
        <v>1307</v>
      </c>
      <c r="F390" s="2531" t="s">
        <v>1449</v>
      </c>
      <c r="G390" s="2531"/>
      <c r="H390" s="2531"/>
      <c r="I390" s="2531"/>
      <c r="J390" s="2531"/>
      <c r="K390" s="2531"/>
      <c r="L390" s="2531"/>
      <c r="M390" s="2531"/>
      <c r="N390" s="2531"/>
      <c r="O390" s="2531"/>
      <c r="P390" s="2531"/>
      <c r="Q390" s="2531"/>
      <c r="R390" s="2531"/>
      <c r="S390" s="2531"/>
      <c r="T390" s="2531"/>
      <c r="U390" s="2531"/>
      <c r="V390" s="2531"/>
      <c r="W390" s="2531"/>
      <c r="X390" s="2531"/>
      <c r="Y390" s="2531"/>
      <c r="Z390" s="2531"/>
      <c r="AA390" s="2531"/>
      <c r="AB390" s="2531"/>
      <c r="AC390" s="2531"/>
      <c r="AD390" s="2531"/>
      <c r="AE390" s="2531"/>
      <c r="AF390" s="2531"/>
      <c r="AG390" s="711"/>
      <c r="AH390" s="711"/>
      <c r="AI390" s="711"/>
      <c r="AJ390" s="711"/>
      <c r="AK390" s="711"/>
      <c r="AL390" s="712"/>
      <c r="AM390" s="567"/>
      <c r="AN390" s="594"/>
      <c r="AP390" s="567"/>
      <c r="BS390" s="30"/>
      <c r="BT390" s="30"/>
      <c r="BU390" s="14"/>
      <c r="BV390" s="14"/>
      <c r="BW390" s="14"/>
      <c r="BX390" s="14"/>
      <c r="BY390" s="14"/>
      <c r="BZ390" s="14"/>
      <c r="CA390" s="14"/>
      <c r="CB390" s="14"/>
      <c r="CC390" s="14"/>
    </row>
    <row r="391" spans="1:81" s="548" customFormat="1" ht="12.75" customHeight="1">
      <c r="A391" s="535"/>
      <c r="B391" s="14"/>
      <c r="C391" s="713"/>
      <c r="D391" s="535"/>
      <c r="E391" s="714"/>
      <c r="F391" s="2404"/>
      <c r="G391" s="2404"/>
      <c r="H391" s="2404"/>
      <c r="I391" s="2404"/>
      <c r="J391" s="2404"/>
      <c r="K391" s="2404"/>
      <c r="L391" s="2404"/>
      <c r="M391" s="2404"/>
      <c r="N391" s="2404"/>
      <c r="O391" s="2404"/>
      <c r="P391" s="2404"/>
      <c r="Q391" s="2404"/>
      <c r="R391" s="2404"/>
      <c r="S391" s="2404"/>
      <c r="T391" s="2404"/>
      <c r="U391" s="2404"/>
      <c r="V391" s="2404"/>
      <c r="W391" s="2404"/>
      <c r="X391" s="2404"/>
      <c r="Y391" s="2404"/>
      <c r="Z391" s="2404"/>
      <c r="AA391" s="2404"/>
      <c r="AB391" s="2404"/>
      <c r="AC391" s="2404"/>
      <c r="AD391" s="2404"/>
      <c r="AE391" s="2404"/>
      <c r="AF391" s="2404"/>
      <c r="AG391" s="538"/>
      <c r="AH391" s="538"/>
      <c r="AI391" s="538"/>
      <c r="AJ391" s="538"/>
      <c r="AK391" s="538"/>
      <c r="AL391" s="715"/>
      <c r="AM391" s="567"/>
      <c r="AN391" s="594"/>
      <c r="AP391" s="567"/>
      <c r="BS391" s="30"/>
      <c r="BT391" s="30"/>
      <c r="BU391" s="14"/>
      <c r="BV391" s="14"/>
      <c r="BW391" s="14"/>
      <c r="BX391" s="14"/>
      <c r="BY391" s="14"/>
      <c r="BZ391" s="14"/>
      <c r="CA391" s="14"/>
      <c r="CB391" s="14"/>
      <c r="CC391" s="14"/>
    </row>
    <row r="392" spans="1:81" s="548" customFormat="1" ht="12.75" customHeight="1">
      <c r="A392" s="535"/>
      <c r="B392" s="14"/>
      <c r="C392" s="713"/>
      <c r="D392" s="535"/>
      <c r="E392" s="714"/>
      <c r="F392" s="2404"/>
      <c r="G392" s="2404"/>
      <c r="H392" s="2404"/>
      <c r="I392" s="2404"/>
      <c r="J392" s="2404"/>
      <c r="K392" s="2404"/>
      <c r="L392" s="2404"/>
      <c r="M392" s="2404"/>
      <c r="N392" s="2404"/>
      <c r="O392" s="2404"/>
      <c r="P392" s="2404"/>
      <c r="Q392" s="2404"/>
      <c r="R392" s="2404"/>
      <c r="S392" s="2404"/>
      <c r="T392" s="2404"/>
      <c r="U392" s="2404"/>
      <c r="V392" s="2404"/>
      <c r="W392" s="2404"/>
      <c r="X392" s="2404"/>
      <c r="Y392" s="2404"/>
      <c r="Z392" s="2404"/>
      <c r="AA392" s="2404"/>
      <c r="AB392" s="2404"/>
      <c r="AC392" s="2404"/>
      <c r="AD392" s="2404"/>
      <c r="AE392" s="2404"/>
      <c r="AF392" s="2404"/>
      <c r="AG392" s="538"/>
      <c r="AH392" s="538"/>
      <c r="AI392" s="538"/>
      <c r="AJ392" s="538"/>
      <c r="AK392" s="538"/>
      <c r="AL392" s="715"/>
      <c r="AM392" s="567"/>
      <c r="AN392" s="594"/>
      <c r="BS392" s="30"/>
      <c r="BT392" s="30"/>
      <c r="BU392" s="14"/>
      <c r="BV392" s="14"/>
      <c r="BW392" s="14"/>
      <c r="BX392" s="14"/>
      <c r="BY392" s="14"/>
      <c r="BZ392" s="14"/>
      <c r="CA392" s="14"/>
      <c r="CB392" s="14"/>
      <c r="CC392" s="14"/>
    </row>
    <row r="393" spans="1:81" s="548" customFormat="1" ht="12.75" customHeight="1">
      <c r="A393" s="535"/>
      <c r="B393" s="14"/>
      <c r="C393" s="713"/>
      <c r="D393" s="535"/>
      <c r="E393" s="714"/>
      <c r="F393" s="2404"/>
      <c r="G393" s="2404"/>
      <c r="H393" s="2404"/>
      <c r="I393" s="2404"/>
      <c r="J393" s="2404"/>
      <c r="K393" s="2404"/>
      <c r="L393" s="2404"/>
      <c r="M393" s="2404"/>
      <c r="N393" s="2404"/>
      <c r="O393" s="2404"/>
      <c r="P393" s="2404"/>
      <c r="Q393" s="2404"/>
      <c r="R393" s="2404"/>
      <c r="S393" s="2404"/>
      <c r="T393" s="2404"/>
      <c r="U393" s="2404"/>
      <c r="V393" s="2404"/>
      <c r="W393" s="2404"/>
      <c r="X393" s="2404"/>
      <c r="Y393" s="2404"/>
      <c r="Z393" s="2404"/>
      <c r="AA393" s="2404"/>
      <c r="AB393" s="2404"/>
      <c r="AC393" s="2404"/>
      <c r="AD393" s="2404"/>
      <c r="AE393" s="2404"/>
      <c r="AF393" s="2404"/>
      <c r="AG393" s="538"/>
      <c r="AH393" s="538"/>
      <c r="AI393" s="538"/>
      <c r="AJ393" s="538"/>
      <c r="AK393" s="538"/>
      <c r="AL393" s="715"/>
      <c r="AM393" s="567"/>
      <c r="AN393" s="594"/>
      <c r="BS393" s="30"/>
      <c r="BT393" s="30"/>
      <c r="BU393" s="14"/>
      <c r="BV393" s="14"/>
      <c r="BW393" s="14"/>
      <c r="BX393" s="14"/>
      <c r="BY393" s="14"/>
      <c r="BZ393" s="14"/>
      <c r="CA393" s="14"/>
      <c r="CB393" s="14"/>
      <c r="CC393" s="14"/>
    </row>
    <row r="394" spans="1:81" s="548" customFormat="1" ht="12.75" customHeight="1">
      <c r="A394" s="535"/>
      <c r="B394" s="14"/>
      <c r="C394" s="2528" t="s">
        <v>543</v>
      </c>
      <c r="D394" s="2488"/>
      <c r="E394" s="714"/>
      <c r="F394" s="716" t="s">
        <v>1450</v>
      </c>
      <c r="G394" s="600"/>
      <c r="H394" s="600"/>
      <c r="I394" s="600"/>
      <c r="J394" s="600"/>
      <c r="K394" s="600"/>
      <c r="L394" s="600"/>
      <c r="M394" s="600"/>
      <c r="N394" s="600"/>
      <c r="O394" s="600"/>
      <c r="P394" s="600"/>
      <c r="Q394" s="600"/>
      <c r="R394" s="600"/>
      <c r="S394" s="600"/>
      <c r="T394" s="600"/>
      <c r="U394" s="600"/>
      <c r="V394" s="600"/>
      <c r="W394" s="600"/>
      <c r="X394" s="600"/>
      <c r="Y394" s="600"/>
      <c r="Z394" s="600"/>
      <c r="AA394" s="600"/>
      <c r="AB394" s="600"/>
      <c r="AC394" s="600"/>
      <c r="AD394" s="600"/>
      <c r="AF394" s="2529" t="s">
        <v>1451</v>
      </c>
      <c r="AG394" s="2529"/>
      <c r="AH394" s="2529"/>
      <c r="AI394" s="2529"/>
      <c r="AJ394" s="2529"/>
      <c r="AK394" s="2529"/>
      <c r="AL394" s="2530"/>
      <c r="AM394" s="717"/>
      <c r="BS394" s="30"/>
      <c r="BT394" s="30"/>
      <c r="BU394" s="14"/>
      <c r="BV394" s="14"/>
      <c r="BW394" s="14"/>
      <c r="BX394" s="14"/>
      <c r="BY394" s="14"/>
      <c r="BZ394" s="14"/>
      <c r="CA394" s="14"/>
      <c r="CB394" s="14"/>
      <c r="CC394" s="14"/>
    </row>
    <row r="395" spans="1:81" s="548" customFormat="1" ht="12.75" customHeight="1">
      <c r="A395" s="535"/>
      <c r="B395" s="14"/>
      <c r="C395" s="751"/>
      <c r="D395" s="718"/>
      <c r="E395" s="719"/>
      <c r="F395" s="720"/>
      <c r="G395" s="721"/>
      <c r="H395" s="721"/>
      <c r="I395" s="721"/>
      <c r="J395" s="721"/>
      <c r="K395" s="721"/>
      <c r="L395" s="721"/>
      <c r="M395" s="721"/>
      <c r="N395" s="721"/>
      <c r="O395" s="721"/>
      <c r="P395" s="721"/>
      <c r="Q395" s="721"/>
      <c r="R395" s="721"/>
      <c r="S395" s="721"/>
      <c r="T395" s="721"/>
      <c r="U395" s="721"/>
      <c r="V395" s="721"/>
      <c r="W395" s="721"/>
      <c r="X395" s="721"/>
      <c r="Y395" s="721"/>
      <c r="Z395" s="721"/>
      <c r="AA395" s="721"/>
      <c r="AB395" s="721"/>
      <c r="AC395" s="721"/>
      <c r="AD395" s="721"/>
      <c r="AE395" s="722"/>
      <c r="AF395" s="722"/>
      <c r="AG395" s="722"/>
      <c r="AH395" s="722"/>
      <c r="AI395" s="722"/>
      <c r="AJ395" s="722"/>
      <c r="AK395" s="722"/>
      <c r="AL395" s="752"/>
      <c r="AM395" s="724"/>
      <c r="AN395" s="594"/>
      <c r="CC395" s="14"/>
    </row>
    <row r="396" spans="1:81" s="548" customFormat="1" ht="12.75" customHeight="1">
      <c r="A396" s="535"/>
      <c r="B396" s="14"/>
      <c r="C396" s="725"/>
      <c r="D396" s="725"/>
      <c r="E396" s="714"/>
      <c r="F396" s="671"/>
      <c r="G396" s="671"/>
      <c r="H396" s="671"/>
      <c r="I396" s="671"/>
      <c r="J396" s="671"/>
      <c r="K396" s="671"/>
      <c r="L396" s="671"/>
      <c r="M396" s="671"/>
      <c r="N396" s="671"/>
      <c r="O396" s="671"/>
      <c r="P396" s="671"/>
      <c r="Q396" s="671"/>
      <c r="R396" s="671"/>
      <c r="S396" s="671"/>
      <c r="T396" s="671"/>
      <c r="U396" s="671"/>
      <c r="V396" s="671"/>
      <c r="W396" s="671"/>
      <c r="X396" s="671"/>
      <c r="Y396" s="671"/>
      <c r="Z396" s="671"/>
      <c r="AA396" s="671"/>
      <c r="AB396" s="671"/>
      <c r="AC396" s="671"/>
      <c r="AD396" s="671"/>
      <c r="AE396" s="588"/>
      <c r="AF396" s="588"/>
      <c r="AG396" s="588"/>
      <c r="AH396" s="588"/>
      <c r="AI396" s="588"/>
      <c r="AJ396" s="588"/>
      <c r="AK396" s="588"/>
      <c r="AL396" s="588"/>
      <c r="AM396" s="567"/>
      <c r="AN396" s="594"/>
      <c r="BS396" s="30"/>
      <c r="BT396" s="30"/>
      <c r="BU396" s="14"/>
      <c r="BV396" s="14"/>
      <c r="BW396" s="14"/>
      <c r="BX396" s="14"/>
      <c r="BY396" s="14"/>
      <c r="BZ396" s="14"/>
      <c r="CA396" s="14"/>
      <c r="CB396" s="14"/>
      <c r="CC396" s="14"/>
    </row>
    <row r="397" spans="1:81" s="548" customFormat="1" ht="12.75" customHeight="1">
      <c r="A397" s="535"/>
      <c r="B397" s="14"/>
      <c r="C397" s="708"/>
      <c r="D397" s="709"/>
      <c r="E397" s="710" t="s">
        <v>1309</v>
      </c>
      <c r="F397" s="2531" t="s">
        <v>1452</v>
      </c>
      <c r="G397" s="2531"/>
      <c r="H397" s="2531"/>
      <c r="I397" s="2531"/>
      <c r="J397" s="2531"/>
      <c r="K397" s="2531"/>
      <c r="L397" s="2531"/>
      <c r="M397" s="2531"/>
      <c r="N397" s="2531"/>
      <c r="O397" s="2531"/>
      <c r="P397" s="2531"/>
      <c r="Q397" s="2531"/>
      <c r="R397" s="2531"/>
      <c r="S397" s="2531"/>
      <c r="T397" s="2531"/>
      <c r="U397" s="2531"/>
      <c r="V397" s="2531"/>
      <c r="W397" s="2531"/>
      <c r="X397" s="2531"/>
      <c r="Y397" s="2531"/>
      <c r="Z397" s="2531"/>
      <c r="AA397" s="2531"/>
      <c r="AB397" s="2531"/>
      <c r="AC397" s="2531"/>
      <c r="AD397" s="2531"/>
      <c r="AE397" s="2531"/>
      <c r="AF397" s="2531"/>
      <c r="AG397" s="711"/>
      <c r="AH397" s="711"/>
      <c r="AI397" s="711"/>
      <c r="AJ397" s="711"/>
      <c r="AK397" s="711"/>
      <c r="AL397" s="712"/>
      <c r="AM397" s="567"/>
      <c r="AN397" s="594"/>
      <c r="BS397" s="30"/>
      <c r="BT397" s="30"/>
      <c r="BU397" s="14"/>
      <c r="BV397" s="14"/>
      <c r="BW397" s="14"/>
      <c r="BX397" s="14"/>
      <c r="BY397" s="14"/>
      <c r="BZ397" s="14"/>
      <c r="CA397" s="14"/>
      <c r="CB397" s="14"/>
      <c r="CC397" s="14"/>
    </row>
    <row r="398" spans="1:81" s="548" customFormat="1" ht="12.75" customHeight="1">
      <c r="A398" s="535"/>
      <c r="B398" s="14"/>
      <c r="C398" s="726"/>
      <c r="D398" s="14"/>
      <c r="E398" s="686"/>
      <c r="F398" s="2404"/>
      <c r="G398" s="2404"/>
      <c r="H398" s="2404"/>
      <c r="I398" s="2404"/>
      <c r="J398" s="2404"/>
      <c r="K398" s="2404"/>
      <c r="L398" s="2404"/>
      <c r="M398" s="2404"/>
      <c r="N398" s="2404"/>
      <c r="O398" s="2404"/>
      <c r="P398" s="2404"/>
      <c r="Q398" s="2404"/>
      <c r="R398" s="2404"/>
      <c r="S398" s="2404"/>
      <c r="T398" s="2404"/>
      <c r="U398" s="2404"/>
      <c r="V398" s="2404"/>
      <c r="W398" s="2404"/>
      <c r="X398" s="2404"/>
      <c r="Y398" s="2404"/>
      <c r="Z398" s="2404"/>
      <c r="AA398" s="2404"/>
      <c r="AB398" s="2404"/>
      <c r="AC398" s="2404"/>
      <c r="AD398" s="2404"/>
      <c r="AE398" s="2404"/>
      <c r="AF398" s="2404"/>
      <c r="AG398" s="538"/>
      <c r="AH398" s="538"/>
      <c r="AI398" s="538"/>
      <c r="AJ398" s="538"/>
      <c r="AK398" s="538"/>
      <c r="AL398" s="715"/>
      <c r="AM398" s="567"/>
      <c r="AN398" s="594"/>
      <c r="BS398" s="30"/>
      <c r="BT398" s="30"/>
      <c r="BU398" s="14"/>
      <c r="BV398" s="14"/>
      <c r="BW398" s="14"/>
      <c r="BX398" s="14"/>
      <c r="BY398" s="14"/>
      <c r="BZ398" s="14"/>
      <c r="CA398" s="14"/>
      <c r="CB398" s="14"/>
      <c r="CC398" s="14"/>
    </row>
    <row r="399" spans="1:81" s="548" customFormat="1" ht="12.75" customHeight="1">
      <c r="A399" s="535"/>
      <c r="B399" s="14"/>
      <c r="C399" s="726"/>
      <c r="D399" s="14"/>
      <c r="E399" s="686"/>
      <c r="F399" s="2404"/>
      <c r="G399" s="2404"/>
      <c r="H399" s="2404"/>
      <c r="I399" s="2404"/>
      <c r="J399" s="2404"/>
      <c r="K399" s="2404"/>
      <c r="L399" s="2404"/>
      <c r="M399" s="2404"/>
      <c r="N399" s="2404"/>
      <c r="O399" s="2404"/>
      <c r="P399" s="2404"/>
      <c r="Q399" s="2404"/>
      <c r="R399" s="2404"/>
      <c r="S399" s="2404"/>
      <c r="T399" s="2404"/>
      <c r="U399" s="2404"/>
      <c r="V399" s="2404"/>
      <c r="W399" s="2404"/>
      <c r="X399" s="2404"/>
      <c r="Y399" s="2404"/>
      <c r="Z399" s="2404"/>
      <c r="AA399" s="2404"/>
      <c r="AB399" s="2404"/>
      <c r="AC399" s="2404"/>
      <c r="AD399" s="2404"/>
      <c r="AE399" s="2404"/>
      <c r="AF399" s="2404"/>
      <c r="AG399" s="538"/>
      <c r="AH399" s="538"/>
      <c r="AI399" s="538"/>
      <c r="AJ399" s="538"/>
      <c r="AK399" s="538"/>
      <c r="AL399" s="715"/>
      <c r="AM399" s="567"/>
      <c r="AN399" s="594"/>
      <c r="BS399" s="30"/>
      <c r="BT399" s="30"/>
      <c r="BU399" s="14"/>
      <c r="BV399" s="14"/>
      <c r="BW399" s="14"/>
      <c r="BX399" s="14"/>
      <c r="BY399" s="14"/>
      <c r="BZ399" s="14"/>
      <c r="CA399" s="14"/>
      <c r="CB399" s="14"/>
      <c r="CC399" s="14"/>
    </row>
    <row r="400" spans="1:81" s="548" customFormat="1" ht="12.75" customHeight="1">
      <c r="A400" s="535"/>
      <c r="B400" s="14"/>
      <c r="C400" s="726"/>
      <c r="D400" s="14"/>
      <c r="E400" s="686"/>
      <c r="F400" s="2404"/>
      <c r="G400" s="2404"/>
      <c r="H400" s="2404"/>
      <c r="I400" s="2404"/>
      <c r="J400" s="2404"/>
      <c r="K400" s="2404"/>
      <c r="L400" s="2404"/>
      <c r="M400" s="2404"/>
      <c r="N400" s="2404"/>
      <c r="O400" s="2404"/>
      <c r="P400" s="2404"/>
      <c r="Q400" s="2404"/>
      <c r="R400" s="2404"/>
      <c r="S400" s="2404"/>
      <c r="T400" s="2404"/>
      <c r="U400" s="2404"/>
      <c r="V400" s="2404"/>
      <c r="W400" s="2404"/>
      <c r="X400" s="2404"/>
      <c r="Y400" s="2404"/>
      <c r="Z400" s="2404"/>
      <c r="AA400" s="2404"/>
      <c r="AB400" s="2404"/>
      <c r="AC400" s="2404"/>
      <c r="AD400" s="2404"/>
      <c r="AE400" s="2404"/>
      <c r="AF400" s="2404"/>
      <c r="AG400" s="538"/>
      <c r="AH400" s="538"/>
      <c r="AI400" s="538"/>
      <c r="AJ400" s="538"/>
      <c r="AK400" s="538"/>
      <c r="AL400" s="715"/>
      <c r="AM400" s="567"/>
      <c r="AN400" s="594"/>
      <c r="BS400" s="30"/>
      <c r="BT400" s="30"/>
      <c r="BU400" s="14"/>
      <c r="BV400" s="14"/>
      <c r="BW400" s="14"/>
      <c r="BX400" s="14"/>
      <c r="BY400" s="14"/>
      <c r="BZ400" s="14"/>
      <c r="CA400" s="14"/>
      <c r="CB400" s="14"/>
      <c r="CC400" s="14"/>
    </row>
    <row r="401" spans="1:81" s="548" customFormat="1" ht="12.75" customHeight="1">
      <c r="A401" s="535"/>
      <c r="B401" s="14"/>
      <c r="C401" s="726"/>
      <c r="D401" s="14"/>
      <c r="E401" s="686"/>
      <c r="F401" s="2404"/>
      <c r="G401" s="2404"/>
      <c r="H401" s="2404"/>
      <c r="I401" s="2404"/>
      <c r="J401" s="2404"/>
      <c r="K401" s="2404"/>
      <c r="L401" s="2404"/>
      <c r="M401" s="2404"/>
      <c r="N401" s="2404"/>
      <c r="O401" s="2404"/>
      <c r="P401" s="2404"/>
      <c r="Q401" s="2404"/>
      <c r="R401" s="2404"/>
      <c r="S401" s="2404"/>
      <c r="T401" s="2404"/>
      <c r="U401" s="2404"/>
      <c r="V401" s="2404"/>
      <c r="W401" s="2404"/>
      <c r="X401" s="2404"/>
      <c r="Y401" s="2404"/>
      <c r="Z401" s="2404"/>
      <c r="AA401" s="2404"/>
      <c r="AB401" s="2404"/>
      <c r="AC401" s="2404"/>
      <c r="AD401" s="2404"/>
      <c r="AE401" s="2404"/>
      <c r="AF401" s="2404"/>
      <c r="AL401" s="727"/>
      <c r="AN401" s="594"/>
      <c r="BS401" s="30"/>
      <c r="BT401" s="30"/>
      <c r="BU401" s="14"/>
      <c r="BV401" s="14"/>
      <c r="BW401" s="14"/>
      <c r="BX401" s="14"/>
      <c r="BY401" s="14"/>
      <c r="BZ401" s="14"/>
      <c r="CA401" s="14"/>
      <c r="CB401" s="14"/>
      <c r="CC401" s="14"/>
    </row>
    <row r="402" spans="1:81" s="548" customFormat="1" ht="12.75" customHeight="1">
      <c r="A402" s="535"/>
      <c r="B402" s="14"/>
      <c r="C402" s="2528" t="s">
        <v>589</v>
      </c>
      <c r="D402" s="2488"/>
      <c r="E402" s="686"/>
      <c r="F402" s="716" t="s">
        <v>1453</v>
      </c>
      <c r="G402" s="600"/>
      <c r="H402" s="600"/>
      <c r="I402" s="600"/>
      <c r="J402" s="600"/>
      <c r="K402" s="600"/>
      <c r="L402" s="600"/>
      <c r="M402" s="600"/>
      <c r="N402" s="600"/>
      <c r="O402" s="600"/>
      <c r="P402" s="600"/>
      <c r="Q402" s="600"/>
      <c r="R402" s="600"/>
      <c r="S402" s="600"/>
      <c r="T402" s="600"/>
      <c r="U402" s="600"/>
      <c r="V402" s="600"/>
      <c r="W402" s="600"/>
      <c r="X402" s="600"/>
      <c r="Y402" s="600"/>
      <c r="Z402" s="600"/>
      <c r="AA402" s="600"/>
      <c r="AB402" s="600"/>
      <c r="AC402" s="600"/>
      <c r="AD402" s="600"/>
      <c r="AF402" s="2529" t="s">
        <v>1451</v>
      </c>
      <c r="AG402" s="2529"/>
      <c r="AH402" s="2529"/>
      <c r="AI402" s="2529"/>
      <c r="AJ402" s="2529"/>
      <c r="AK402" s="2529"/>
      <c r="AL402" s="2530"/>
      <c r="AM402" s="724"/>
      <c r="AN402" s="594"/>
      <c r="BS402" s="30"/>
      <c r="BT402" s="30"/>
      <c r="BU402" s="14"/>
      <c r="BV402" s="14"/>
      <c r="BW402" s="14"/>
      <c r="BX402" s="14"/>
      <c r="BY402" s="14"/>
      <c r="BZ402" s="14"/>
      <c r="CA402" s="14"/>
      <c r="CB402" s="14"/>
      <c r="CC402" s="14"/>
    </row>
    <row r="403" spans="1:81" s="548" customFormat="1" ht="12.75" customHeight="1">
      <c r="A403" s="535"/>
      <c r="B403" s="14"/>
      <c r="C403" s="735"/>
      <c r="D403" s="728"/>
      <c r="E403" s="729"/>
      <c r="F403" s="730"/>
      <c r="G403" s="731"/>
      <c r="H403" s="731"/>
      <c r="I403" s="731"/>
      <c r="J403" s="731"/>
      <c r="K403" s="731"/>
      <c r="L403" s="731"/>
      <c r="M403" s="731"/>
      <c r="N403" s="731"/>
      <c r="O403" s="731"/>
      <c r="P403" s="731"/>
      <c r="Q403" s="731"/>
      <c r="R403" s="731"/>
      <c r="S403" s="731"/>
      <c r="T403" s="731"/>
      <c r="U403" s="731"/>
      <c r="V403" s="731"/>
      <c r="W403" s="731"/>
      <c r="X403" s="731"/>
      <c r="Y403" s="731"/>
      <c r="Z403" s="731"/>
      <c r="AA403" s="731"/>
      <c r="AB403" s="731"/>
      <c r="AC403" s="731"/>
      <c r="AD403" s="731"/>
      <c r="AE403" s="732"/>
      <c r="AF403" s="580"/>
      <c r="AG403" s="732"/>
      <c r="AH403" s="722"/>
      <c r="AI403" s="722"/>
      <c r="AJ403" s="722"/>
      <c r="AK403" s="722"/>
      <c r="AL403" s="737"/>
      <c r="AM403" s="724"/>
      <c r="AN403" s="594"/>
      <c r="BS403" s="30"/>
      <c r="BT403" s="30"/>
      <c r="BU403" s="14"/>
      <c r="BV403" s="14"/>
      <c r="BW403" s="14"/>
      <c r="BX403" s="14"/>
      <c r="BY403" s="14"/>
      <c r="BZ403" s="14"/>
      <c r="CA403" s="14"/>
      <c r="CB403" s="14"/>
      <c r="CC403" s="14"/>
    </row>
    <row r="404" spans="1:81" s="548" customFormat="1" ht="12.75" customHeight="1">
      <c r="A404" s="535"/>
      <c r="B404" s="14"/>
      <c r="C404" s="14"/>
      <c r="D404" s="14"/>
      <c r="E404" s="686"/>
      <c r="F404" s="671"/>
      <c r="G404" s="671"/>
      <c r="H404" s="671"/>
      <c r="I404" s="671"/>
      <c r="J404" s="671"/>
      <c r="K404" s="671"/>
      <c r="L404" s="671"/>
      <c r="M404" s="671"/>
      <c r="N404" s="671"/>
      <c r="O404" s="671"/>
      <c r="P404" s="671"/>
      <c r="Q404" s="671"/>
      <c r="R404" s="671"/>
      <c r="S404" s="671"/>
      <c r="T404" s="671"/>
      <c r="U404" s="671"/>
      <c r="V404" s="671"/>
      <c r="W404" s="671"/>
      <c r="X404" s="671"/>
      <c r="Y404" s="671"/>
      <c r="Z404" s="671"/>
      <c r="AA404" s="671"/>
      <c r="AB404" s="671"/>
      <c r="AC404" s="671"/>
      <c r="AD404" s="671"/>
      <c r="AE404" s="535"/>
      <c r="AF404" s="538"/>
      <c r="AG404" s="535"/>
      <c r="AM404" s="567"/>
      <c r="AN404" s="594"/>
      <c r="BS404" s="30"/>
      <c r="BT404" s="30"/>
      <c r="BU404" s="14"/>
      <c r="BV404" s="14"/>
      <c r="BW404" s="14"/>
      <c r="BX404" s="14"/>
      <c r="BY404" s="14"/>
      <c r="BZ404" s="14"/>
      <c r="CA404" s="14"/>
      <c r="CB404" s="14"/>
      <c r="CC404" s="14"/>
    </row>
    <row r="405" spans="1:81" s="548" customFormat="1" ht="12.75" customHeight="1">
      <c r="A405" s="535"/>
      <c r="B405" s="14"/>
      <c r="C405" s="708"/>
      <c r="D405" s="709"/>
      <c r="E405" s="710" t="s">
        <v>1312</v>
      </c>
      <c r="F405" s="2531" t="s">
        <v>1454</v>
      </c>
      <c r="G405" s="2531"/>
      <c r="H405" s="2531"/>
      <c r="I405" s="2531"/>
      <c r="J405" s="2531"/>
      <c r="K405" s="2531"/>
      <c r="L405" s="2531"/>
      <c r="M405" s="2531"/>
      <c r="N405" s="2531"/>
      <c r="O405" s="2531"/>
      <c r="P405" s="2531"/>
      <c r="Q405" s="2531"/>
      <c r="R405" s="2531"/>
      <c r="S405" s="2531"/>
      <c r="T405" s="2531"/>
      <c r="U405" s="2531"/>
      <c r="V405" s="2531"/>
      <c r="W405" s="2531"/>
      <c r="X405" s="2531"/>
      <c r="Y405" s="2531"/>
      <c r="Z405" s="2531"/>
      <c r="AA405" s="2531"/>
      <c r="AB405" s="2531"/>
      <c r="AC405" s="2531"/>
      <c r="AD405" s="2531"/>
      <c r="AE405" s="2531"/>
      <c r="AF405" s="2531"/>
      <c r="AG405" s="711"/>
      <c r="AH405" s="711"/>
      <c r="AI405" s="711"/>
      <c r="AJ405" s="711"/>
      <c r="AK405" s="711"/>
      <c r="AL405" s="712"/>
      <c r="AM405" s="567"/>
      <c r="AN405" s="594"/>
      <c r="BS405" s="567"/>
      <c r="BT405" s="567"/>
      <c r="BU405" s="567"/>
      <c r="BV405" s="567"/>
      <c r="BW405" s="567"/>
      <c r="BX405" s="567"/>
      <c r="BY405" s="567"/>
      <c r="BZ405" s="567"/>
      <c r="CA405" s="567"/>
      <c r="CB405" s="567"/>
      <c r="CC405" s="567"/>
    </row>
    <row r="406" spans="1:81" s="548" customFormat="1" ht="12.75" customHeight="1">
      <c r="A406" s="535"/>
      <c r="B406" s="14"/>
      <c r="C406" s="726"/>
      <c r="D406" s="14"/>
      <c r="E406" s="686"/>
      <c r="F406" s="2404"/>
      <c r="G406" s="2404"/>
      <c r="H406" s="2404"/>
      <c r="I406" s="2404"/>
      <c r="J406" s="2404"/>
      <c r="K406" s="2404"/>
      <c r="L406" s="2404"/>
      <c r="M406" s="2404"/>
      <c r="N406" s="2404"/>
      <c r="O406" s="2404"/>
      <c r="P406" s="2404"/>
      <c r="Q406" s="2404"/>
      <c r="R406" s="2404"/>
      <c r="S406" s="2404"/>
      <c r="T406" s="2404"/>
      <c r="U406" s="2404"/>
      <c r="V406" s="2404"/>
      <c r="W406" s="2404"/>
      <c r="X406" s="2404"/>
      <c r="Y406" s="2404"/>
      <c r="Z406" s="2404"/>
      <c r="AA406" s="2404"/>
      <c r="AB406" s="2404"/>
      <c r="AC406" s="2404"/>
      <c r="AD406" s="2404"/>
      <c r="AE406" s="2404"/>
      <c r="AF406" s="2404"/>
      <c r="AG406" s="538"/>
      <c r="AH406" s="538"/>
      <c r="AI406" s="538"/>
      <c r="AJ406" s="538"/>
      <c r="AK406" s="538"/>
      <c r="AL406" s="715"/>
      <c r="AM406" s="567"/>
      <c r="AN406" s="594"/>
      <c r="BS406" s="567"/>
      <c r="BT406" s="567"/>
      <c r="BU406" s="567"/>
      <c r="BV406" s="567"/>
      <c r="BW406" s="567"/>
      <c r="BX406" s="567"/>
      <c r="BY406" s="567"/>
      <c r="BZ406" s="567"/>
      <c r="CA406" s="567"/>
      <c r="CB406" s="567"/>
      <c r="CC406" s="567"/>
    </row>
    <row r="407" spans="1:81" s="548" customFormat="1" ht="12.75" customHeight="1">
      <c r="A407" s="535"/>
      <c r="B407" s="14"/>
      <c r="C407" s="726"/>
      <c r="D407" s="14"/>
      <c r="E407" s="686"/>
      <c r="F407" s="2404"/>
      <c r="G407" s="2404"/>
      <c r="H407" s="2404"/>
      <c r="I407" s="2404"/>
      <c r="J407" s="2404"/>
      <c r="K407" s="2404"/>
      <c r="L407" s="2404"/>
      <c r="M407" s="2404"/>
      <c r="N407" s="2404"/>
      <c r="O407" s="2404"/>
      <c r="P407" s="2404"/>
      <c r="Q407" s="2404"/>
      <c r="R407" s="2404"/>
      <c r="S407" s="2404"/>
      <c r="T407" s="2404"/>
      <c r="U407" s="2404"/>
      <c r="V407" s="2404"/>
      <c r="W407" s="2404"/>
      <c r="X407" s="2404"/>
      <c r="Y407" s="2404"/>
      <c r="Z407" s="2404"/>
      <c r="AA407" s="2404"/>
      <c r="AB407" s="2404"/>
      <c r="AC407" s="2404"/>
      <c r="AD407" s="2404"/>
      <c r="AE407" s="2404"/>
      <c r="AF407" s="2404"/>
      <c r="AG407" s="538"/>
      <c r="AH407" s="538"/>
      <c r="AI407" s="538"/>
      <c r="AJ407" s="538"/>
      <c r="AK407" s="538"/>
      <c r="AL407" s="715"/>
      <c r="AM407" s="567"/>
      <c r="AN407" s="594"/>
      <c r="BS407" s="567"/>
      <c r="BT407" s="567"/>
      <c r="BU407" s="567"/>
      <c r="BV407" s="567"/>
      <c r="BW407" s="567"/>
      <c r="BX407" s="567"/>
      <c r="BY407" s="567"/>
      <c r="BZ407" s="567"/>
      <c r="CA407" s="567"/>
      <c r="CB407" s="567"/>
      <c r="CC407" s="567"/>
    </row>
    <row r="408" spans="1:81" s="548" customFormat="1" ht="12.75" customHeight="1">
      <c r="A408" s="535"/>
      <c r="B408" s="14"/>
      <c r="C408" s="726"/>
      <c r="D408" s="14"/>
      <c r="E408" s="686"/>
      <c r="F408" s="2404"/>
      <c r="G408" s="2404"/>
      <c r="H408" s="2404"/>
      <c r="I408" s="2404"/>
      <c r="J408" s="2404"/>
      <c r="K408" s="2404"/>
      <c r="L408" s="2404"/>
      <c r="M408" s="2404"/>
      <c r="N408" s="2404"/>
      <c r="O408" s="2404"/>
      <c r="P408" s="2404"/>
      <c r="Q408" s="2404"/>
      <c r="R408" s="2404"/>
      <c r="S408" s="2404"/>
      <c r="T408" s="2404"/>
      <c r="U408" s="2404"/>
      <c r="V408" s="2404"/>
      <c r="W408" s="2404"/>
      <c r="X408" s="2404"/>
      <c r="Y408" s="2404"/>
      <c r="Z408" s="2404"/>
      <c r="AA408" s="2404"/>
      <c r="AB408" s="2404"/>
      <c r="AC408" s="2404"/>
      <c r="AD408" s="2404"/>
      <c r="AE408" s="2404"/>
      <c r="AF408" s="2404"/>
      <c r="AG408" s="538"/>
      <c r="AH408" s="538"/>
      <c r="AI408" s="538"/>
      <c r="AJ408" s="538"/>
      <c r="AK408" s="538"/>
      <c r="AL408" s="715"/>
      <c r="AM408" s="567"/>
      <c r="AN408" s="594"/>
      <c r="BS408" s="567"/>
      <c r="BT408" s="567"/>
      <c r="BU408" s="567"/>
      <c r="BV408" s="567"/>
      <c r="BW408" s="567"/>
      <c r="BX408" s="567"/>
      <c r="BY408" s="567"/>
      <c r="BZ408" s="567"/>
      <c r="CA408" s="567"/>
      <c r="CB408" s="567"/>
      <c r="CC408" s="567"/>
    </row>
    <row r="409" spans="1:81" s="548" customFormat="1" ht="12.75" customHeight="1">
      <c r="A409" s="535"/>
      <c r="B409" s="14"/>
      <c r="C409" s="726"/>
      <c r="D409" s="14"/>
      <c r="E409" s="686"/>
      <c r="F409" s="2404"/>
      <c r="G409" s="2404"/>
      <c r="H409" s="2404"/>
      <c r="I409" s="2404"/>
      <c r="J409" s="2404"/>
      <c r="K409" s="2404"/>
      <c r="L409" s="2404"/>
      <c r="M409" s="2404"/>
      <c r="N409" s="2404"/>
      <c r="O409" s="2404"/>
      <c r="P409" s="2404"/>
      <c r="Q409" s="2404"/>
      <c r="R409" s="2404"/>
      <c r="S409" s="2404"/>
      <c r="T409" s="2404"/>
      <c r="U409" s="2404"/>
      <c r="V409" s="2404"/>
      <c r="W409" s="2404"/>
      <c r="X409" s="2404"/>
      <c r="Y409" s="2404"/>
      <c r="Z409" s="2404"/>
      <c r="AA409" s="2404"/>
      <c r="AB409" s="2404"/>
      <c r="AC409" s="2404"/>
      <c r="AD409" s="2404"/>
      <c r="AE409" s="2404"/>
      <c r="AF409" s="2404"/>
      <c r="AG409" s="538"/>
      <c r="AH409" s="538"/>
      <c r="AI409" s="538"/>
      <c r="AJ409" s="538"/>
      <c r="AK409" s="538"/>
      <c r="AL409" s="715"/>
      <c r="AM409" s="567"/>
      <c r="AN409" s="594"/>
      <c r="BS409" s="567"/>
      <c r="BT409" s="567"/>
      <c r="BU409" s="567"/>
      <c r="BV409" s="567"/>
      <c r="BW409" s="567"/>
      <c r="BX409" s="567"/>
      <c r="BY409" s="567"/>
      <c r="BZ409" s="567"/>
      <c r="CA409" s="567"/>
      <c r="CB409" s="567"/>
      <c r="CC409" s="567"/>
    </row>
    <row r="410" spans="1:81" s="548" customFormat="1" ht="12.75" customHeight="1">
      <c r="A410" s="535"/>
      <c r="B410" s="14"/>
      <c r="C410" s="2528" t="s">
        <v>589</v>
      </c>
      <c r="D410" s="2488"/>
      <c r="E410" s="686"/>
      <c r="F410" s="716" t="s">
        <v>1455</v>
      </c>
      <c r="G410" s="600"/>
      <c r="H410" s="600"/>
      <c r="I410" s="600"/>
      <c r="J410" s="600"/>
      <c r="K410" s="600"/>
      <c r="L410" s="600"/>
      <c r="M410" s="600"/>
      <c r="N410" s="600"/>
      <c r="O410" s="600"/>
      <c r="P410" s="600"/>
      <c r="Q410" s="600"/>
      <c r="R410" s="600"/>
      <c r="S410" s="600"/>
      <c r="T410" s="600"/>
      <c r="U410" s="600"/>
      <c r="V410" s="600"/>
      <c r="W410" s="600"/>
      <c r="X410" s="600"/>
      <c r="Y410" s="600"/>
      <c r="Z410" s="600"/>
      <c r="AA410" s="600"/>
      <c r="AB410" s="600"/>
      <c r="AC410" s="600"/>
      <c r="AD410" s="600"/>
      <c r="AF410" s="2529" t="s">
        <v>1456</v>
      </c>
      <c r="AG410" s="2529"/>
      <c r="AH410" s="2529"/>
      <c r="AI410" s="2529"/>
      <c r="AJ410" s="2529"/>
      <c r="AK410" s="2529"/>
      <c r="AL410" s="2530"/>
      <c r="AM410" s="717"/>
      <c r="BS410" s="567"/>
      <c r="BT410" s="567"/>
      <c r="BU410" s="567"/>
      <c r="BV410" s="567"/>
      <c r="BW410" s="567"/>
      <c r="BX410" s="567"/>
      <c r="BY410" s="567"/>
      <c r="BZ410" s="567"/>
      <c r="CA410" s="567"/>
      <c r="CB410" s="567"/>
      <c r="CC410" s="567"/>
    </row>
    <row r="411" spans="1:81" s="548" customFormat="1" ht="12.75" customHeight="1">
      <c r="A411" s="535"/>
      <c r="B411" s="14"/>
      <c r="C411" s="726"/>
      <c r="D411" s="14"/>
      <c r="E411" s="686"/>
      <c r="F411" s="570"/>
      <c r="G411" s="570"/>
      <c r="H411" s="570"/>
      <c r="I411" s="570"/>
      <c r="J411" s="570"/>
      <c r="K411" s="570"/>
      <c r="L411" s="570"/>
      <c r="M411" s="570"/>
      <c r="N411" s="570"/>
      <c r="O411" s="570"/>
      <c r="P411" s="570"/>
      <c r="Q411" s="570"/>
      <c r="R411" s="570"/>
      <c r="S411" s="570"/>
      <c r="T411" s="570"/>
      <c r="U411" s="570"/>
      <c r="V411" s="570"/>
      <c r="W411" s="570"/>
      <c r="X411" s="570"/>
      <c r="Y411" s="570"/>
      <c r="Z411" s="570"/>
      <c r="AA411" s="570"/>
      <c r="AB411" s="570"/>
      <c r="AC411" s="570"/>
      <c r="AD411" s="570"/>
      <c r="AL411" s="727"/>
      <c r="AM411" s="567"/>
      <c r="AN411" s="594"/>
      <c r="BS411" s="567"/>
      <c r="BT411" s="567"/>
      <c r="BU411" s="567"/>
      <c r="BV411" s="567"/>
      <c r="BW411" s="567"/>
      <c r="BX411" s="567"/>
      <c r="BY411" s="567"/>
      <c r="BZ411" s="567"/>
      <c r="CA411" s="567"/>
      <c r="CB411" s="567"/>
      <c r="CC411" s="567"/>
    </row>
    <row r="412" spans="1:81" s="548" customFormat="1" ht="12.75" customHeight="1">
      <c r="A412" s="535"/>
      <c r="B412" s="14"/>
      <c r="C412" s="2528" t="s">
        <v>543</v>
      </c>
      <c r="D412" s="2488"/>
      <c r="E412" s="686"/>
      <c r="F412" s="733" t="s">
        <v>1457</v>
      </c>
      <c r="G412" s="570"/>
      <c r="H412" s="570"/>
      <c r="I412" s="570"/>
      <c r="J412" s="570"/>
      <c r="K412" s="570"/>
      <c r="L412" s="570"/>
      <c r="M412" s="570"/>
      <c r="N412" s="570"/>
      <c r="O412" s="570"/>
      <c r="P412" s="570"/>
      <c r="Q412" s="570"/>
      <c r="R412" s="570"/>
      <c r="S412" s="570"/>
      <c r="T412" s="570"/>
      <c r="U412" s="570"/>
      <c r="V412" s="570"/>
      <c r="W412" s="570"/>
      <c r="X412" s="570"/>
      <c r="Y412" s="570"/>
      <c r="Z412" s="570"/>
      <c r="AA412" s="570"/>
      <c r="AB412" s="570"/>
      <c r="AC412" s="570"/>
      <c r="AD412" s="570"/>
      <c r="AF412" s="2529" t="s">
        <v>1451</v>
      </c>
      <c r="AG412" s="2529"/>
      <c r="AH412" s="2529"/>
      <c r="AI412" s="2529"/>
      <c r="AJ412" s="2529"/>
      <c r="AK412" s="2529"/>
      <c r="AL412" s="2530"/>
      <c r="AM412" s="567"/>
      <c r="AN412" s="594"/>
      <c r="BS412" s="567"/>
      <c r="BT412" s="567"/>
      <c r="BU412" s="567"/>
    </row>
    <row r="413" spans="1:81" s="548" customFormat="1" ht="12.75" customHeight="1">
      <c r="A413" s="535"/>
      <c r="B413" s="14"/>
      <c r="C413" s="734"/>
      <c r="E413" s="686"/>
      <c r="G413" s="570"/>
      <c r="H413" s="570"/>
      <c r="I413" s="570"/>
      <c r="J413" s="570"/>
      <c r="K413" s="570"/>
      <c r="L413" s="570"/>
      <c r="M413" s="570"/>
      <c r="N413" s="570"/>
      <c r="O413" s="570"/>
      <c r="P413" s="570"/>
      <c r="Q413" s="570"/>
      <c r="R413" s="570"/>
      <c r="S413" s="570"/>
      <c r="T413" s="570"/>
      <c r="U413" s="570"/>
      <c r="V413" s="570"/>
      <c r="W413" s="570"/>
      <c r="X413" s="570"/>
      <c r="Y413" s="570"/>
      <c r="Z413" s="570"/>
      <c r="AA413" s="570"/>
      <c r="AB413" s="570"/>
      <c r="AC413" s="570"/>
      <c r="AD413" s="570"/>
      <c r="AL413" s="727"/>
      <c r="AM413" s="567"/>
      <c r="AN413" s="594"/>
      <c r="BS413" s="567"/>
      <c r="BT413" s="567"/>
      <c r="BU413" s="567"/>
    </row>
    <row r="414" spans="1:81" s="548" customFormat="1" ht="12.75" customHeight="1">
      <c r="A414" s="535"/>
      <c r="B414" s="14"/>
      <c r="C414" s="735"/>
      <c r="D414" s="728"/>
      <c r="E414" s="729"/>
      <c r="F414" s="736" t="s">
        <v>1458</v>
      </c>
      <c r="G414" s="730"/>
      <c r="H414" s="730"/>
      <c r="I414" s="730"/>
      <c r="J414" s="730"/>
      <c r="K414" s="730"/>
      <c r="L414" s="730"/>
      <c r="M414" s="730"/>
      <c r="N414" s="730"/>
      <c r="O414" s="730"/>
      <c r="P414" s="730"/>
      <c r="Q414" s="730"/>
      <c r="R414" s="730"/>
      <c r="S414" s="730"/>
      <c r="T414" s="730"/>
      <c r="U414" s="730"/>
      <c r="V414" s="730"/>
      <c r="W414" s="730"/>
      <c r="X414" s="730"/>
      <c r="Y414" s="730"/>
      <c r="Z414" s="730"/>
      <c r="AA414" s="730"/>
      <c r="AB414" s="730"/>
      <c r="AC414" s="730"/>
      <c r="AD414" s="730"/>
      <c r="AE414" s="732"/>
      <c r="AF414" s="580"/>
      <c r="AG414" s="732"/>
      <c r="AH414" s="722"/>
      <c r="AI414" s="722"/>
      <c r="AJ414" s="722"/>
      <c r="AK414" s="722"/>
      <c r="AL414" s="737"/>
      <c r="AM414" s="567"/>
      <c r="AN414" s="594"/>
      <c r="BS414" s="567"/>
      <c r="BT414" s="567"/>
      <c r="BU414" s="567"/>
    </row>
    <row r="415" spans="1:81" s="548" customFormat="1" ht="12.75" customHeight="1">
      <c r="A415" s="535"/>
      <c r="B415" s="14"/>
      <c r="C415" s="14"/>
      <c r="D415" s="14"/>
      <c r="E415" s="686"/>
      <c r="F415" s="671"/>
      <c r="G415" s="671"/>
      <c r="H415" s="671"/>
      <c r="I415" s="671"/>
      <c r="J415" s="671"/>
      <c r="K415" s="671"/>
      <c r="L415" s="671"/>
      <c r="M415" s="671"/>
      <c r="N415" s="671"/>
      <c r="O415" s="671"/>
      <c r="P415" s="671"/>
      <c r="Q415" s="671"/>
      <c r="R415" s="671"/>
      <c r="S415" s="671"/>
      <c r="T415" s="671"/>
      <c r="U415" s="671"/>
      <c r="V415" s="671"/>
      <c r="W415" s="671"/>
      <c r="X415" s="671"/>
      <c r="Y415" s="671"/>
      <c r="Z415" s="671"/>
      <c r="AA415" s="671"/>
      <c r="AB415" s="671"/>
      <c r="AC415" s="671"/>
      <c r="AD415" s="671"/>
      <c r="AE415" s="535"/>
      <c r="AF415" s="538"/>
      <c r="AG415" s="535"/>
      <c r="AM415" s="567"/>
      <c r="AN415" s="594"/>
      <c r="BS415" s="567"/>
      <c r="BT415" s="567"/>
      <c r="BU415" s="567"/>
    </row>
    <row r="416" spans="1:81" s="548" customFormat="1" ht="12.75" customHeight="1">
      <c r="A416" s="535"/>
      <c r="B416" s="14"/>
      <c r="C416" s="708"/>
      <c r="D416" s="709"/>
      <c r="E416" s="710" t="s">
        <v>1459</v>
      </c>
      <c r="F416" s="2531" t="s">
        <v>1460</v>
      </c>
      <c r="G416" s="2531"/>
      <c r="H416" s="2531"/>
      <c r="I416" s="2531"/>
      <c r="J416" s="2531"/>
      <c r="K416" s="2531"/>
      <c r="L416" s="2531"/>
      <c r="M416" s="2531"/>
      <c r="N416" s="2531"/>
      <c r="O416" s="2531"/>
      <c r="P416" s="2531"/>
      <c r="Q416" s="2531"/>
      <c r="R416" s="2531"/>
      <c r="S416" s="2531"/>
      <c r="T416" s="2531"/>
      <c r="U416" s="2531"/>
      <c r="V416" s="2531"/>
      <c r="W416" s="2531"/>
      <c r="X416" s="2531"/>
      <c r="Y416" s="2531"/>
      <c r="Z416" s="2531"/>
      <c r="AA416" s="2531"/>
      <c r="AB416" s="2531"/>
      <c r="AC416" s="2531"/>
      <c r="AD416" s="2531"/>
      <c r="AE416" s="2531"/>
      <c r="AF416" s="2531"/>
      <c r="AG416" s="711"/>
      <c r="AH416" s="711"/>
      <c r="AI416" s="711"/>
      <c r="AJ416" s="711"/>
      <c r="AK416" s="711"/>
      <c r="AL416" s="712"/>
      <c r="AM416" s="567"/>
      <c r="AN416" s="594"/>
      <c r="BS416" s="567"/>
      <c r="BT416" s="567"/>
      <c r="BU416" s="567"/>
      <c r="BV416" s="567"/>
      <c r="BW416" s="567"/>
      <c r="BX416" s="567"/>
      <c r="BY416" s="567"/>
      <c r="BZ416" s="567"/>
      <c r="CA416" s="567"/>
      <c r="CB416" s="567"/>
      <c r="CC416" s="567"/>
    </row>
    <row r="417" spans="1:81" s="548" customFormat="1" ht="12.75" customHeight="1">
      <c r="A417" s="535"/>
      <c r="B417" s="14"/>
      <c r="C417" s="726"/>
      <c r="D417" s="14"/>
      <c r="E417" s="686"/>
      <c r="F417" s="2404"/>
      <c r="G417" s="2404"/>
      <c r="H417" s="2404"/>
      <c r="I417" s="2404"/>
      <c r="J417" s="2404"/>
      <c r="K417" s="2404"/>
      <c r="L417" s="2404"/>
      <c r="M417" s="2404"/>
      <c r="N417" s="2404"/>
      <c r="O417" s="2404"/>
      <c r="P417" s="2404"/>
      <c r="Q417" s="2404"/>
      <c r="R417" s="2404"/>
      <c r="S417" s="2404"/>
      <c r="T417" s="2404"/>
      <c r="U417" s="2404"/>
      <c r="V417" s="2404"/>
      <c r="W417" s="2404"/>
      <c r="X417" s="2404"/>
      <c r="Y417" s="2404"/>
      <c r="Z417" s="2404"/>
      <c r="AA417" s="2404"/>
      <c r="AB417" s="2404"/>
      <c r="AC417" s="2404"/>
      <c r="AD417" s="2404"/>
      <c r="AE417" s="2404"/>
      <c r="AF417" s="2404"/>
      <c r="AG417" s="538"/>
      <c r="AH417" s="538"/>
      <c r="AI417" s="538"/>
      <c r="AJ417" s="538"/>
      <c r="AK417" s="538"/>
      <c r="AL417" s="715"/>
      <c r="AM417" s="567"/>
      <c r="AN417" s="594"/>
      <c r="BS417" s="567"/>
      <c r="BT417" s="567"/>
      <c r="BU417" s="567"/>
      <c r="BV417" s="567"/>
      <c r="BW417" s="567"/>
      <c r="BX417" s="567"/>
      <c r="BY417" s="567"/>
      <c r="BZ417" s="567"/>
      <c r="CA417" s="567"/>
      <c r="CB417" s="567"/>
      <c r="CC417" s="567"/>
    </row>
    <row r="418" spans="1:81">
      <c r="A418" s="535"/>
      <c r="C418" s="726"/>
      <c r="E418" s="686"/>
      <c r="F418" s="2404"/>
      <c r="G418" s="2404"/>
      <c r="H418" s="2404"/>
      <c r="I418" s="2404"/>
      <c r="J418" s="2404"/>
      <c r="K418" s="2404"/>
      <c r="L418" s="2404"/>
      <c r="M418" s="2404"/>
      <c r="N418" s="2404"/>
      <c r="O418" s="2404"/>
      <c r="P418" s="2404"/>
      <c r="Q418" s="2404"/>
      <c r="R418" s="2404"/>
      <c r="S418" s="2404"/>
      <c r="T418" s="2404"/>
      <c r="U418" s="2404"/>
      <c r="V418" s="2404"/>
      <c r="W418" s="2404"/>
      <c r="X418" s="2404"/>
      <c r="Y418" s="2404"/>
      <c r="Z418" s="2404"/>
      <c r="AA418" s="2404"/>
      <c r="AB418" s="2404"/>
      <c r="AC418" s="2404"/>
      <c r="AD418" s="2404"/>
      <c r="AE418" s="2404"/>
      <c r="AF418" s="2404"/>
      <c r="AG418" s="538"/>
      <c r="AH418" s="538"/>
      <c r="AI418" s="538"/>
      <c r="AJ418" s="538"/>
      <c r="AK418" s="538"/>
      <c r="AL418" s="715"/>
      <c r="AM418" s="567"/>
      <c r="BS418" s="567"/>
      <c r="BT418" s="567"/>
      <c r="BU418" s="567"/>
      <c r="BV418" s="567"/>
      <c r="BW418" s="567"/>
      <c r="BX418" s="567"/>
      <c r="BY418" s="567"/>
      <c r="BZ418" s="567"/>
      <c r="CA418" s="567"/>
      <c r="CB418" s="567"/>
      <c r="CC418" s="567"/>
    </row>
    <row r="419" spans="1:81" s="548" customFormat="1" ht="12.75" customHeight="1">
      <c r="B419" s="14"/>
      <c r="C419" s="726"/>
      <c r="D419" s="14"/>
      <c r="E419" s="686"/>
      <c r="F419" s="2404"/>
      <c r="G419" s="2404"/>
      <c r="H419" s="2404"/>
      <c r="I419" s="2404"/>
      <c r="J419" s="2404"/>
      <c r="K419" s="2404"/>
      <c r="L419" s="2404"/>
      <c r="M419" s="2404"/>
      <c r="N419" s="2404"/>
      <c r="O419" s="2404"/>
      <c r="P419" s="2404"/>
      <c r="Q419" s="2404"/>
      <c r="R419" s="2404"/>
      <c r="S419" s="2404"/>
      <c r="T419" s="2404"/>
      <c r="U419" s="2404"/>
      <c r="V419" s="2404"/>
      <c r="W419" s="2404"/>
      <c r="X419" s="2404"/>
      <c r="Y419" s="2404"/>
      <c r="Z419" s="2404"/>
      <c r="AA419" s="2404"/>
      <c r="AB419" s="2404"/>
      <c r="AC419" s="2404"/>
      <c r="AD419" s="2404"/>
      <c r="AE419" s="2404"/>
      <c r="AF419" s="2404"/>
      <c r="AG419" s="538"/>
      <c r="AH419" s="538"/>
      <c r="AI419" s="538"/>
      <c r="AJ419" s="538"/>
      <c r="AK419" s="538"/>
      <c r="AL419" s="715"/>
      <c r="AM419" s="567"/>
      <c r="AN419" s="594"/>
      <c r="BS419" s="567"/>
      <c r="BT419" s="567"/>
      <c r="BY419" s="567"/>
      <c r="BZ419" s="567"/>
      <c r="CA419" s="567"/>
      <c r="CB419" s="567"/>
      <c r="CC419" s="567"/>
    </row>
    <row r="420" spans="1:81" s="548" customFormat="1" ht="12.75" customHeight="1">
      <c r="A420" s="535"/>
      <c r="B420" s="14"/>
      <c r="C420" s="2528" t="s">
        <v>589</v>
      </c>
      <c r="D420" s="2488"/>
      <c r="E420" s="686"/>
      <c r="F420" s="716" t="s">
        <v>1461</v>
      </c>
      <c r="G420" s="600"/>
      <c r="H420" s="600"/>
      <c r="I420" s="600"/>
      <c r="J420" s="600"/>
      <c r="K420" s="600"/>
      <c r="L420" s="600"/>
      <c r="M420" s="600"/>
      <c r="N420" s="600"/>
      <c r="O420" s="600"/>
      <c r="P420" s="600"/>
      <c r="Q420" s="600"/>
      <c r="R420" s="600"/>
      <c r="S420" s="600"/>
      <c r="T420" s="600"/>
      <c r="U420" s="600"/>
      <c r="V420" s="600"/>
      <c r="W420" s="600"/>
      <c r="X420" s="600"/>
      <c r="Y420" s="600"/>
      <c r="Z420" s="600"/>
      <c r="AA420" s="600"/>
      <c r="AB420" s="600"/>
      <c r="AC420" s="600"/>
      <c r="AD420" s="600"/>
      <c r="AF420" s="2529" t="s">
        <v>1451</v>
      </c>
      <c r="AG420" s="2529"/>
      <c r="AH420" s="2529"/>
      <c r="AI420" s="2529"/>
      <c r="AJ420" s="2529"/>
      <c r="AK420" s="2529"/>
      <c r="AL420" s="2530"/>
      <c r="AM420" s="567"/>
      <c r="AN420" s="594"/>
      <c r="BS420" s="567"/>
      <c r="BT420" s="567"/>
      <c r="BY420" s="567"/>
      <c r="BZ420" s="567"/>
      <c r="CA420" s="567"/>
      <c r="CB420" s="567"/>
      <c r="CC420" s="567"/>
    </row>
    <row r="421" spans="1:81" s="548" customFormat="1" ht="12.75" customHeight="1">
      <c r="A421" s="535"/>
      <c r="B421" s="14"/>
      <c r="C421" s="726"/>
      <c r="D421" s="14"/>
      <c r="E421" s="686"/>
      <c r="G421" s="600"/>
      <c r="H421" s="600"/>
      <c r="I421" s="600"/>
      <c r="J421" s="600"/>
      <c r="K421" s="600"/>
      <c r="L421" s="600"/>
      <c r="M421" s="600"/>
      <c r="N421" s="600"/>
      <c r="O421" s="600"/>
      <c r="P421" s="600"/>
      <c r="Q421" s="600"/>
      <c r="R421" s="600"/>
      <c r="S421" s="600"/>
      <c r="T421" s="600"/>
      <c r="U421" s="600"/>
      <c r="V421" s="600"/>
      <c r="W421" s="600"/>
      <c r="X421" s="600"/>
      <c r="Y421" s="600"/>
      <c r="Z421" s="600"/>
      <c r="AA421" s="600"/>
      <c r="AB421" s="600"/>
      <c r="AC421" s="600"/>
      <c r="AD421" s="600"/>
      <c r="AL421" s="727"/>
      <c r="AM421" s="567"/>
      <c r="AN421" s="594"/>
      <c r="BS421" s="567"/>
      <c r="BT421" s="567"/>
      <c r="BY421" s="567"/>
      <c r="BZ421" s="567"/>
      <c r="CA421" s="567"/>
      <c r="CB421" s="567"/>
      <c r="CC421" s="567"/>
    </row>
    <row r="422" spans="1:81" s="548" customFormat="1" ht="12.75" customHeight="1">
      <c r="A422" s="535"/>
      <c r="B422" s="14"/>
      <c r="C422" s="2528" t="s">
        <v>589</v>
      </c>
      <c r="D422" s="2488"/>
      <c r="E422" s="714"/>
      <c r="F422" s="716" t="s">
        <v>1462</v>
      </c>
      <c r="G422" s="600"/>
      <c r="H422" s="600"/>
      <c r="I422" s="600"/>
      <c r="J422" s="600"/>
      <c r="K422" s="600"/>
      <c r="L422" s="600"/>
      <c r="M422" s="600"/>
      <c r="N422" s="600"/>
      <c r="O422" s="600"/>
      <c r="P422" s="600"/>
      <c r="Q422" s="600"/>
      <c r="R422" s="600"/>
      <c r="S422" s="600"/>
      <c r="T422" s="600"/>
      <c r="U422" s="600"/>
      <c r="V422" s="600"/>
      <c r="W422" s="600"/>
      <c r="X422" s="600"/>
      <c r="Y422" s="600"/>
      <c r="Z422" s="600"/>
      <c r="AA422" s="600"/>
      <c r="AB422" s="600"/>
      <c r="AC422" s="600"/>
      <c r="AD422" s="600"/>
      <c r="AF422" s="2529" t="s">
        <v>1463</v>
      </c>
      <c r="AG422" s="2529"/>
      <c r="AH422" s="2529"/>
      <c r="AI422" s="2529"/>
      <c r="AJ422" s="2529"/>
      <c r="AK422" s="2529"/>
      <c r="AL422" s="2530"/>
      <c r="AM422" s="567"/>
      <c r="AN422" s="594"/>
      <c r="BS422" s="567"/>
      <c r="BT422" s="567"/>
      <c r="BY422" s="567"/>
      <c r="BZ422" s="567"/>
      <c r="CA422" s="567"/>
      <c r="CB422" s="567"/>
      <c r="CC422" s="567"/>
    </row>
    <row r="423" spans="1:81" s="548" customFormat="1" ht="12.75" customHeight="1">
      <c r="A423" s="535"/>
      <c r="B423" s="14"/>
      <c r="C423" s="738"/>
      <c r="D423" s="722"/>
      <c r="E423" s="719"/>
      <c r="F423" s="722"/>
      <c r="G423" s="721"/>
      <c r="H423" s="721"/>
      <c r="I423" s="721"/>
      <c r="J423" s="721"/>
      <c r="K423" s="721"/>
      <c r="L423" s="721"/>
      <c r="M423" s="721"/>
      <c r="N423" s="721"/>
      <c r="O423" s="721"/>
      <c r="P423" s="721"/>
      <c r="Q423" s="721"/>
      <c r="R423" s="721"/>
      <c r="S423" s="721"/>
      <c r="T423" s="721"/>
      <c r="U423" s="721"/>
      <c r="V423" s="721"/>
      <c r="W423" s="721"/>
      <c r="X423" s="721"/>
      <c r="Y423" s="721"/>
      <c r="Z423" s="721"/>
      <c r="AA423" s="721"/>
      <c r="AB423" s="721"/>
      <c r="AC423" s="721"/>
      <c r="AD423" s="721"/>
      <c r="AE423" s="722"/>
      <c r="AF423" s="722"/>
      <c r="AG423" s="722"/>
      <c r="AH423" s="722"/>
      <c r="AI423" s="722"/>
      <c r="AJ423" s="722"/>
      <c r="AK423" s="722"/>
      <c r="AL423" s="737"/>
      <c r="AM423" s="567"/>
      <c r="AN423" s="594"/>
      <c r="BS423" s="567"/>
      <c r="BT423" s="567"/>
      <c r="BY423" s="567"/>
      <c r="BZ423" s="567"/>
      <c r="CA423" s="567"/>
      <c r="CB423" s="567"/>
      <c r="CC423" s="567"/>
    </row>
    <row r="424" spans="1:81" s="548" customFormat="1" ht="12.75" customHeight="1">
      <c r="A424" s="535"/>
      <c r="B424" s="14"/>
      <c r="C424" s="14"/>
      <c r="D424" s="14"/>
      <c r="E424" s="686"/>
      <c r="G424" s="600"/>
      <c r="H424" s="600"/>
      <c r="I424" s="600"/>
      <c r="J424" s="600"/>
      <c r="K424" s="600"/>
      <c r="L424" s="600"/>
      <c r="M424" s="600"/>
      <c r="N424" s="600"/>
      <c r="O424" s="600"/>
      <c r="P424" s="600"/>
      <c r="Q424" s="600"/>
      <c r="R424" s="600"/>
      <c r="S424" s="600"/>
      <c r="T424" s="600"/>
      <c r="U424" s="600"/>
      <c r="V424" s="600"/>
      <c r="W424" s="600"/>
      <c r="X424" s="600"/>
      <c r="Y424" s="600"/>
      <c r="Z424" s="600"/>
      <c r="AA424" s="600"/>
      <c r="AB424" s="600"/>
      <c r="AC424" s="600"/>
      <c r="AD424" s="600"/>
      <c r="AE424" s="535"/>
      <c r="AF424" s="538"/>
      <c r="AG424" s="535"/>
      <c r="AM424" s="567"/>
      <c r="AN424" s="594"/>
      <c r="BS424" s="567"/>
      <c r="BT424" s="567"/>
      <c r="BY424" s="567"/>
      <c r="BZ424" s="567"/>
      <c r="CA424" s="567"/>
      <c r="CB424" s="567"/>
      <c r="CC424" s="567"/>
    </row>
    <row r="425" spans="1:81" s="548" customFormat="1" ht="12.75" customHeight="1">
      <c r="A425" s="535"/>
      <c r="B425" s="14"/>
      <c r="C425" s="2528" t="s">
        <v>589</v>
      </c>
      <c r="D425" s="2488"/>
      <c r="E425" s="710" t="s">
        <v>1464</v>
      </c>
      <c r="F425" s="2531" t="s">
        <v>1465</v>
      </c>
      <c r="G425" s="2531"/>
      <c r="H425" s="2531"/>
      <c r="I425" s="2531"/>
      <c r="J425" s="2531"/>
      <c r="K425" s="2531"/>
      <c r="L425" s="2531"/>
      <c r="M425" s="2531"/>
      <c r="N425" s="2531"/>
      <c r="O425" s="2531"/>
      <c r="P425" s="2531"/>
      <c r="Q425" s="2531"/>
      <c r="R425" s="2531"/>
      <c r="S425" s="2531"/>
      <c r="T425" s="2531"/>
      <c r="U425" s="2531"/>
      <c r="V425" s="2531"/>
      <c r="W425" s="2531"/>
      <c r="X425" s="2531"/>
      <c r="Y425" s="2531"/>
      <c r="Z425" s="2531"/>
      <c r="AA425" s="2531"/>
      <c r="AB425" s="2531"/>
      <c r="AC425" s="2531"/>
      <c r="AD425" s="2531"/>
      <c r="AE425" s="2531"/>
      <c r="AF425" s="711"/>
      <c r="AG425" s="739"/>
      <c r="AH425" s="709"/>
      <c r="AI425" s="709"/>
      <c r="AJ425" s="709"/>
      <c r="AK425" s="709"/>
      <c r="AL425" s="740"/>
      <c r="AM425" s="567"/>
      <c r="AN425" s="594"/>
      <c r="BS425" s="567"/>
      <c r="BT425" s="567"/>
      <c r="BY425" s="567"/>
      <c r="BZ425" s="567"/>
      <c r="CA425" s="567"/>
      <c r="CB425" s="567"/>
      <c r="CC425" s="567"/>
    </row>
    <row r="426" spans="1:81" s="548" customFormat="1" ht="12.75" customHeight="1">
      <c r="A426" s="535"/>
      <c r="B426" s="14"/>
      <c r="C426" s="734"/>
      <c r="F426" s="2404"/>
      <c r="G426" s="2404"/>
      <c r="H426" s="2404"/>
      <c r="I426" s="2404"/>
      <c r="J426" s="2404"/>
      <c r="K426" s="2404"/>
      <c r="L426" s="2404"/>
      <c r="M426" s="2404"/>
      <c r="N426" s="2404"/>
      <c r="O426" s="2404"/>
      <c r="P426" s="2404"/>
      <c r="Q426" s="2404"/>
      <c r="R426" s="2404"/>
      <c r="S426" s="2404"/>
      <c r="T426" s="2404"/>
      <c r="U426" s="2404"/>
      <c r="V426" s="2404"/>
      <c r="W426" s="2404"/>
      <c r="X426" s="2404"/>
      <c r="Y426" s="2404"/>
      <c r="Z426" s="2404"/>
      <c r="AA426" s="2404"/>
      <c r="AB426" s="2404"/>
      <c r="AC426" s="2404"/>
      <c r="AD426" s="2404"/>
      <c r="AE426" s="2404"/>
      <c r="AF426" s="2466" t="s">
        <v>1451</v>
      </c>
      <c r="AG426" s="2466"/>
      <c r="AH426" s="2466"/>
      <c r="AI426" s="2466"/>
      <c r="AJ426" s="2466"/>
      <c r="AK426" s="2466"/>
      <c r="AL426" s="2532"/>
      <c r="AM426" s="567"/>
      <c r="AN426" s="594"/>
      <c r="BS426" s="567"/>
      <c r="BT426" s="567"/>
      <c r="BY426" s="567"/>
      <c r="BZ426" s="567"/>
      <c r="CA426" s="567"/>
      <c r="CB426" s="567"/>
      <c r="CC426" s="567"/>
    </row>
    <row r="427" spans="1:81" s="548" customFormat="1" ht="12.75" customHeight="1">
      <c r="A427" s="535"/>
      <c r="B427" s="14"/>
      <c r="C427" s="726"/>
      <c r="D427" s="14"/>
      <c r="E427" s="686"/>
      <c r="F427" s="2404"/>
      <c r="G427" s="2404"/>
      <c r="H427" s="2404"/>
      <c r="I427" s="2404"/>
      <c r="J427" s="2404"/>
      <c r="K427" s="2404"/>
      <c r="L427" s="2404"/>
      <c r="M427" s="2404"/>
      <c r="N427" s="2404"/>
      <c r="O427" s="2404"/>
      <c r="P427" s="2404"/>
      <c r="Q427" s="2404"/>
      <c r="R427" s="2404"/>
      <c r="S427" s="2404"/>
      <c r="T427" s="2404"/>
      <c r="U427" s="2404"/>
      <c r="V427" s="2404"/>
      <c r="W427" s="2404"/>
      <c r="X427" s="2404"/>
      <c r="Y427" s="2404"/>
      <c r="Z427" s="2404"/>
      <c r="AA427" s="2404"/>
      <c r="AB427" s="2404"/>
      <c r="AC427" s="2404"/>
      <c r="AD427" s="2404"/>
      <c r="AE427" s="2404"/>
      <c r="AL427" s="727"/>
      <c r="AM427" s="567"/>
      <c r="AN427" s="594"/>
      <c r="BS427" s="567"/>
      <c r="BT427" s="567"/>
      <c r="BU427" s="567"/>
      <c r="BV427" s="567"/>
      <c r="BW427" s="567"/>
      <c r="BX427" s="567"/>
      <c r="BY427" s="567"/>
      <c r="BZ427" s="567"/>
      <c r="CA427" s="567"/>
      <c r="CB427" s="567"/>
      <c r="CC427" s="567"/>
    </row>
    <row r="428" spans="1:81" s="548" customFormat="1" ht="12.75" customHeight="1">
      <c r="A428" s="535"/>
      <c r="B428" s="14"/>
      <c r="C428" s="735"/>
      <c r="D428" s="728"/>
      <c r="E428" s="729"/>
      <c r="F428" s="2560"/>
      <c r="G428" s="2560"/>
      <c r="H428" s="2560"/>
      <c r="I428" s="2560"/>
      <c r="J428" s="2560"/>
      <c r="K428" s="2560"/>
      <c r="L428" s="2560"/>
      <c r="M428" s="2560"/>
      <c r="N428" s="2560"/>
      <c r="O428" s="2560"/>
      <c r="P428" s="2560"/>
      <c r="Q428" s="2560"/>
      <c r="R428" s="2560"/>
      <c r="S428" s="2560"/>
      <c r="T428" s="2560"/>
      <c r="U428" s="2560"/>
      <c r="V428" s="2560"/>
      <c r="W428" s="2560"/>
      <c r="X428" s="2560"/>
      <c r="Y428" s="2560"/>
      <c r="Z428" s="2560"/>
      <c r="AA428" s="2560"/>
      <c r="AB428" s="2560"/>
      <c r="AC428" s="2560"/>
      <c r="AD428" s="2560"/>
      <c r="AE428" s="2560"/>
      <c r="AF428" s="580"/>
      <c r="AG428" s="732"/>
      <c r="AH428" s="722"/>
      <c r="AI428" s="722"/>
      <c r="AJ428" s="722"/>
      <c r="AK428" s="722"/>
      <c r="AL428" s="737"/>
      <c r="AM428" s="567"/>
      <c r="AN428" s="594"/>
    </row>
    <row r="429" spans="1:81">
      <c r="A429" s="535"/>
      <c r="E429" s="686"/>
      <c r="F429" s="600"/>
      <c r="G429" s="600"/>
      <c r="H429" s="600"/>
      <c r="I429" s="600"/>
      <c r="J429" s="600"/>
      <c r="K429" s="600"/>
      <c r="L429" s="600"/>
      <c r="M429" s="600"/>
      <c r="N429" s="600"/>
      <c r="O429" s="600"/>
      <c r="P429" s="600"/>
      <c r="Q429" s="600"/>
      <c r="R429" s="600"/>
      <c r="S429" s="600"/>
      <c r="T429" s="600"/>
      <c r="U429" s="600"/>
      <c r="V429" s="600"/>
      <c r="W429" s="600"/>
      <c r="X429" s="600"/>
      <c r="Y429" s="600"/>
      <c r="Z429" s="600"/>
      <c r="AA429" s="600"/>
      <c r="AB429" s="600"/>
      <c r="AC429" s="600"/>
      <c r="AD429" s="600"/>
      <c r="AE429" s="535"/>
      <c r="AF429" s="538"/>
      <c r="AG429" s="535"/>
      <c r="AH429" s="548"/>
      <c r="AI429" s="548"/>
      <c r="AJ429" s="548"/>
      <c r="AK429" s="548"/>
      <c r="AL429" s="548"/>
      <c r="AM429" s="567"/>
    </row>
    <row r="430" spans="1:81" ht="12.75" customHeight="1">
      <c r="A430" s="535"/>
      <c r="C430" s="741"/>
      <c r="D430" s="742"/>
      <c r="E430" s="710" t="s">
        <v>1466</v>
      </c>
      <c r="F430" s="2531" t="s">
        <v>1467</v>
      </c>
      <c r="G430" s="2531"/>
      <c r="H430" s="2531"/>
      <c r="I430" s="2531"/>
      <c r="J430" s="2531"/>
      <c r="K430" s="2531"/>
      <c r="L430" s="2531"/>
      <c r="M430" s="2531"/>
      <c r="N430" s="2531"/>
      <c r="O430" s="2531"/>
      <c r="P430" s="2531"/>
      <c r="Q430" s="2531"/>
      <c r="R430" s="2531"/>
      <c r="S430" s="2531"/>
      <c r="T430" s="2531"/>
      <c r="U430" s="2531"/>
      <c r="V430" s="2531"/>
      <c r="W430" s="2531"/>
      <c r="X430" s="2531"/>
      <c r="Y430" s="2531"/>
      <c r="Z430" s="2531"/>
      <c r="AA430" s="2531"/>
      <c r="AB430" s="2531"/>
      <c r="AC430" s="2531"/>
      <c r="AD430" s="2531"/>
      <c r="AE430" s="2531"/>
      <c r="AF430" s="742"/>
      <c r="AG430" s="742"/>
      <c r="AH430" s="742"/>
      <c r="AI430" s="742"/>
      <c r="AJ430" s="742"/>
      <c r="AK430" s="742"/>
      <c r="AL430" s="743"/>
      <c r="AM430" s="567"/>
    </row>
    <row r="431" spans="1:81">
      <c r="A431" s="535"/>
      <c r="C431" s="726"/>
      <c r="E431" s="686"/>
      <c r="F431" s="2404"/>
      <c r="G431" s="2404"/>
      <c r="H431" s="2404"/>
      <c r="I431" s="2404"/>
      <c r="J431" s="2404"/>
      <c r="K431" s="2404"/>
      <c r="L431" s="2404"/>
      <c r="M431" s="2404"/>
      <c r="N431" s="2404"/>
      <c r="O431" s="2404"/>
      <c r="P431" s="2404"/>
      <c r="Q431" s="2404"/>
      <c r="R431" s="2404"/>
      <c r="S431" s="2404"/>
      <c r="T431" s="2404"/>
      <c r="U431" s="2404"/>
      <c r="V431" s="2404"/>
      <c r="W431" s="2404"/>
      <c r="X431" s="2404"/>
      <c r="Y431" s="2404"/>
      <c r="Z431" s="2404"/>
      <c r="AA431" s="2404"/>
      <c r="AB431" s="2404"/>
      <c r="AC431" s="2404"/>
      <c r="AD431" s="2404"/>
      <c r="AE431" s="2404"/>
      <c r="AF431" s="538"/>
      <c r="AG431" s="535"/>
      <c r="AH431" s="548"/>
      <c r="AI431" s="548"/>
      <c r="AJ431" s="548"/>
      <c r="AK431" s="548"/>
      <c r="AL431" s="727"/>
      <c r="AM431" s="567"/>
    </row>
    <row r="432" spans="1:81" s="548" customFormat="1" ht="12.75" customHeight="1">
      <c r="A432" s="535"/>
      <c r="B432" s="14"/>
      <c r="C432" s="726"/>
      <c r="D432" s="14"/>
      <c r="E432" s="686"/>
      <c r="F432" s="2404"/>
      <c r="G432" s="2404"/>
      <c r="H432" s="2404"/>
      <c r="I432" s="2404"/>
      <c r="J432" s="2404"/>
      <c r="K432" s="2404"/>
      <c r="L432" s="2404"/>
      <c r="M432" s="2404"/>
      <c r="N432" s="2404"/>
      <c r="O432" s="2404"/>
      <c r="P432" s="2404"/>
      <c r="Q432" s="2404"/>
      <c r="R432" s="2404"/>
      <c r="S432" s="2404"/>
      <c r="T432" s="2404"/>
      <c r="U432" s="2404"/>
      <c r="V432" s="2404"/>
      <c r="W432" s="2404"/>
      <c r="X432" s="2404"/>
      <c r="Y432" s="2404"/>
      <c r="Z432" s="2404"/>
      <c r="AA432" s="2404"/>
      <c r="AB432" s="2404"/>
      <c r="AC432" s="2404"/>
      <c r="AD432" s="2404"/>
      <c r="AE432" s="2404"/>
      <c r="AL432" s="727"/>
      <c r="AM432" s="567"/>
      <c r="AN432" s="594"/>
    </row>
    <row r="433" spans="1:60" s="548" customFormat="1" ht="12.75" customHeight="1">
      <c r="A433" s="535"/>
      <c r="B433" s="14"/>
      <c r="C433" s="734"/>
      <c r="F433" s="2404"/>
      <c r="G433" s="2404"/>
      <c r="H433" s="2404"/>
      <c r="I433" s="2404"/>
      <c r="J433" s="2404"/>
      <c r="K433" s="2404"/>
      <c r="L433" s="2404"/>
      <c r="M433" s="2404"/>
      <c r="N433" s="2404"/>
      <c r="O433" s="2404"/>
      <c r="P433" s="2404"/>
      <c r="Q433" s="2404"/>
      <c r="R433" s="2404"/>
      <c r="S433" s="2404"/>
      <c r="T433" s="2404"/>
      <c r="U433" s="2404"/>
      <c r="V433" s="2404"/>
      <c r="W433" s="2404"/>
      <c r="X433" s="2404"/>
      <c r="Y433" s="2404"/>
      <c r="Z433" s="2404"/>
      <c r="AA433" s="2404"/>
      <c r="AB433" s="2404"/>
      <c r="AC433" s="2404"/>
      <c r="AD433" s="2404"/>
      <c r="AE433" s="2404"/>
      <c r="AL433" s="727"/>
      <c r="AM433" s="567"/>
      <c r="AN433" s="594"/>
    </row>
    <row r="434" spans="1:60" s="548" customFormat="1" ht="12.75" customHeight="1">
      <c r="A434" s="535"/>
      <c r="B434" s="14"/>
      <c r="C434" s="2528" t="s">
        <v>589</v>
      </c>
      <c r="D434" s="2488"/>
      <c r="E434" s="686"/>
      <c r="F434" s="716" t="s">
        <v>1468</v>
      </c>
      <c r="G434" s="600"/>
      <c r="H434" s="600"/>
      <c r="I434" s="600"/>
      <c r="J434" s="600"/>
      <c r="K434" s="600"/>
      <c r="L434" s="600"/>
      <c r="M434" s="600"/>
      <c r="N434" s="600"/>
      <c r="O434" s="600"/>
      <c r="P434" s="600"/>
      <c r="Q434" s="600"/>
      <c r="R434" s="600"/>
      <c r="S434" s="600"/>
      <c r="T434" s="600"/>
      <c r="U434" s="600"/>
      <c r="V434" s="600"/>
      <c r="W434" s="600"/>
      <c r="X434" s="600"/>
      <c r="Y434" s="600"/>
      <c r="Z434" s="600"/>
      <c r="AA434" s="600"/>
      <c r="AB434" s="600"/>
      <c r="AC434" s="600"/>
      <c r="AD434" s="600"/>
      <c r="AF434" s="2466" t="s">
        <v>1451</v>
      </c>
      <c r="AG434" s="2466"/>
      <c r="AH434" s="2466"/>
      <c r="AI434" s="2466"/>
      <c r="AJ434" s="2466"/>
      <c r="AK434" s="2466"/>
      <c r="AL434" s="2532"/>
      <c r="AM434" s="567"/>
      <c r="AN434" s="594"/>
    </row>
    <row r="435" spans="1:60" s="548" customFormat="1" ht="12.75" customHeight="1">
      <c r="A435" s="535"/>
      <c r="B435" s="14"/>
      <c r="C435" s="734"/>
      <c r="AL435" s="727"/>
      <c r="AM435" s="567"/>
      <c r="AN435" s="594"/>
    </row>
    <row r="436" spans="1:60" s="548" customFormat="1" ht="12.75" customHeight="1">
      <c r="A436" s="535"/>
      <c r="B436" s="14"/>
      <c r="C436" s="2528" t="s">
        <v>589</v>
      </c>
      <c r="D436" s="2488"/>
      <c r="E436" s="714"/>
      <c r="F436" s="716" t="s">
        <v>1469</v>
      </c>
      <c r="G436" s="600"/>
      <c r="H436" s="600"/>
      <c r="I436" s="600"/>
      <c r="J436" s="600"/>
      <c r="K436" s="600"/>
      <c r="L436" s="600"/>
      <c r="M436" s="600"/>
      <c r="N436" s="600"/>
      <c r="O436" s="600"/>
      <c r="P436" s="600"/>
      <c r="Q436" s="600"/>
      <c r="R436" s="600"/>
      <c r="S436" s="600"/>
      <c r="T436" s="600"/>
      <c r="U436" s="600"/>
      <c r="V436" s="600"/>
      <c r="W436" s="600"/>
      <c r="X436" s="600"/>
      <c r="Y436" s="600"/>
      <c r="Z436" s="600"/>
      <c r="AA436" s="600"/>
      <c r="AB436" s="600"/>
      <c r="AC436" s="600"/>
      <c r="AD436" s="600"/>
      <c r="AF436" s="2466" t="s">
        <v>1463</v>
      </c>
      <c r="AG436" s="2466"/>
      <c r="AH436" s="2466"/>
      <c r="AI436" s="2466"/>
      <c r="AJ436" s="2466"/>
      <c r="AK436" s="2466"/>
      <c r="AL436" s="2532"/>
      <c r="AM436" s="567"/>
      <c r="AN436" s="594"/>
      <c r="AO436" s="593"/>
      <c r="AP436" s="593"/>
      <c r="BC436" s="14"/>
    </row>
    <row r="437" spans="1:60" s="548" customFormat="1" ht="12.75" customHeight="1">
      <c r="A437" s="535"/>
      <c r="B437" s="14"/>
      <c r="C437" s="728"/>
      <c r="D437" s="728"/>
      <c r="E437" s="729"/>
      <c r="F437" s="720"/>
      <c r="G437" s="721"/>
      <c r="H437" s="721"/>
      <c r="I437" s="721"/>
      <c r="J437" s="721"/>
      <c r="K437" s="721"/>
      <c r="L437" s="721"/>
      <c r="M437" s="721"/>
      <c r="N437" s="721"/>
      <c r="O437" s="721"/>
      <c r="P437" s="721"/>
      <c r="Q437" s="721"/>
      <c r="R437" s="721"/>
      <c r="S437" s="721"/>
      <c r="T437" s="721"/>
      <c r="U437" s="721"/>
      <c r="V437" s="721"/>
      <c r="W437" s="721"/>
      <c r="X437" s="721"/>
      <c r="Y437" s="721"/>
      <c r="Z437" s="721"/>
      <c r="AA437" s="721"/>
      <c r="AB437" s="721"/>
      <c r="AC437" s="721"/>
      <c r="AD437" s="721"/>
      <c r="AE437" s="732"/>
      <c r="AF437" s="580"/>
      <c r="AG437" s="732"/>
      <c r="AH437" s="722"/>
      <c r="AI437" s="722"/>
      <c r="AJ437" s="722"/>
      <c r="AK437" s="722"/>
      <c r="AL437" s="737"/>
      <c r="AM437" s="567"/>
      <c r="AN437" s="594"/>
    </row>
    <row r="438" spans="1:60" s="548" customFormat="1" ht="12.75" customHeight="1">
      <c r="A438" s="535"/>
      <c r="B438" s="14"/>
      <c r="C438" s="14"/>
      <c r="D438" s="14"/>
      <c r="E438" s="686"/>
      <c r="F438" s="716"/>
      <c r="G438" s="600"/>
      <c r="H438" s="600"/>
      <c r="I438" s="600"/>
      <c r="J438" s="600"/>
      <c r="K438" s="600"/>
      <c r="L438" s="600"/>
      <c r="M438" s="600"/>
      <c r="N438" s="600"/>
      <c r="O438" s="600"/>
      <c r="P438" s="600"/>
      <c r="Q438" s="600"/>
      <c r="R438" s="600"/>
      <c r="S438" s="600"/>
      <c r="T438" s="600"/>
      <c r="U438" s="600"/>
      <c r="V438" s="600"/>
      <c r="W438" s="600"/>
      <c r="X438" s="600"/>
      <c r="Y438" s="600"/>
      <c r="Z438" s="600"/>
      <c r="AA438" s="600"/>
      <c r="AB438" s="600"/>
      <c r="AC438" s="600"/>
      <c r="AD438" s="600"/>
      <c r="AE438" s="535"/>
      <c r="AF438" s="538"/>
      <c r="AG438" s="535"/>
      <c r="AM438" s="567"/>
      <c r="AN438" s="594"/>
    </row>
    <row r="439" spans="1:60" s="548" customFormat="1" ht="12.75" customHeight="1">
      <c r="A439" s="535"/>
      <c r="B439" s="14"/>
      <c r="C439" s="707" t="s">
        <v>2162</v>
      </c>
      <c r="D439" s="14"/>
      <c r="E439" s="686"/>
      <c r="F439" s="600"/>
      <c r="G439" s="600"/>
      <c r="H439" s="600"/>
      <c r="I439" s="600"/>
      <c r="J439" s="600"/>
      <c r="K439" s="600"/>
      <c r="L439" s="600"/>
      <c r="M439" s="600"/>
      <c r="N439" s="600"/>
      <c r="O439" s="600"/>
      <c r="P439" s="600"/>
      <c r="Q439" s="600"/>
      <c r="R439" s="600"/>
      <c r="S439" s="600"/>
      <c r="T439" s="600"/>
      <c r="U439" s="600"/>
      <c r="V439" s="600"/>
      <c r="W439" s="600"/>
      <c r="X439" s="600"/>
      <c r="Y439" s="600"/>
      <c r="Z439" s="600"/>
      <c r="AA439" s="600"/>
      <c r="AB439" s="600"/>
      <c r="AC439" s="600"/>
      <c r="AD439" s="600"/>
      <c r="AE439" s="535"/>
      <c r="AF439" s="538"/>
      <c r="AG439" s="535"/>
      <c r="AM439" s="567"/>
      <c r="AN439" s="594"/>
    </row>
    <row r="440" spans="1:60" s="548" customFormat="1" ht="12.75" customHeight="1">
      <c r="A440" s="535"/>
      <c r="B440" s="14"/>
      <c r="C440" s="708"/>
      <c r="D440" s="709"/>
      <c r="E440" s="710" t="s">
        <v>1470</v>
      </c>
      <c r="F440" s="2531" t="s">
        <v>1471</v>
      </c>
      <c r="G440" s="2531"/>
      <c r="H440" s="2531"/>
      <c r="I440" s="2531"/>
      <c r="J440" s="2531"/>
      <c r="K440" s="2531"/>
      <c r="L440" s="2531"/>
      <c r="M440" s="2531"/>
      <c r="N440" s="2531"/>
      <c r="O440" s="2531"/>
      <c r="P440" s="2531"/>
      <c r="Q440" s="2531"/>
      <c r="R440" s="2531"/>
      <c r="S440" s="2531"/>
      <c r="T440" s="2531"/>
      <c r="U440" s="2531"/>
      <c r="V440" s="2531"/>
      <c r="W440" s="2531"/>
      <c r="X440" s="2531"/>
      <c r="Y440" s="2531"/>
      <c r="Z440" s="2531"/>
      <c r="AA440" s="2531"/>
      <c r="AB440" s="2531"/>
      <c r="AC440" s="2531"/>
      <c r="AD440" s="2531"/>
      <c r="AE440" s="2531"/>
      <c r="AF440" s="709"/>
      <c r="AG440" s="709"/>
      <c r="AH440" s="709"/>
      <c r="AI440" s="709"/>
      <c r="AJ440" s="709"/>
      <c r="AK440" s="709"/>
      <c r="AL440" s="740"/>
      <c r="AM440" s="567"/>
      <c r="AN440" s="594"/>
    </row>
    <row r="441" spans="1:60" s="548" customFormat="1" ht="12.75" customHeight="1">
      <c r="A441" s="535"/>
      <c r="B441" s="14"/>
      <c r="C441" s="726"/>
      <c r="D441" s="14"/>
      <c r="E441" s="686"/>
      <c r="F441" s="2404"/>
      <c r="G441" s="2404"/>
      <c r="H441" s="2404"/>
      <c r="I441" s="2404"/>
      <c r="J441" s="2404"/>
      <c r="K441" s="2404"/>
      <c r="L441" s="2404"/>
      <c r="M441" s="2404"/>
      <c r="N441" s="2404"/>
      <c r="O441" s="2404"/>
      <c r="P441" s="2404"/>
      <c r="Q441" s="2404"/>
      <c r="R441" s="2404"/>
      <c r="S441" s="2404"/>
      <c r="T441" s="2404"/>
      <c r="U441" s="2404"/>
      <c r="V441" s="2404"/>
      <c r="W441" s="2404"/>
      <c r="X441" s="2404"/>
      <c r="Y441" s="2404"/>
      <c r="Z441" s="2404"/>
      <c r="AA441" s="2404"/>
      <c r="AB441" s="2404"/>
      <c r="AC441" s="2404"/>
      <c r="AD441" s="2404"/>
      <c r="AE441" s="2404"/>
      <c r="AF441" s="538"/>
      <c r="AG441" s="535"/>
      <c r="AL441" s="727"/>
      <c r="AM441" s="567"/>
      <c r="AN441" s="594"/>
    </row>
    <row r="442" spans="1:60" s="548" customFormat="1" ht="12.4" customHeight="1">
      <c r="A442" s="535"/>
      <c r="B442" s="14"/>
      <c r="C442" s="726"/>
      <c r="D442" s="14"/>
      <c r="E442" s="686"/>
      <c r="F442" s="2404"/>
      <c r="G442" s="2404"/>
      <c r="H442" s="2404"/>
      <c r="I442" s="2404"/>
      <c r="J442" s="2404"/>
      <c r="K442" s="2404"/>
      <c r="L442" s="2404"/>
      <c r="M442" s="2404"/>
      <c r="N442" s="2404"/>
      <c r="O442" s="2404"/>
      <c r="P442" s="2404"/>
      <c r="Q442" s="2404"/>
      <c r="R442" s="2404"/>
      <c r="S442" s="2404"/>
      <c r="T442" s="2404"/>
      <c r="U442" s="2404"/>
      <c r="V442" s="2404"/>
      <c r="W442" s="2404"/>
      <c r="X442" s="2404"/>
      <c r="Y442" s="2404"/>
      <c r="Z442" s="2404"/>
      <c r="AA442" s="2404"/>
      <c r="AB442" s="2404"/>
      <c r="AC442" s="2404"/>
      <c r="AD442" s="2404"/>
      <c r="AE442" s="2404"/>
      <c r="AL442" s="727"/>
      <c r="AM442" s="567"/>
      <c r="AN442" s="594"/>
    </row>
    <row r="443" spans="1:60" s="548" customFormat="1" ht="12.75" customHeight="1">
      <c r="A443" s="535"/>
      <c r="B443" s="14"/>
      <c r="C443" s="2528" t="s">
        <v>589</v>
      </c>
      <c r="D443" s="2488"/>
      <c r="E443" s="686"/>
      <c r="F443" s="716" t="s">
        <v>1472</v>
      </c>
      <c r="G443" s="744"/>
      <c r="H443" s="744"/>
      <c r="I443" s="744"/>
      <c r="J443" s="744"/>
      <c r="K443" s="744"/>
      <c r="L443" s="744"/>
      <c r="M443" s="744"/>
      <c r="N443" s="744"/>
      <c r="O443" s="744"/>
      <c r="P443" s="744"/>
      <c r="Q443" s="744"/>
      <c r="R443" s="744"/>
      <c r="S443" s="744"/>
      <c r="T443" s="744"/>
      <c r="U443" s="744"/>
      <c r="V443" s="744"/>
      <c r="W443" s="744"/>
      <c r="X443" s="744"/>
      <c r="Y443" s="744"/>
      <c r="Z443" s="744"/>
      <c r="AA443" s="744"/>
      <c r="AB443" s="744"/>
      <c r="AC443" s="744"/>
      <c r="AD443" s="744"/>
      <c r="AF443" s="2466" t="s">
        <v>1451</v>
      </c>
      <c r="AG443" s="2466"/>
      <c r="AH443" s="2466"/>
      <c r="AI443" s="2466"/>
      <c r="AJ443" s="2466"/>
      <c r="AK443" s="2466"/>
      <c r="AL443" s="2532"/>
      <c r="AM443" s="567"/>
      <c r="AN443" s="594"/>
    </row>
    <row r="444" spans="1:60" s="548" customFormat="1" ht="12.75" customHeight="1">
      <c r="A444" s="535"/>
      <c r="B444" s="14"/>
      <c r="C444" s="738"/>
      <c r="D444" s="722"/>
      <c r="E444" s="719"/>
      <c r="F444" s="736"/>
      <c r="G444" s="721"/>
      <c r="H444" s="721"/>
      <c r="I444" s="721"/>
      <c r="J444" s="721"/>
      <c r="K444" s="721"/>
      <c r="L444" s="721"/>
      <c r="M444" s="721"/>
      <c r="N444" s="721"/>
      <c r="O444" s="721"/>
      <c r="P444" s="721"/>
      <c r="Q444" s="721"/>
      <c r="R444" s="721"/>
      <c r="S444" s="721"/>
      <c r="T444" s="721"/>
      <c r="U444" s="721"/>
      <c r="V444" s="721"/>
      <c r="W444" s="721"/>
      <c r="X444" s="721"/>
      <c r="Y444" s="721"/>
      <c r="Z444" s="721"/>
      <c r="AA444" s="721"/>
      <c r="AB444" s="721"/>
      <c r="AC444" s="721"/>
      <c r="AD444" s="721"/>
      <c r="AE444" s="722"/>
      <c r="AF444" s="722"/>
      <c r="AG444" s="722"/>
      <c r="AH444" s="722"/>
      <c r="AI444" s="722"/>
      <c r="AJ444" s="722"/>
      <c r="AK444" s="722"/>
      <c r="AL444" s="737"/>
      <c r="AM444" s="567"/>
      <c r="AN444" s="594"/>
    </row>
    <row r="445" spans="1:60" s="548" customFormat="1" ht="12.75" customHeight="1">
      <c r="A445" s="535"/>
      <c r="B445" s="14"/>
      <c r="C445" s="725"/>
      <c r="D445" s="725"/>
      <c r="E445" s="714"/>
      <c r="F445" s="716"/>
      <c r="G445" s="600"/>
      <c r="H445" s="600"/>
      <c r="I445" s="600"/>
      <c r="J445" s="600"/>
      <c r="K445" s="600"/>
      <c r="L445" s="600"/>
      <c r="M445" s="600"/>
      <c r="N445" s="600"/>
      <c r="O445" s="600"/>
      <c r="P445" s="600"/>
      <c r="Q445" s="600"/>
      <c r="R445" s="600"/>
      <c r="S445" s="600"/>
      <c r="T445" s="600"/>
      <c r="U445" s="600"/>
      <c r="V445" s="600"/>
      <c r="W445" s="600"/>
      <c r="X445" s="600"/>
      <c r="Y445" s="600"/>
      <c r="Z445" s="600"/>
      <c r="AA445" s="600"/>
      <c r="AB445" s="600"/>
      <c r="AC445" s="600"/>
      <c r="AD445" s="600"/>
      <c r="AE445" s="535"/>
      <c r="AM445" s="567"/>
      <c r="AN445" s="594"/>
    </row>
    <row r="446" spans="1:60" ht="13.15" customHeight="1">
      <c r="A446" s="535"/>
      <c r="C446" s="741"/>
      <c r="D446" s="742"/>
      <c r="E446" s="710" t="s">
        <v>1473</v>
      </c>
      <c r="F446" s="2531" t="s">
        <v>1474</v>
      </c>
      <c r="G446" s="2531"/>
      <c r="H446" s="2531"/>
      <c r="I446" s="2531"/>
      <c r="J446" s="2531"/>
      <c r="K446" s="2531"/>
      <c r="L446" s="2531"/>
      <c r="M446" s="2531"/>
      <c r="N446" s="2531"/>
      <c r="O446" s="2531"/>
      <c r="P446" s="2531"/>
      <c r="Q446" s="2531"/>
      <c r="R446" s="2531"/>
      <c r="S446" s="2531"/>
      <c r="T446" s="2531"/>
      <c r="U446" s="2531"/>
      <c r="V446" s="2531"/>
      <c r="W446" s="2531"/>
      <c r="X446" s="2531"/>
      <c r="Y446" s="2531"/>
      <c r="Z446" s="2531"/>
      <c r="AA446" s="2531"/>
      <c r="AB446" s="2531"/>
      <c r="AC446" s="2531"/>
      <c r="AD446" s="2531"/>
      <c r="AE446" s="2531"/>
      <c r="AF446" s="742"/>
      <c r="AG446" s="742"/>
      <c r="AH446" s="742"/>
      <c r="AI446" s="742"/>
      <c r="AJ446" s="742"/>
      <c r="AK446" s="742"/>
      <c r="AL446" s="743"/>
      <c r="AM446" s="567"/>
      <c r="AO446" s="548"/>
      <c r="AP446" s="548"/>
      <c r="BD446" s="14"/>
      <c r="BE446" s="14"/>
      <c r="BF446" s="14"/>
      <c r="BG446" s="14"/>
      <c r="BH446" s="14"/>
    </row>
    <row r="447" spans="1:60">
      <c r="A447" s="535"/>
      <c r="C447" s="726"/>
      <c r="E447" s="686"/>
      <c r="F447" s="2404"/>
      <c r="G447" s="2404"/>
      <c r="H447" s="2404"/>
      <c r="I447" s="2404"/>
      <c r="J447" s="2404"/>
      <c r="K447" s="2404"/>
      <c r="L447" s="2404"/>
      <c r="M447" s="2404"/>
      <c r="N447" s="2404"/>
      <c r="O447" s="2404"/>
      <c r="P447" s="2404"/>
      <c r="Q447" s="2404"/>
      <c r="R447" s="2404"/>
      <c r="S447" s="2404"/>
      <c r="T447" s="2404"/>
      <c r="U447" s="2404"/>
      <c r="V447" s="2404"/>
      <c r="W447" s="2404"/>
      <c r="X447" s="2404"/>
      <c r="Y447" s="2404"/>
      <c r="Z447" s="2404"/>
      <c r="AA447" s="2404"/>
      <c r="AB447" s="2404"/>
      <c r="AC447" s="2404"/>
      <c r="AD447" s="2404"/>
      <c r="AE447" s="2404"/>
      <c r="AF447" s="591"/>
      <c r="AG447" s="591"/>
      <c r="AH447" s="591"/>
      <c r="AI447" s="591"/>
      <c r="AJ447" s="591"/>
      <c r="AK447" s="591"/>
      <c r="AL447" s="745"/>
      <c r="AM447" s="567"/>
      <c r="AO447" s="548"/>
      <c r="AP447" s="548"/>
    </row>
    <row r="448" spans="1:60" s="548" customFormat="1" ht="12.75" customHeight="1">
      <c r="A448" s="535"/>
      <c r="B448" s="14"/>
      <c r="C448" s="726"/>
      <c r="D448" s="14"/>
      <c r="E448" s="686"/>
      <c r="F448" s="2404"/>
      <c r="G448" s="2404"/>
      <c r="H448" s="2404"/>
      <c r="I448" s="2404"/>
      <c r="J448" s="2404"/>
      <c r="K448" s="2404"/>
      <c r="L448" s="2404"/>
      <c r="M448" s="2404"/>
      <c r="N448" s="2404"/>
      <c r="O448" s="2404"/>
      <c r="P448" s="2404"/>
      <c r="Q448" s="2404"/>
      <c r="R448" s="2404"/>
      <c r="S448" s="2404"/>
      <c r="T448" s="2404"/>
      <c r="U448" s="2404"/>
      <c r="V448" s="2404"/>
      <c r="W448" s="2404"/>
      <c r="X448" s="2404"/>
      <c r="Y448" s="2404"/>
      <c r="Z448" s="2404"/>
      <c r="AA448" s="2404"/>
      <c r="AB448" s="2404"/>
      <c r="AC448" s="2404"/>
      <c r="AD448" s="2404"/>
      <c r="AE448" s="2404"/>
      <c r="AF448" s="591"/>
      <c r="AG448" s="591"/>
      <c r="AH448" s="591"/>
      <c r="AI448" s="591"/>
      <c r="AJ448" s="591"/>
      <c r="AK448" s="591"/>
      <c r="AL448" s="745"/>
      <c r="AM448" s="567"/>
      <c r="AN448" s="594"/>
    </row>
    <row r="449" spans="1:42" s="548" customFormat="1" ht="12.75" customHeight="1">
      <c r="A449" s="535"/>
      <c r="B449" s="14"/>
      <c r="C449" s="746"/>
      <c r="D449" s="725"/>
      <c r="E449" s="714"/>
      <c r="F449" s="2404"/>
      <c r="G449" s="2404"/>
      <c r="H449" s="2404"/>
      <c r="I449" s="2404"/>
      <c r="J449" s="2404"/>
      <c r="K449" s="2404"/>
      <c r="L449" s="2404"/>
      <c r="M449" s="2404"/>
      <c r="N449" s="2404"/>
      <c r="O449" s="2404"/>
      <c r="P449" s="2404"/>
      <c r="Q449" s="2404"/>
      <c r="R449" s="2404"/>
      <c r="S449" s="2404"/>
      <c r="T449" s="2404"/>
      <c r="U449" s="2404"/>
      <c r="V449" s="2404"/>
      <c r="W449" s="2404"/>
      <c r="X449" s="2404"/>
      <c r="Y449" s="2404"/>
      <c r="Z449" s="2404"/>
      <c r="AA449" s="2404"/>
      <c r="AB449" s="2404"/>
      <c r="AC449" s="2404"/>
      <c r="AD449" s="2404"/>
      <c r="AE449" s="2404"/>
      <c r="AF449" s="591"/>
      <c r="AG449" s="591"/>
      <c r="AH449" s="591"/>
      <c r="AI449" s="591"/>
      <c r="AJ449" s="591"/>
      <c r="AK449" s="591"/>
      <c r="AL449" s="745"/>
      <c r="AM449" s="567"/>
      <c r="AN449" s="594"/>
      <c r="AO449" s="30"/>
      <c r="AP449" s="14"/>
    </row>
    <row r="450" spans="1:42" s="548" customFormat="1" ht="12.75" customHeight="1">
      <c r="A450" s="535"/>
      <c r="B450" s="14"/>
      <c r="C450" s="746"/>
      <c r="D450" s="725"/>
      <c r="E450" s="714"/>
      <c r="F450" s="2404"/>
      <c r="G450" s="2404"/>
      <c r="H450" s="2404"/>
      <c r="I450" s="2404"/>
      <c r="J450" s="2404"/>
      <c r="K450" s="2404"/>
      <c r="L450" s="2404"/>
      <c r="M450" s="2404"/>
      <c r="N450" s="2404"/>
      <c r="O450" s="2404"/>
      <c r="P450" s="2404"/>
      <c r="Q450" s="2404"/>
      <c r="R450" s="2404"/>
      <c r="S450" s="2404"/>
      <c r="T450" s="2404"/>
      <c r="U450" s="2404"/>
      <c r="V450" s="2404"/>
      <c r="W450" s="2404"/>
      <c r="X450" s="2404"/>
      <c r="Y450" s="2404"/>
      <c r="Z450" s="2404"/>
      <c r="AA450" s="2404"/>
      <c r="AB450" s="2404"/>
      <c r="AC450" s="2404"/>
      <c r="AD450" s="2404"/>
      <c r="AE450" s="2404"/>
      <c r="AF450" s="591"/>
      <c r="AG450" s="591"/>
      <c r="AH450" s="591"/>
      <c r="AI450" s="591"/>
      <c r="AJ450" s="591"/>
      <c r="AK450" s="591"/>
      <c r="AL450" s="745"/>
      <c r="AM450" s="567"/>
      <c r="AN450" s="594"/>
    </row>
    <row r="451" spans="1:42" s="548" customFormat="1" ht="12.75" customHeight="1">
      <c r="A451" s="535"/>
      <c r="B451" s="14"/>
      <c r="C451" s="746"/>
      <c r="D451" s="725"/>
      <c r="E451" s="714"/>
      <c r="F451" s="2404"/>
      <c r="G451" s="2404"/>
      <c r="H451" s="2404"/>
      <c r="I451" s="2404"/>
      <c r="J451" s="2404"/>
      <c r="K451" s="2404"/>
      <c r="L451" s="2404"/>
      <c r="M451" s="2404"/>
      <c r="N451" s="2404"/>
      <c r="O451" s="2404"/>
      <c r="P451" s="2404"/>
      <c r="Q451" s="2404"/>
      <c r="R451" s="2404"/>
      <c r="S451" s="2404"/>
      <c r="T451" s="2404"/>
      <c r="U451" s="2404"/>
      <c r="V451" s="2404"/>
      <c r="W451" s="2404"/>
      <c r="X451" s="2404"/>
      <c r="Y451" s="2404"/>
      <c r="Z451" s="2404"/>
      <c r="AA451" s="2404"/>
      <c r="AB451" s="2404"/>
      <c r="AC451" s="2404"/>
      <c r="AD451" s="2404"/>
      <c r="AE451" s="2404"/>
      <c r="AF451" s="591"/>
      <c r="AG451" s="591"/>
      <c r="AH451" s="591"/>
      <c r="AI451" s="591"/>
      <c r="AJ451" s="591"/>
      <c r="AK451" s="591"/>
      <c r="AL451" s="745"/>
      <c r="AM451" s="567"/>
      <c r="AN451" s="594"/>
    </row>
    <row r="452" spans="1:42" s="548" customFormat="1" ht="12.75" customHeight="1">
      <c r="A452" s="535"/>
      <c r="B452" s="14"/>
      <c r="C452" s="746"/>
      <c r="D452" s="725"/>
      <c r="E452" s="714"/>
      <c r="F452" s="2404"/>
      <c r="G452" s="2404"/>
      <c r="H452" s="2404"/>
      <c r="I452" s="2404"/>
      <c r="J452" s="2404"/>
      <c r="K452" s="2404"/>
      <c r="L452" s="2404"/>
      <c r="M452" s="2404"/>
      <c r="N452" s="2404"/>
      <c r="O452" s="2404"/>
      <c r="P452" s="2404"/>
      <c r="Q452" s="2404"/>
      <c r="R452" s="2404"/>
      <c r="S452" s="2404"/>
      <c r="T452" s="2404"/>
      <c r="U452" s="2404"/>
      <c r="V452" s="2404"/>
      <c r="W452" s="2404"/>
      <c r="X452" s="2404"/>
      <c r="Y452" s="2404"/>
      <c r="Z452" s="2404"/>
      <c r="AA452" s="2404"/>
      <c r="AB452" s="2404"/>
      <c r="AC452" s="2404"/>
      <c r="AD452" s="2404"/>
      <c r="AE452" s="2404"/>
      <c r="AF452" s="591"/>
      <c r="AG452" s="591"/>
      <c r="AH452" s="591"/>
      <c r="AI452" s="591"/>
      <c r="AJ452" s="591"/>
      <c r="AK452" s="591"/>
      <c r="AL452" s="745"/>
      <c r="AM452" s="567"/>
      <c r="AN452" s="594"/>
    </row>
    <row r="453" spans="1:42" s="548" customFormat="1" ht="12.75" customHeight="1">
      <c r="A453" s="535"/>
      <c r="B453" s="14"/>
      <c r="C453" s="746"/>
      <c r="D453" s="725"/>
      <c r="E453" s="714"/>
      <c r="F453" s="2404"/>
      <c r="G453" s="2404"/>
      <c r="H453" s="2404"/>
      <c r="I453" s="2404"/>
      <c r="J453" s="2404"/>
      <c r="K453" s="2404"/>
      <c r="L453" s="2404"/>
      <c r="M453" s="2404"/>
      <c r="N453" s="2404"/>
      <c r="O453" s="2404"/>
      <c r="P453" s="2404"/>
      <c r="Q453" s="2404"/>
      <c r="R453" s="2404"/>
      <c r="S453" s="2404"/>
      <c r="T453" s="2404"/>
      <c r="U453" s="2404"/>
      <c r="V453" s="2404"/>
      <c r="W453" s="2404"/>
      <c r="X453" s="2404"/>
      <c r="Y453" s="2404"/>
      <c r="Z453" s="2404"/>
      <c r="AA453" s="2404"/>
      <c r="AB453" s="2404"/>
      <c r="AC453" s="2404"/>
      <c r="AD453" s="2404"/>
      <c r="AE453" s="2404"/>
      <c r="AF453" s="591"/>
      <c r="AG453" s="591"/>
      <c r="AH453" s="591"/>
      <c r="AI453" s="591"/>
      <c r="AJ453" s="591"/>
      <c r="AK453" s="591"/>
      <c r="AL453" s="745"/>
      <c r="AM453" s="567"/>
      <c r="AN453" s="594"/>
    </row>
    <row r="454" spans="1:42" s="548" customFormat="1" ht="17.25" customHeight="1">
      <c r="A454" s="535"/>
      <c r="B454" s="14"/>
      <c r="C454" s="746"/>
      <c r="D454" s="725"/>
      <c r="E454" s="714"/>
      <c r="F454" s="2404"/>
      <c r="G454" s="2404"/>
      <c r="H454" s="2404"/>
      <c r="I454" s="2404"/>
      <c r="J454" s="2404"/>
      <c r="K454" s="2404"/>
      <c r="L454" s="2404"/>
      <c r="M454" s="2404"/>
      <c r="N454" s="2404"/>
      <c r="O454" s="2404"/>
      <c r="P454" s="2404"/>
      <c r="Q454" s="2404"/>
      <c r="R454" s="2404"/>
      <c r="S454" s="2404"/>
      <c r="T454" s="2404"/>
      <c r="U454" s="2404"/>
      <c r="V454" s="2404"/>
      <c r="W454" s="2404"/>
      <c r="X454" s="2404"/>
      <c r="Y454" s="2404"/>
      <c r="Z454" s="2404"/>
      <c r="AA454" s="2404"/>
      <c r="AB454" s="2404"/>
      <c r="AC454" s="2404"/>
      <c r="AD454" s="2404"/>
      <c r="AE454" s="2404"/>
      <c r="AL454" s="727"/>
      <c r="AM454" s="567"/>
      <c r="AN454" s="594"/>
    </row>
    <row r="455" spans="1:42" s="548" customFormat="1" ht="12.75" customHeight="1">
      <c r="A455" s="535"/>
      <c r="B455" s="14"/>
      <c r="C455" s="2528" t="s">
        <v>589</v>
      </c>
      <c r="D455" s="2488"/>
      <c r="E455" s="714"/>
      <c r="F455" s="593" t="s">
        <v>1475</v>
      </c>
      <c r="G455" s="671"/>
      <c r="H455" s="671"/>
      <c r="I455" s="671"/>
      <c r="J455" s="671"/>
      <c r="K455" s="671"/>
      <c r="L455" s="671"/>
      <c r="M455" s="671"/>
      <c r="N455" s="671"/>
      <c r="O455" s="671"/>
      <c r="P455" s="671"/>
      <c r="Q455" s="671"/>
      <c r="R455" s="671"/>
      <c r="S455" s="671"/>
      <c r="T455" s="671"/>
      <c r="U455" s="671"/>
      <c r="V455" s="671"/>
      <c r="W455" s="671"/>
      <c r="X455" s="671"/>
      <c r="Y455" s="671"/>
      <c r="Z455" s="671"/>
      <c r="AA455" s="671"/>
      <c r="AB455" s="671"/>
      <c r="AC455" s="671"/>
      <c r="AD455" s="671"/>
      <c r="AF455" s="2466" t="s">
        <v>1451</v>
      </c>
      <c r="AG455" s="2466"/>
      <c r="AH455" s="2466"/>
      <c r="AI455" s="2466"/>
      <c r="AJ455" s="2466"/>
      <c r="AK455" s="2466"/>
      <c r="AL455" s="2532"/>
      <c r="AM455" s="567"/>
      <c r="AN455" s="594"/>
    </row>
    <row r="456" spans="1:42" s="548" customFormat="1" ht="12.75" customHeight="1">
      <c r="A456" s="535"/>
      <c r="B456" s="14"/>
      <c r="C456" s="738"/>
      <c r="D456" s="722"/>
      <c r="E456" s="719"/>
      <c r="F456" s="736"/>
      <c r="G456" s="721"/>
      <c r="H456" s="721"/>
      <c r="I456" s="721"/>
      <c r="J456" s="721"/>
      <c r="K456" s="721"/>
      <c r="L456" s="721"/>
      <c r="M456" s="721"/>
      <c r="N456" s="721"/>
      <c r="O456" s="721"/>
      <c r="P456" s="721"/>
      <c r="Q456" s="721"/>
      <c r="R456" s="721"/>
      <c r="S456" s="721"/>
      <c r="T456" s="721"/>
      <c r="U456" s="721"/>
      <c r="V456" s="721"/>
      <c r="W456" s="721"/>
      <c r="X456" s="721"/>
      <c r="Y456" s="721"/>
      <c r="Z456" s="721"/>
      <c r="AA456" s="721"/>
      <c r="AB456" s="721"/>
      <c r="AC456" s="721"/>
      <c r="AD456" s="721"/>
      <c r="AE456" s="722"/>
      <c r="AF456" s="722"/>
      <c r="AG456" s="722"/>
      <c r="AH456" s="722"/>
      <c r="AI456" s="722"/>
      <c r="AJ456" s="722"/>
      <c r="AK456" s="722"/>
      <c r="AL456" s="737"/>
      <c r="AM456" s="567"/>
      <c r="AN456" s="594"/>
    </row>
    <row r="457" spans="1:42" s="548" customFormat="1" ht="12.75" customHeight="1">
      <c r="A457" s="535"/>
      <c r="B457" s="14"/>
      <c r="C457" s="725"/>
      <c r="D457" s="725"/>
      <c r="E457" s="714"/>
      <c r="F457" s="716"/>
      <c r="G457" s="600"/>
      <c r="H457" s="600"/>
      <c r="I457" s="600"/>
      <c r="J457" s="600"/>
      <c r="K457" s="600"/>
      <c r="L457" s="600"/>
      <c r="M457" s="600"/>
      <c r="N457" s="600"/>
      <c r="O457" s="600"/>
      <c r="P457" s="600"/>
      <c r="Q457" s="600"/>
      <c r="R457" s="600"/>
      <c r="S457" s="600"/>
      <c r="T457" s="600"/>
      <c r="U457" s="600"/>
      <c r="V457" s="600"/>
      <c r="W457" s="600"/>
      <c r="X457" s="600"/>
      <c r="Y457" s="600"/>
      <c r="Z457" s="600"/>
      <c r="AA457" s="600"/>
      <c r="AB457" s="600"/>
      <c r="AC457" s="600"/>
      <c r="AD457" s="600"/>
      <c r="AE457" s="588"/>
      <c r="AF457" s="588"/>
      <c r="AG457" s="588"/>
      <c r="AH457" s="588"/>
      <c r="AI457" s="588"/>
      <c r="AJ457" s="588"/>
      <c r="AK457" s="588"/>
      <c r="AL457" s="588"/>
      <c r="AM457" s="567"/>
      <c r="AN457" s="594"/>
    </row>
    <row r="458" spans="1:42" s="548" customFormat="1" ht="12.75" customHeight="1">
      <c r="A458" s="535"/>
      <c r="B458" s="14"/>
      <c r="C458" s="708"/>
      <c r="D458" s="709"/>
      <c r="E458" s="710" t="s">
        <v>1476</v>
      </c>
      <c r="F458" s="2531" t="s">
        <v>1477</v>
      </c>
      <c r="G458" s="2531"/>
      <c r="H458" s="2531"/>
      <c r="I458" s="2531"/>
      <c r="J458" s="2531"/>
      <c r="K458" s="2531"/>
      <c r="L458" s="2531"/>
      <c r="M458" s="2531"/>
      <c r="N458" s="2531"/>
      <c r="O458" s="2531"/>
      <c r="P458" s="2531"/>
      <c r="Q458" s="2531"/>
      <c r="R458" s="2531"/>
      <c r="S458" s="2531"/>
      <c r="T458" s="2531"/>
      <c r="U458" s="2531"/>
      <c r="V458" s="2531"/>
      <c r="W458" s="2531"/>
      <c r="X458" s="2531"/>
      <c r="Y458" s="2531"/>
      <c r="Z458" s="2531"/>
      <c r="AA458" s="2531"/>
      <c r="AB458" s="2531"/>
      <c r="AC458" s="2531"/>
      <c r="AD458" s="2531"/>
      <c r="AE458" s="2531"/>
      <c r="AF458" s="709"/>
      <c r="AG458" s="709"/>
      <c r="AH458" s="709"/>
      <c r="AI458" s="709"/>
      <c r="AJ458" s="709"/>
      <c r="AK458" s="709"/>
      <c r="AL458" s="740"/>
      <c r="AM458" s="567"/>
      <c r="AN458" s="594"/>
    </row>
    <row r="459" spans="1:42" s="548" customFormat="1" ht="12.75" customHeight="1">
      <c r="A459" s="535"/>
      <c r="B459" s="14"/>
      <c r="C459" s="746"/>
      <c r="D459" s="725"/>
      <c r="E459" s="714"/>
      <c r="F459" s="2404"/>
      <c r="G459" s="2404"/>
      <c r="H459" s="2404"/>
      <c r="I459" s="2404"/>
      <c r="J459" s="2404"/>
      <c r="K459" s="2404"/>
      <c r="L459" s="2404"/>
      <c r="M459" s="2404"/>
      <c r="N459" s="2404"/>
      <c r="O459" s="2404"/>
      <c r="P459" s="2404"/>
      <c r="Q459" s="2404"/>
      <c r="R459" s="2404"/>
      <c r="S459" s="2404"/>
      <c r="T459" s="2404"/>
      <c r="U459" s="2404"/>
      <c r="V459" s="2404"/>
      <c r="W459" s="2404"/>
      <c r="X459" s="2404"/>
      <c r="Y459" s="2404"/>
      <c r="Z459" s="2404"/>
      <c r="AA459" s="2404"/>
      <c r="AB459" s="2404"/>
      <c r="AC459" s="2404"/>
      <c r="AD459" s="2404"/>
      <c r="AE459" s="2404"/>
      <c r="AF459" s="588"/>
      <c r="AG459" s="588"/>
      <c r="AH459" s="588"/>
      <c r="AI459" s="588"/>
      <c r="AJ459" s="588"/>
      <c r="AK459" s="588"/>
      <c r="AL459" s="715"/>
      <c r="AM459" s="567"/>
      <c r="AN459" s="594"/>
    </row>
    <row r="460" spans="1:42" s="548" customFormat="1" ht="12.75" customHeight="1">
      <c r="A460" s="535"/>
      <c r="B460" s="14"/>
      <c r="C460" s="746"/>
      <c r="D460" s="725"/>
      <c r="E460" s="714"/>
      <c r="F460" s="2404"/>
      <c r="G460" s="2404"/>
      <c r="H460" s="2404"/>
      <c r="I460" s="2404"/>
      <c r="J460" s="2404"/>
      <c r="K460" s="2404"/>
      <c r="L460" s="2404"/>
      <c r="M460" s="2404"/>
      <c r="N460" s="2404"/>
      <c r="O460" s="2404"/>
      <c r="P460" s="2404"/>
      <c r="Q460" s="2404"/>
      <c r="R460" s="2404"/>
      <c r="S460" s="2404"/>
      <c r="T460" s="2404"/>
      <c r="U460" s="2404"/>
      <c r="V460" s="2404"/>
      <c r="W460" s="2404"/>
      <c r="X460" s="2404"/>
      <c r="Y460" s="2404"/>
      <c r="Z460" s="2404"/>
      <c r="AA460" s="2404"/>
      <c r="AB460" s="2404"/>
      <c r="AC460" s="2404"/>
      <c r="AD460" s="2404"/>
      <c r="AE460" s="2404"/>
      <c r="AF460" s="588"/>
      <c r="AG460" s="588"/>
      <c r="AH460" s="588"/>
      <c r="AI460" s="588"/>
      <c r="AJ460" s="588"/>
      <c r="AK460" s="588"/>
      <c r="AL460" s="715"/>
      <c r="AM460" s="567"/>
      <c r="AN460" s="594"/>
    </row>
    <row r="461" spans="1:42" s="548" customFormat="1" ht="12.75" customHeight="1">
      <c r="A461" s="535"/>
      <c r="B461" s="14"/>
      <c r="C461" s="746"/>
      <c r="D461" s="725"/>
      <c r="E461" s="714"/>
      <c r="F461" s="2404"/>
      <c r="G461" s="2404"/>
      <c r="H461" s="2404"/>
      <c r="I461" s="2404"/>
      <c r="J461" s="2404"/>
      <c r="K461" s="2404"/>
      <c r="L461" s="2404"/>
      <c r="M461" s="2404"/>
      <c r="N461" s="2404"/>
      <c r="O461" s="2404"/>
      <c r="P461" s="2404"/>
      <c r="Q461" s="2404"/>
      <c r="R461" s="2404"/>
      <c r="S461" s="2404"/>
      <c r="T461" s="2404"/>
      <c r="U461" s="2404"/>
      <c r="V461" s="2404"/>
      <c r="W461" s="2404"/>
      <c r="X461" s="2404"/>
      <c r="Y461" s="2404"/>
      <c r="Z461" s="2404"/>
      <c r="AA461" s="2404"/>
      <c r="AB461" s="2404"/>
      <c r="AC461" s="2404"/>
      <c r="AD461" s="2404"/>
      <c r="AE461" s="2404"/>
      <c r="AL461" s="727"/>
      <c r="AM461" s="567"/>
      <c r="AN461" s="594"/>
    </row>
    <row r="462" spans="1:42" s="548" customFormat="1" ht="12.75" customHeight="1">
      <c r="A462" s="535"/>
      <c r="B462" s="14"/>
      <c r="C462" s="2528" t="s">
        <v>589</v>
      </c>
      <c r="D462" s="2488"/>
      <c r="E462" s="714"/>
      <c r="F462" s="716" t="s">
        <v>1481</v>
      </c>
      <c r="G462" s="600"/>
      <c r="H462" s="600"/>
      <c r="I462" s="600"/>
      <c r="J462" s="600"/>
      <c r="K462" s="600"/>
      <c r="L462" s="600"/>
      <c r="M462" s="600"/>
      <c r="N462" s="600"/>
      <c r="O462" s="600"/>
      <c r="P462" s="600"/>
      <c r="Q462" s="600"/>
      <c r="R462" s="600"/>
      <c r="S462" s="600"/>
      <c r="T462" s="600"/>
      <c r="U462" s="600"/>
      <c r="V462" s="600"/>
      <c r="W462" s="600"/>
      <c r="X462" s="600"/>
      <c r="Y462" s="600"/>
      <c r="Z462" s="600"/>
      <c r="AA462" s="600"/>
      <c r="AB462" s="600"/>
      <c r="AC462" s="600"/>
      <c r="AD462" s="600"/>
      <c r="AF462" s="2466" t="s">
        <v>1451</v>
      </c>
      <c r="AG462" s="2466"/>
      <c r="AH462" s="2466"/>
      <c r="AI462" s="2466"/>
      <c r="AJ462" s="2466"/>
      <c r="AK462" s="2466"/>
      <c r="AL462" s="2532"/>
      <c r="AM462" s="567"/>
      <c r="AN462" s="748"/>
    </row>
    <row r="463" spans="1:42" s="548" customFormat="1" ht="12.75" customHeight="1">
      <c r="A463" s="535"/>
      <c r="B463" s="14"/>
      <c r="C463" s="746"/>
      <c r="D463" s="725"/>
      <c r="E463" s="714"/>
      <c r="F463" s="716"/>
      <c r="G463" s="600"/>
      <c r="H463" s="600"/>
      <c r="I463" s="600"/>
      <c r="J463" s="600"/>
      <c r="K463" s="600"/>
      <c r="L463" s="600"/>
      <c r="M463" s="600"/>
      <c r="N463" s="600"/>
      <c r="O463" s="600"/>
      <c r="P463" s="600"/>
      <c r="Q463" s="600"/>
      <c r="R463" s="600"/>
      <c r="S463" s="600"/>
      <c r="T463" s="600"/>
      <c r="U463" s="600"/>
      <c r="V463" s="600"/>
      <c r="W463" s="600"/>
      <c r="X463" s="600"/>
      <c r="Y463" s="600"/>
      <c r="Z463" s="600"/>
      <c r="AA463" s="600"/>
      <c r="AB463" s="600"/>
      <c r="AC463" s="600"/>
      <c r="AD463" s="600"/>
      <c r="AE463" s="588"/>
      <c r="AL463" s="727"/>
      <c r="AM463" s="567"/>
      <c r="AN463" s="748"/>
    </row>
    <row r="464" spans="1:42" s="548" customFormat="1" ht="12.75" customHeight="1">
      <c r="A464" s="535"/>
      <c r="B464" s="14"/>
      <c r="C464" s="735"/>
      <c r="D464" s="728"/>
      <c r="E464" s="729"/>
      <c r="F464" s="722" t="s">
        <v>1458</v>
      </c>
      <c r="G464" s="730"/>
      <c r="H464" s="730"/>
      <c r="I464" s="730"/>
      <c r="J464" s="730"/>
      <c r="K464" s="730"/>
      <c r="L464" s="730"/>
      <c r="M464" s="730"/>
      <c r="N464" s="730"/>
      <c r="O464" s="730"/>
      <c r="P464" s="730"/>
      <c r="Q464" s="730"/>
      <c r="R464" s="730"/>
      <c r="S464" s="730"/>
      <c r="T464" s="730"/>
      <c r="U464" s="730"/>
      <c r="V464" s="730"/>
      <c r="W464" s="730"/>
      <c r="X464" s="730"/>
      <c r="Y464" s="730"/>
      <c r="Z464" s="730"/>
      <c r="AA464" s="730"/>
      <c r="AB464" s="730"/>
      <c r="AC464" s="730"/>
      <c r="AD464" s="730"/>
      <c r="AE464" s="732"/>
      <c r="AF464" s="580"/>
      <c r="AG464" s="732"/>
      <c r="AH464" s="722"/>
      <c r="AI464" s="722"/>
      <c r="AJ464" s="722"/>
      <c r="AK464" s="722"/>
      <c r="AL464" s="737"/>
      <c r="AM464" s="567"/>
      <c r="AN464" s="748"/>
    </row>
    <row r="465" spans="1:40" s="548" customFormat="1" ht="12.75" customHeight="1">
      <c r="A465" s="535"/>
      <c r="B465" s="14"/>
      <c r="C465" s="725"/>
      <c r="D465" s="725"/>
      <c r="E465" s="714"/>
      <c r="F465" s="716"/>
      <c r="G465" s="600"/>
      <c r="H465" s="600"/>
      <c r="I465" s="600"/>
      <c r="J465" s="600"/>
      <c r="K465" s="600"/>
      <c r="L465" s="600"/>
      <c r="M465" s="600"/>
      <c r="N465" s="600"/>
      <c r="O465" s="600"/>
      <c r="P465" s="600"/>
      <c r="Q465" s="600"/>
      <c r="R465" s="600"/>
      <c r="S465" s="600"/>
      <c r="T465" s="600"/>
      <c r="U465" s="600"/>
      <c r="V465" s="600"/>
      <c r="W465" s="600"/>
      <c r="X465" s="600"/>
      <c r="Y465" s="600"/>
      <c r="Z465" s="600"/>
      <c r="AA465" s="600"/>
      <c r="AB465" s="600"/>
      <c r="AC465" s="600"/>
      <c r="AD465" s="600"/>
      <c r="AE465" s="588"/>
      <c r="AM465" s="567"/>
      <c r="AN465" s="748"/>
    </row>
    <row r="466" spans="1:40" s="548" customFormat="1" ht="12.75" customHeight="1">
      <c r="A466" s="535"/>
      <c r="B466" s="14"/>
      <c r="C466" s="2533" t="s">
        <v>589</v>
      </c>
      <c r="D466" s="2534"/>
      <c r="E466" s="710" t="s">
        <v>1486</v>
      </c>
      <c r="F466" s="2531" t="s">
        <v>1487</v>
      </c>
      <c r="G466" s="2531"/>
      <c r="H466" s="2531"/>
      <c r="I466" s="2531"/>
      <c r="J466" s="2531"/>
      <c r="K466" s="2531"/>
      <c r="L466" s="2531"/>
      <c r="M466" s="2531"/>
      <c r="N466" s="2531"/>
      <c r="O466" s="2531"/>
      <c r="P466" s="2531"/>
      <c r="Q466" s="2531"/>
      <c r="R466" s="2531"/>
      <c r="S466" s="2531"/>
      <c r="T466" s="2531"/>
      <c r="U466" s="2531"/>
      <c r="V466" s="2531"/>
      <c r="W466" s="2531"/>
      <c r="X466" s="2531"/>
      <c r="Y466" s="2531"/>
      <c r="Z466" s="2531"/>
      <c r="AA466" s="2531"/>
      <c r="AB466" s="2531"/>
      <c r="AC466" s="2531"/>
      <c r="AD466" s="2531"/>
      <c r="AE466" s="2531"/>
      <c r="AF466" s="2616" t="s">
        <v>1451</v>
      </c>
      <c r="AG466" s="2616"/>
      <c r="AH466" s="2616"/>
      <c r="AI466" s="2616"/>
      <c r="AJ466" s="2616"/>
      <c r="AK466" s="2616"/>
      <c r="AL466" s="2617"/>
      <c r="AM466" s="567"/>
      <c r="AN466" s="748"/>
    </row>
    <row r="467" spans="1:40" s="548" customFormat="1" ht="12.75" customHeight="1">
      <c r="A467" s="535"/>
      <c r="B467" s="14"/>
      <c r="C467" s="746"/>
      <c r="D467" s="725"/>
      <c r="E467" s="714"/>
      <c r="F467" s="2404"/>
      <c r="G467" s="2404"/>
      <c r="H467" s="2404"/>
      <c r="I467" s="2404"/>
      <c r="J467" s="2404"/>
      <c r="K467" s="2404"/>
      <c r="L467" s="2404"/>
      <c r="M467" s="2404"/>
      <c r="N467" s="2404"/>
      <c r="O467" s="2404"/>
      <c r="P467" s="2404"/>
      <c r="Q467" s="2404"/>
      <c r="R467" s="2404"/>
      <c r="S467" s="2404"/>
      <c r="T467" s="2404"/>
      <c r="U467" s="2404"/>
      <c r="V467" s="2404"/>
      <c r="W467" s="2404"/>
      <c r="X467" s="2404"/>
      <c r="Y467" s="2404"/>
      <c r="Z467" s="2404"/>
      <c r="AA467" s="2404"/>
      <c r="AB467" s="2404"/>
      <c r="AC467" s="2404"/>
      <c r="AD467" s="2404"/>
      <c r="AE467" s="2404"/>
      <c r="AF467" s="588"/>
      <c r="AG467" s="588"/>
      <c r="AH467" s="588"/>
      <c r="AI467" s="588"/>
      <c r="AJ467" s="588"/>
      <c r="AK467" s="588"/>
      <c r="AL467" s="715"/>
      <c r="AM467" s="567"/>
      <c r="AN467" s="749"/>
    </row>
    <row r="468" spans="1:40" s="548" customFormat="1" ht="17.649999999999999" customHeight="1">
      <c r="A468" s="535"/>
      <c r="B468" s="14"/>
      <c r="C468" s="751"/>
      <c r="D468" s="718"/>
      <c r="E468" s="719"/>
      <c r="F468" s="2560"/>
      <c r="G468" s="2560"/>
      <c r="H468" s="2560"/>
      <c r="I468" s="2560"/>
      <c r="J468" s="2560"/>
      <c r="K468" s="2560"/>
      <c r="L468" s="2560"/>
      <c r="M468" s="2560"/>
      <c r="N468" s="2560"/>
      <c r="O468" s="2560"/>
      <c r="P468" s="2560"/>
      <c r="Q468" s="2560"/>
      <c r="R468" s="2560"/>
      <c r="S468" s="2560"/>
      <c r="T468" s="2560"/>
      <c r="U468" s="2560"/>
      <c r="V468" s="2560"/>
      <c r="W468" s="2560"/>
      <c r="X468" s="2560"/>
      <c r="Y468" s="2560"/>
      <c r="Z468" s="2560"/>
      <c r="AA468" s="2560"/>
      <c r="AB468" s="2560"/>
      <c r="AC468" s="2560"/>
      <c r="AD468" s="2560"/>
      <c r="AE468" s="2560"/>
      <c r="AF468" s="723"/>
      <c r="AG468" s="723"/>
      <c r="AH468" s="723"/>
      <c r="AI468" s="723"/>
      <c r="AJ468" s="723"/>
      <c r="AK468" s="723"/>
      <c r="AL468" s="752"/>
      <c r="AM468" s="567"/>
      <c r="AN468" s="534"/>
    </row>
    <row r="469" spans="1:40" s="548" customFormat="1" ht="12.75" customHeight="1">
      <c r="A469" s="535"/>
      <c r="B469" s="14"/>
      <c r="C469" s="725"/>
      <c r="D469" s="725"/>
      <c r="E469" s="714"/>
      <c r="F469" s="716"/>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88"/>
      <c r="AM469" s="567"/>
      <c r="AN469" s="534"/>
    </row>
    <row r="470" spans="1:40" s="548" customFormat="1" ht="12.75" customHeight="1">
      <c r="A470" s="535"/>
      <c r="B470" s="14"/>
      <c r="C470" s="2528" t="s">
        <v>589</v>
      </c>
      <c r="D470" s="2488"/>
      <c r="E470" s="710" t="s">
        <v>1492</v>
      </c>
      <c r="F470" s="2531" t="s">
        <v>1493</v>
      </c>
      <c r="G470" s="2531"/>
      <c r="H470" s="2531"/>
      <c r="I470" s="2531"/>
      <c r="J470" s="2531"/>
      <c r="K470" s="2531"/>
      <c r="L470" s="2531"/>
      <c r="M470" s="2531"/>
      <c r="N470" s="2531"/>
      <c r="O470" s="2531"/>
      <c r="P470" s="2531"/>
      <c r="Q470" s="2531"/>
      <c r="R470" s="2531"/>
      <c r="S470" s="2531"/>
      <c r="T470" s="2531"/>
      <c r="U470" s="2531"/>
      <c r="V470" s="2531"/>
      <c r="W470" s="2531"/>
      <c r="X470" s="2531"/>
      <c r="Y470" s="2531"/>
      <c r="Z470" s="2531"/>
      <c r="AA470" s="2531"/>
      <c r="AB470" s="2531"/>
      <c r="AC470" s="2531"/>
      <c r="AD470" s="2531"/>
      <c r="AE470" s="2531"/>
      <c r="AF470" s="2616" t="s">
        <v>1451</v>
      </c>
      <c r="AG470" s="2616"/>
      <c r="AH470" s="2616"/>
      <c r="AI470" s="2616"/>
      <c r="AJ470" s="2616"/>
      <c r="AK470" s="2616"/>
      <c r="AL470" s="2617"/>
      <c r="AM470" s="567"/>
      <c r="AN470" s="534"/>
    </row>
    <row r="471" spans="1:40" s="548" customFormat="1" ht="12.75" customHeight="1">
      <c r="A471" s="535"/>
      <c r="B471" s="14"/>
      <c r="C471" s="726"/>
      <c r="D471" s="14"/>
      <c r="E471" s="686"/>
      <c r="F471" s="2404"/>
      <c r="G471" s="2404"/>
      <c r="H471" s="2404"/>
      <c r="I471" s="2404"/>
      <c r="J471" s="2404"/>
      <c r="K471" s="2404"/>
      <c r="L471" s="2404"/>
      <c r="M471" s="2404"/>
      <c r="N471" s="2404"/>
      <c r="O471" s="2404"/>
      <c r="P471" s="2404"/>
      <c r="Q471" s="2404"/>
      <c r="R471" s="2404"/>
      <c r="S471" s="2404"/>
      <c r="T471" s="2404"/>
      <c r="U471" s="2404"/>
      <c r="V471" s="2404"/>
      <c r="W471" s="2404"/>
      <c r="X471" s="2404"/>
      <c r="Y471" s="2404"/>
      <c r="Z471" s="2404"/>
      <c r="AA471" s="2404"/>
      <c r="AB471" s="2404"/>
      <c r="AC471" s="2404"/>
      <c r="AD471" s="2404"/>
      <c r="AE471" s="2404"/>
      <c r="AF471" s="538"/>
      <c r="AG471" s="535"/>
      <c r="AL471" s="727"/>
      <c r="AM471" s="567"/>
      <c r="AN471" s="534"/>
    </row>
    <row r="472" spans="1:40" s="548" customFormat="1" ht="12.75" customHeight="1">
      <c r="A472" s="535"/>
      <c r="B472" s="14"/>
      <c r="C472" s="726"/>
      <c r="D472" s="14"/>
      <c r="E472" s="686"/>
      <c r="F472" s="2404"/>
      <c r="G472" s="2404"/>
      <c r="H472" s="2404"/>
      <c r="I472" s="2404"/>
      <c r="J472" s="2404"/>
      <c r="K472" s="2404"/>
      <c r="L472" s="2404"/>
      <c r="M472" s="2404"/>
      <c r="N472" s="2404"/>
      <c r="O472" s="2404"/>
      <c r="P472" s="2404"/>
      <c r="Q472" s="2404"/>
      <c r="R472" s="2404"/>
      <c r="S472" s="2404"/>
      <c r="T472" s="2404"/>
      <c r="U472" s="2404"/>
      <c r="V472" s="2404"/>
      <c r="W472" s="2404"/>
      <c r="X472" s="2404"/>
      <c r="Y472" s="2404"/>
      <c r="Z472" s="2404"/>
      <c r="AA472" s="2404"/>
      <c r="AB472" s="2404"/>
      <c r="AC472" s="2404"/>
      <c r="AD472" s="2404"/>
      <c r="AE472" s="2404"/>
      <c r="AF472" s="538"/>
      <c r="AG472" s="535"/>
      <c r="AL472" s="727"/>
      <c r="AM472" s="567"/>
      <c r="AN472" s="534"/>
    </row>
    <row r="473" spans="1:40" s="548" customFormat="1" ht="12.75" customHeight="1">
      <c r="A473" s="535"/>
      <c r="B473" s="14"/>
      <c r="C473" s="751"/>
      <c r="D473" s="718"/>
      <c r="E473" s="719"/>
      <c r="F473" s="2560"/>
      <c r="G473" s="2560"/>
      <c r="H473" s="2560"/>
      <c r="I473" s="2560"/>
      <c r="J473" s="2560"/>
      <c r="K473" s="2560"/>
      <c r="L473" s="2560"/>
      <c r="M473" s="2560"/>
      <c r="N473" s="2560"/>
      <c r="O473" s="2560"/>
      <c r="P473" s="2560"/>
      <c r="Q473" s="2560"/>
      <c r="R473" s="2560"/>
      <c r="S473" s="2560"/>
      <c r="T473" s="2560"/>
      <c r="U473" s="2560"/>
      <c r="V473" s="2560"/>
      <c r="W473" s="2560"/>
      <c r="X473" s="2560"/>
      <c r="Y473" s="2560"/>
      <c r="Z473" s="2560"/>
      <c r="AA473" s="2560"/>
      <c r="AB473" s="2560"/>
      <c r="AC473" s="2560"/>
      <c r="AD473" s="2560"/>
      <c r="AE473" s="2560"/>
      <c r="AF473" s="723"/>
      <c r="AG473" s="723"/>
      <c r="AH473" s="723"/>
      <c r="AI473" s="723"/>
      <c r="AJ473" s="723"/>
      <c r="AK473" s="723"/>
      <c r="AL473" s="752"/>
      <c r="AM473" s="567"/>
      <c r="AN473" s="594"/>
    </row>
    <row r="474" spans="1:40" s="548" customFormat="1" ht="12.75" customHeight="1">
      <c r="A474" s="535"/>
      <c r="B474" s="14"/>
      <c r="G474" s="600"/>
      <c r="H474" s="600"/>
      <c r="I474" s="600"/>
      <c r="J474" s="600"/>
      <c r="K474" s="600"/>
      <c r="L474" s="600"/>
      <c r="M474" s="600"/>
      <c r="N474" s="600"/>
      <c r="O474" s="600"/>
      <c r="P474" s="600"/>
      <c r="Q474" s="600"/>
      <c r="R474" s="600"/>
      <c r="S474" s="600"/>
      <c r="T474" s="600"/>
      <c r="U474" s="600"/>
      <c r="V474" s="600"/>
      <c r="W474" s="600"/>
      <c r="X474" s="600"/>
      <c r="Y474" s="600"/>
      <c r="Z474" s="600"/>
      <c r="AA474" s="600"/>
      <c r="AB474" s="600"/>
      <c r="AC474" s="600"/>
      <c r="AD474" s="600"/>
      <c r="AM474" s="567"/>
      <c r="AN474" s="594"/>
    </row>
    <row r="475" spans="1:40" s="548" customFormat="1" ht="12.75" customHeight="1">
      <c r="A475" s="535"/>
      <c r="B475" s="14"/>
      <c r="C475" s="708"/>
      <c r="D475" s="709"/>
      <c r="E475" s="710" t="s">
        <v>1495</v>
      </c>
      <c r="F475" s="2531" t="s">
        <v>1496</v>
      </c>
      <c r="G475" s="2531"/>
      <c r="H475" s="2531"/>
      <c r="I475" s="2531"/>
      <c r="J475" s="2531"/>
      <c r="K475" s="2531"/>
      <c r="L475" s="2531"/>
      <c r="M475" s="2531"/>
      <c r="N475" s="2531"/>
      <c r="O475" s="2531"/>
      <c r="P475" s="2531"/>
      <c r="Q475" s="2531"/>
      <c r="R475" s="2531"/>
      <c r="S475" s="2531"/>
      <c r="T475" s="2531"/>
      <c r="U475" s="2531"/>
      <c r="V475" s="2531"/>
      <c r="W475" s="2531"/>
      <c r="X475" s="2531"/>
      <c r="Y475" s="2531"/>
      <c r="Z475" s="2531"/>
      <c r="AA475" s="2531"/>
      <c r="AB475" s="2531"/>
      <c r="AC475" s="2531"/>
      <c r="AD475" s="2531"/>
      <c r="AE475" s="2531"/>
      <c r="AF475" s="2531"/>
      <c r="AG475" s="739"/>
      <c r="AH475" s="709"/>
      <c r="AI475" s="709"/>
      <c r="AJ475" s="709"/>
      <c r="AK475" s="709"/>
      <c r="AL475" s="740"/>
      <c r="AM475" s="567"/>
      <c r="AN475" s="594"/>
    </row>
    <row r="476" spans="1:40" s="548" customFormat="1" ht="12.75" customHeight="1">
      <c r="A476" s="535"/>
      <c r="B476" s="14"/>
      <c r="C476" s="726"/>
      <c r="D476" s="14"/>
      <c r="E476" s="686"/>
      <c r="F476" s="2404"/>
      <c r="G476" s="2404"/>
      <c r="H476" s="2404"/>
      <c r="I476" s="2404"/>
      <c r="J476" s="2404"/>
      <c r="K476" s="2404"/>
      <c r="L476" s="2404"/>
      <c r="M476" s="2404"/>
      <c r="N476" s="2404"/>
      <c r="O476" s="2404"/>
      <c r="P476" s="2404"/>
      <c r="Q476" s="2404"/>
      <c r="R476" s="2404"/>
      <c r="S476" s="2404"/>
      <c r="T476" s="2404"/>
      <c r="U476" s="2404"/>
      <c r="V476" s="2404"/>
      <c r="W476" s="2404"/>
      <c r="X476" s="2404"/>
      <c r="Y476" s="2404"/>
      <c r="Z476" s="2404"/>
      <c r="AA476" s="2404"/>
      <c r="AB476" s="2404"/>
      <c r="AC476" s="2404"/>
      <c r="AD476" s="2404"/>
      <c r="AE476" s="2404"/>
      <c r="AF476" s="2404"/>
      <c r="AL476" s="727"/>
      <c r="AM476" s="567"/>
      <c r="AN476" s="594"/>
    </row>
    <row r="477" spans="1:40" s="548" customFormat="1" ht="12.75" customHeight="1">
      <c r="A477" s="535"/>
      <c r="B477" s="14"/>
      <c r="C477" s="734"/>
      <c r="F477" s="2404"/>
      <c r="G477" s="2404"/>
      <c r="H477" s="2404"/>
      <c r="I477" s="2404"/>
      <c r="J477" s="2404"/>
      <c r="K477" s="2404"/>
      <c r="L477" s="2404"/>
      <c r="M477" s="2404"/>
      <c r="N477" s="2404"/>
      <c r="O477" s="2404"/>
      <c r="P477" s="2404"/>
      <c r="Q477" s="2404"/>
      <c r="R477" s="2404"/>
      <c r="S477" s="2404"/>
      <c r="T477" s="2404"/>
      <c r="U477" s="2404"/>
      <c r="V477" s="2404"/>
      <c r="W477" s="2404"/>
      <c r="X477" s="2404"/>
      <c r="Y477" s="2404"/>
      <c r="Z477" s="2404"/>
      <c r="AA477" s="2404"/>
      <c r="AB477" s="2404"/>
      <c r="AC477" s="2404"/>
      <c r="AD477" s="2404"/>
      <c r="AE477" s="2404"/>
      <c r="AF477" s="2404"/>
      <c r="AL477" s="727"/>
      <c r="AM477" s="567"/>
      <c r="AN477" s="594"/>
    </row>
    <row r="478" spans="1:40" s="548" customFormat="1" ht="12.75" customHeight="1">
      <c r="A478" s="535"/>
      <c r="B478" s="14"/>
      <c r="C478" s="734"/>
      <c r="F478" s="2404"/>
      <c r="G478" s="2404"/>
      <c r="H478" s="2404"/>
      <c r="I478" s="2404"/>
      <c r="J478" s="2404"/>
      <c r="K478" s="2404"/>
      <c r="L478" s="2404"/>
      <c r="M478" s="2404"/>
      <c r="N478" s="2404"/>
      <c r="O478" s="2404"/>
      <c r="P478" s="2404"/>
      <c r="Q478" s="2404"/>
      <c r="R478" s="2404"/>
      <c r="S478" s="2404"/>
      <c r="T478" s="2404"/>
      <c r="U478" s="2404"/>
      <c r="V478" s="2404"/>
      <c r="W478" s="2404"/>
      <c r="X478" s="2404"/>
      <c r="Y478" s="2404"/>
      <c r="Z478" s="2404"/>
      <c r="AA478" s="2404"/>
      <c r="AB478" s="2404"/>
      <c r="AC478" s="2404"/>
      <c r="AD478" s="2404"/>
      <c r="AE478" s="2404"/>
      <c r="AF478" s="2404"/>
      <c r="AL478" s="727"/>
      <c r="AM478" s="567"/>
      <c r="AN478" s="594"/>
    </row>
    <row r="479" spans="1:40" s="548" customFormat="1" ht="12.75" customHeight="1">
      <c r="A479" s="535"/>
      <c r="B479" s="14"/>
      <c r="C479" s="2528" t="s">
        <v>589</v>
      </c>
      <c r="D479" s="2488"/>
      <c r="E479" s="714"/>
      <c r="F479" s="716" t="s">
        <v>1468</v>
      </c>
      <c r="G479" s="600"/>
      <c r="H479" s="600"/>
      <c r="I479" s="600"/>
      <c r="J479" s="600"/>
      <c r="K479" s="600"/>
      <c r="L479" s="600"/>
      <c r="M479" s="600"/>
      <c r="N479" s="600"/>
      <c r="O479" s="600"/>
      <c r="P479" s="600"/>
      <c r="Q479" s="600"/>
      <c r="R479" s="600"/>
      <c r="S479" s="600"/>
      <c r="T479" s="600"/>
      <c r="U479" s="600"/>
      <c r="V479" s="600"/>
      <c r="W479" s="600"/>
      <c r="X479" s="600"/>
      <c r="Y479" s="600"/>
      <c r="Z479" s="600"/>
      <c r="AA479" s="600"/>
      <c r="AB479" s="600"/>
      <c r="AC479" s="600"/>
      <c r="AD479" s="600"/>
      <c r="AF479" s="2529" t="s">
        <v>1451</v>
      </c>
      <c r="AG479" s="2529"/>
      <c r="AH479" s="2529"/>
      <c r="AI479" s="2529"/>
      <c r="AJ479" s="2529"/>
      <c r="AK479" s="2529"/>
      <c r="AL479" s="2530"/>
      <c r="AM479" s="567"/>
      <c r="AN479" s="594"/>
    </row>
    <row r="480" spans="1:40" s="548" customFormat="1" ht="12.75" customHeight="1">
      <c r="A480" s="535"/>
      <c r="B480" s="14"/>
      <c r="C480" s="735"/>
      <c r="D480" s="728"/>
      <c r="E480" s="729"/>
      <c r="F480" s="722"/>
      <c r="G480" s="722"/>
      <c r="H480" s="722"/>
      <c r="I480" s="722"/>
      <c r="J480" s="722"/>
      <c r="K480" s="722"/>
      <c r="L480" s="722"/>
      <c r="M480" s="722"/>
      <c r="N480" s="722"/>
      <c r="O480" s="722"/>
      <c r="P480" s="722"/>
      <c r="Q480" s="722"/>
      <c r="R480" s="722"/>
      <c r="S480" s="722"/>
      <c r="T480" s="722"/>
      <c r="U480" s="722"/>
      <c r="V480" s="722"/>
      <c r="W480" s="722"/>
      <c r="X480" s="722"/>
      <c r="Y480" s="722"/>
      <c r="Z480" s="722"/>
      <c r="AA480" s="722"/>
      <c r="AB480" s="722"/>
      <c r="AC480" s="722"/>
      <c r="AD480" s="722"/>
      <c r="AE480" s="722"/>
      <c r="AF480" s="722"/>
      <c r="AG480" s="722"/>
      <c r="AH480" s="722"/>
      <c r="AI480" s="722"/>
      <c r="AJ480" s="722"/>
      <c r="AK480" s="722"/>
      <c r="AL480" s="737"/>
      <c r="AN480" s="594"/>
    </row>
    <row r="481" spans="1:59" s="548" customFormat="1" ht="12.75" customHeight="1">
      <c r="A481" s="535"/>
      <c r="B481" s="14"/>
      <c r="C481" s="1010"/>
      <c r="D481" s="567"/>
      <c r="F481" s="716"/>
      <c r="G481" s="600"/>
      <c r="H481" s="600"/>
      <c r="I481" s="600"/>
      <c r="J481" s="600"/>
      <c r="K481" s="600"/>
      <c r="L481" s="600"/>
      <c r="M481" s="600"/>
      <c r="N481" s="600"/>
      <c r="O481" s="600"/>
      <c r="P481" s="600"/>
      <c r="Q481" s="600"/>
      <c r="R481" s="600"/>
      <c r="S481" s="600"/>
      <c r="T481" s="600"/>
      <c r="U481" s="600"/>
      <c r="V481" s="600"/>
      <c r="W481" s="600"/>
      <c r="X481" s="600"/>
      <c r="Y481" s="600"/>
      <c r="Z481" s="600"/>
      <c r="AA481" s="600"/>
      <c r="AB481" s="600"/>
      <c r="AC481" s="600"/>
      <c r="AD481" s="600"/>
      <c r="AF481" s="610"/>
      <c r="AG481" s="610"/>
      <c r="AH481" s="610"/>
      <c r="AI481" s="610"/>
      <c r="AJ481" s="610"/>
      <c r="AK481" s="610"/>
      <c r="AL481" s="610"/>
      <c r="AN481" s="594"/>
    </row>
    <row r="482" spans="1:59" s="548" customFormat="1" ht="12.75" customHeight="1">
      <c r="A482" s="597"/>
      <c r="B482" s="852" t="s">
        <v>1497</v>
      </c>
      <c r="D482" s="672"/>
      <c r="E482" s="598"/>
      <c r="F482" s="598"/>
      <c r="G482" s="598"/>
      <c r="H482" s="598"/>
      <c r="I482" s="598"/>
      <c r="J482" s="598"/>
      <c r="K482" s="598"/>
      <c r="L482" s="598"/>
      <c r="M482" s="598"/>
      <c r="N482" s="598"/>
      <c r="O482" s="598"/>
      <c r="P482" s="598"/>
      <c r="Q482" s="598"/>
      <c r="R482" s="598"/>
      <c r="S482" s="598"/>
      <c r="T482" s="598"/>
      <c r="U482" s="598"/>
      <c r="V482" s="598"/>
      <c r="W482" s="598"/>
      <c r="X482" s="598"/>
      <c r="Y482" s="598"/>
      <c r="Z482" s="598"/>
      <c r="AA482" s="598"/>
      <c r="AB482" s="598"/>
      <c r="AC482" s="598"/>
      <c r="AD482" s="598"/>
      <c r="AE482" s="561"/>
      <c r="AF482" s="561"/>
      <c r="AG482" s="561"/>
      <c r="AH482" s="561"/>
      <c r="AI482" s="562"/>
      <c r="AJ482" s="562" t="s">
        <v>1498</v>
      </c>
      <c r="AK482" s="2491">
        <f>IF(Application!D214="N/A",AS371,AS373)</f>
        <v>10</v>
      </c>
      <c r="AL482" s="2492"/>
      <c r="AM482" s="2493"/>
      <c r="AN482" s="594"/>
    </row>
    <row r="483" spans="1:59" s="548" customFormat="1" ht="12.75" customHeight="1" thickBot="1">
      <c r="A483" s="754"/>
      <c r="B483" s="754"/>
      <c r="C483" s="754"/>
      <c r="D483" s="754"/>
      <c r="E483" s="754"/>
      <c r="F483" s="754"/>
      <c r="G483" s="754"/>
      <c r="H483" s="754"/>
      <c r="I483" s="754"/>
      <c r="J483" s="754"/>
      <c r="K483" s="754"/>
      <c r="L483" s="754"/>
      <c r="M483" s="754"/>
      <c r="N483" s="754"/>
      <c r="O483" s="754"/>
      <c r="P483" s="754"/>
      <c r="Q483" s="754"/>
      <c r="R483" s="754"/>
      <c r="S483" s="754"/>
      <c r="T483" s="754"/>
      <c r="U483" s="754"/>
      <c r="V483" s="754"/>
      <c r="W483" s="754"/>
      <c r="X483" s="754"/>
      <c r="Y483" s="754"/>
      <c r="Z483" s="754"/>
      <c r="AA483" s="754"/>
      <c r="AB483" s="754"/>
      <c r="AC483" s="754"/>
      <c r="AD483" s="754"/>
      <c r="AE483" s="754"/>
      <c r="AF483" s="754"/>
      <c r="AG483" s="754"/>
      <c r="AH483" s="754"/>
      <c r="AI483" s="754"/>
      <c r="AJ483" s="754"/>
      <c r="AK483" s="754"/>
      <c r="AL483" s="754"/>
      <c r="AM483" s="755"/>
      <c r="AN483" s="594"/>
    </row>
    <row r="484" spans="1:59" s="548" customFormat="1" ht="12.75" hidden="1" customHeight="1" thickTop="1">
      <c r="A484" s="86"/>
      <c r="B484" s="568"/>
      <c r="C484" s="569"/>
      <c r="D484" s="569"/>
      <c r="E484" s="569"/>
      <c r="F484" s="569"/>
      <c r="G484" s="569"/>
      <c r="H484" s="569"/>
      <c r="I484" s="570"/>
      <c r="J484" s="570"/>
      <c r="K484" s="570"/>
      <c r="L484" s="570"/>
      <c r="M484" s="570"/>
      <c r="N484" s="570"/>
      <c r="O484" s="570"/>
      <c r="P484" s="570"/>
      <c r="Q484" s="570"/>
      <c r="R484" s="567"/>
      <c r="S484" s="538"/>
      <c r="T484" s="538"/>
      <c r="U484" s="538"/>
      <c r="V484" s="538"/>
      <c r="W484" s="538"/>
      <c r="X484" s="538"/>
      <c r="Y484" s="538"/>
      <c r="Z484" s="538"/>
      <c r="AA484" s="538"/>
      <c r="AB484" s="538"/>
      <c r="AC484" s="538"/>
      <c r="AD484" s="538"/>
      <c r="AE484" s="538"/>
      <c r="AF484" s="567"/>
      <c r="AG484" s="538"/>
      <c r="AH484" s="538"/>
      <c r="AI484" s="538"/>
      <c r="AJ484" s="538"/>
      <c r="AM484" s="14"/>
      <c r="AN484" s="594"/>
      <c r="AO484" s="548" t="s">
        <v>589</v>
      </c>
      <c r="AP484" s="548">
        <v>0</v>
      </c>
      <c r="AT484" s="548" t="s">
        <v>589</v>
      </c>
      <c r="AU484" s="548">
        <v>0</v>
      </c>
      <c r="AV484" s="747"/>
    </row>
    <row r="485" spans="1:59" s="548" customFormat="1" ht="12.75" hidden="1" customHeight="1">
      <c r="A485" s="538" t="s">
        <v>1499</v>
      </c>
      <c r="C485" s="538"/>
      <c r="E485" s="593"/>
      <c r="AE485" s="2529" t="s">
        <v>1500</v>
      </c>
      <c r="AF485" s="2529"/>
      <c r="AG485" s="2529"/>
      <c r="AH485" s="2529"/>
      <c r="AI485" s="2529"/>
      <c r="AJ485" s="2529"/>
      <c r="AK485" s="2529"/>
      <c r="AL485" s="588"/>
      <c r="AN485" s="594"/>
      <c r="AO485" s="548" t="s">
        <v>1478</v>
      </c>
      <c r="AP485" s="548">
        <v>5</v>
      </c>
      <c r="AT485" s="548" t="s">
        <v>1478</v>
      </c>
      <c r="AU485" s="548">
        <v>5</v>
      </c>
      <c r="AV485" s="747"/>
    </row>
    <row r="486" spans="1:59" s="548" customFormat="1" ht="12.75" hidden="1" customHeight="1">
      <c r="A486" s="538"/>
      <c r="B486" s="535" t="s">
        <v>1501</v>
      </c>
      <c r="C486" s="538"/>
      <c r="E486" s="593"/>
      <c r="AE486" s="588"/>
      <c r="AF486" s="588"/>
      <c r="AG486" s="588"/>
      <c r="AH486" s="588"/>
      <c r="AI486" s="588"/>
      <c r="AJ486" s="588"/>
      <c r="AK486" s="588"/>
      <c r="AL486" s="588"/>
      <c r="AN486" s="594"/>
      <c r="AO486" s="548" t="s">
        <v>1502</v>
      </c>
      <c r="AP486" s="548">
        <v>5</v>
      </c>
      <c r="AT486" s="548" t="s">
        <v>1479</v>
      </c>
      <c r="AU486" s="548">
        <v>5</v>
      </c>
      <c r="AV486" s="747"/>
    </row>
    <row r="487" spans="1:59" s="548" customFormat="1" ht="12.75" hidden="1" customHeight="1">
      <c r="A487" s="538"/>
      <c r="B487" s="538" t="s">
        <v>1503</v>
      </c>
      <c r="C487" s="538"/>
      <c r="E487" s="593"/>
      <c r="AE487" s="588"/>
      <c r="AF487" s="588"/>
      <c r="AG487" s="588"/>
      <c r="AH487" s="588"/>
      <c r="AI487" s="588"/>
      <c r="AJ487" s="588"/>
      <c r="AK487" s="588"/>
      <c r="AL487" s="588"/>
      <c r="AN487" s="594"/>
      <c r="AO487" s="548" t="s">
        <v>1480</v>
      </c>
      <c r="AP487" s="548">
        <v>5</v>
      </c>
      <c r="AQ487" s="538"/>
      <c r="AR487" s="538"/>
      <c r="AS487" s="750"/>
      <c r="AT487" s="548" t="s">
        <v>1480</v>
      </c>
      <c r="AU487" s="548">
        <v>5</v>
      </c>
      <c r="AV487" s="535"/>
    </row>
    <row r="488" spans="1:59" s="548" customFormat="1" ht="12.75" hidden="1" customHeight="1">
      <c r="A488" s="538"/>
      <c r="B488" s="538" t="s">
        <v>1504</v>
      </c>
      <c r="C488" s="538"/>
      <c r="E488" s="593"/>
      <c r="AE488" s="588"/>
      <c r="AF488" s="588"/>
      <c r="AG488" s="588"/>
      <c r="AH488" s="588"/>
      <c r="AI488" s="588"/>
      <c r="AJ488" s="588"/>
      <c r="AK488" s="588"/>
      <c r="AL488" s="588"/>
      <c r="AN488" s="594"/>
      <c r="AO488" s="548" t="s">
        <v>1482</v>
      </c>
      <c r="AP488" s="548">
        <v>5</v>
      </c>
      <c r="AQ488" s="538"/>
      <c r="AR488" s="538"/>
      <c r="AT488" s="548" t="s">
        <v>1482</v>
      </c>
      <c r="AU488" s="548">
        <v>5</v>
      </c>
    </row>
    <row r="489" spans="1:59" s="548" customFormat="1" ht="12.75" hidden="1" customHeight="1">
      <c r="A489" s="538"/>
      <c r="C489" s="538"/>
      <c r="E489" s="593"/>
      <c r="AE489" s="588"/>
      <c r="AF489" s="588"/>
      <c r="AG489" s="588"/>
      <c r="AH489" s="588"/>
      <c r="AI489" s="588"/>
      <c r="AJ489" s="588"/>
      <c r="AK489" s="588"/>
      <c r="AL489" s="588"/>
      <c r="AN489" s="594"/>
      <c r="AO489" s="548" t="s">
        <v>1483</v>
      </c>
      <c r="AP489" s="548">
        <v>5</v>
      </c>
      <c r="AQ489" s="538"/>
      <c r="AR489" s="538"/>
      <c r="AT489" s="548" t="s">
        <v>1483</v>
      </c>
      <c r="AU489" s="548">
        <v>5</v>
      </c>
    </row>
    <row r="490" spans="1:59" s="548" customFormat="1" ht="12.75" hidden="1" customHeight="1">
      <c r="A490" s="538"/>
      <c r="C490" s="707" t="s">
        <v>1505</v>
      </c>
      <c r="D490" s="567"/>
      <c r="AE490" s="588"/>
      <c r="AF490" s="588"/>
      <c r="AG490" s="593"/>
      <c r="AH490" s="593"/>
      <c r="AI490" s="593"/>
      <c r="AJ490" s="593"/>
      <c r="AK490" s="593"/>
      <c r="AL490" s="593"/>
      <c r="AN490" s="594"/>
      <c r="AO490" s="548" t="s">
        <v>1484</v>
      </c>
      <c r="AP490" s="548">
        <v>5</v>
      </c>
      <c r="AT490" s="548" t="s">
        <v>1484</v>
      </c>
      <c r="AU490" s="548">
        <v>5</v>
      </c>
    </row>
    <row r="491" spans="1:59" s="548" customFormat="1" ht="12.75" hidden="1" customHeight="1">
      <c r="A491" s="538"/>
      <c r="C491" s="2535" t="s">
        <v>589</v>
      </c>
      <c r="D491" s="2536"/>
      <c r="E491" s="756" t="s">
        <v>505</v>
      </c>
      <c r="F491" s="2537" t="s">
        <v>1506</v>
      </c>
      <c r="G491" s="2537"/>
      <c r="H491" s="2537"/>
      <c r="I491" s="2537"/>
      <c r="J491" s="2537"/>
      <c r="K491" s="2537"/>
      <c r="L491" s="2537"/>
      <c r="M491" s="2537"/>
      <c r="N491" s="2537"/>
      <c r="O491" s="2537"/>
      <c r="P491" s="2537"/>
      <c r="Q491" s="2537"/>
      <c r="R491" s="2537"/>
      <c r="S491" s="2537"/>
      <c r="T491" s="2537"/>
      <c r="U491" s="2537"/>
      <c r="V491" s="2537"/>
      <c r="W491" s="2537"/>
      <c r="X491" s="2537"/>
      <c r="Y491" s="2537"/>
      <c r="Z491" s="2537"/>
      <c r="AA491" s="2537"/>
      <c r="AB491" s="2537"/>
      <c r="AC491" s="2537"/>
      <c r="AD491" s="2537"/>
      <c r="AE491" s="2537"/>
      <c r="AF491" s="709"/>
      <c r="AG491" s="709"/>
      <c r="AH491" s="709"/>
      <c r="AI491" s="709"/>
      <c r="AJ491" s="709"/>
      <c r="AK491" s="740"/>
      <c r="AN491" s="594"/>
      <c r="AO491" s="548" t="s">
        <v>1507</v>
      </c>
      <c r="AP491" s="548">
        <v>5</v>
      </c>
      <c r="AS491" s="753"/>
      <c r="AT491" s="548" t="s">
        <v>1485</v>
      </c>
      <c r="AU491" s="548">
        <v>5</v>
      </c>
    </row>
    <row r="492" spans="1:59" s="548" customFormat="1" ht="12.75" hidden="1" customHeight="1">
      <c r="C492" s="757"/>
      <c r="E492" s="758"/>
      <c r="F492" s="2538"/>
      <c r="G492" s="2538"/>
      <c r="H492" s="2538"/>
      <c r="I492" s="2538"/>
      <c r="J492" s="2538"/>
      <c r="K492" s="2538"/>
      <c r="L492" s="2538"/>
      <c r="M492" s="2538"/>
      <c r="N492" s="2538"/>
      <c r="O492" s="2538"/>
      <c r="P492" s="2538"/>
      <c r="Q492" s="2538"/>
      <c r="R492" s="2538"/>
      <c r="S492" s="2538"/>
      <c r="T492" s="2538"/>
      <c r="U492" s="2538"/>
      <c r="V492" s="2538"/>
      <c r="W492" s="2538"/>
      <c r="X492" s="2538"/>
      <c r="Y492" s="2538"/>
      <c r="Z492" s="2538"/>
      <c r="AA492" s="2538"/>
      <c r="AB492" s="2538"/>
      <c r="AC492" s="2538"/>
      <c r="AD492" s="2538"/>
      <c r="AE492" s="2538"/>
      <c r="AG492" s="549"/>
      <c r="AH492" s="549"/>
      <c r="AI492" s="549"/>
      <c r="AJ492" s="549"/>
      <c r="AK492" s="727"/>
      <c r="AN492" s="594"/>
      <c r="AO492" s="548" t="s">
        <v>1488</v>
      </c>
      <c r="AP492" s="548">
        <v>1</v>
      </c>
      <c r="AT492" s="548" t="s">
        <v>1488</v>
      </c>
      <c r="AU492" s="548">
        <v>1</v>
      </c>
    </row>
    <row r="493" spans="1:59" s="548" customFormat="1" ht="12.75" hidden="1" customHeight="1">
      <c r="C493" s="759"/>
      <c r="D493" s="722"/>
      <c r="E493" s="760"/>
      <c r="F493" s="2633" t="s">
        <v>589</v>
      </c>
      <c r="G493" s="2633"/>
      <c r="H493" s="2633"/>
      <c r="I493" s="2633"/>
      <c r="J493" s="2633"/>
      <c r="K493" s="2633"/>
      <c r="L493" s="2633"/>
      <c r="M493" s="2633"/>
      <c r="N493" s="2633"/>
      <c r="O493" s="2633"/>
      <c r="P493" s="2633"/>
      <c r="Q493" s="2633"/>
      <c r="R493" s="2633"/>
      <c r="S493" s="2633"/>
      <c r="T493" s="2633"/>
      <c r="U493" s="2633"/>
      <c r="V493" s="2633"/>
      <c r="W493" s="2633"/>
      <c r="X493" s="2633"/>
      <c r="Y493" s="2633"/>
      <c r="Z493" s="2633"/>
      <c r="AA493" s="761"/>
      <c r="AB493" s="653"/>
      <c r="AC493" s="653"/>
      <c r="AD493" s="722"/>
      <c r="AE493" s="722"/>
      <c r="AF493" s="722"/>
      <c r="AG493" s="762">
        <f>IF($C$491="Yes",(VLOOKUP($F$493,$AT$484:$AU$492,2,FALSE)),0)</f>
        <v>0</v>
      </c>
      <c r="AH493" s="763" t="s">
        <v>1320</v>
      </c>
      <c r="AI493" s="762"/>
      <c r="AJ493" s="762"/>
      <c r="AK493" s="737"/>
      <c r="AN493" s="594"/>
      <c r="AS493" s="750"/>
      <c r="AX493" s="750"/>
      <c r="BB493" s="750" t="s">
        <v>1489</v>
      </c>
      <c r="BF493" s="750" t="s">
        <v>1490</v>
      </c>
    </row>
    <row r="494" spans="1:59" s="548" customFormat="1" ht="12.75" hidden="1" customHeight="1">
      <c r="C494" s="549"/>
      <c r="E494" s="758"/>
      <c r="F494" s="590"/>
      <c r="G494" s="590"/>
      <c r="H494" s="590"/>
      <c r="I494" s="590"/>
      <c r="J494" s="590"/>
      <c r="K494" s="590"/>
      <c r="L494" s="590"/>
      <c r="M494" s="590"/>
      <c r="N494" s="590"/>
      <c r="O494" s="590"/>
      <c r="P494" s="590"/>
      <c r="Q494" s="590"/>
      <c r="R494" s="590"/>
      <c r="S494" s="590"/>
      <c r="T494" s="590"/>
      <c r="U494" s="590"/>
      <c r="V494" s="590"/>
      <c r="W494" s="590"/>
      <c r="X494" s="590"/>
      <c r="Y494" s="590"/>
      <c r="Z494" s="590"/>
      <c r="AA494" s="567"/>
      <c r="AB494" s="549"/>
      <c r="AC494" s="549"/>
      <c r="AG494" s="549"/>
      <c r="AH494" s="549"/>
      <c r="AI494" s="549"/>
      <c r="AJ494" s="549"/>
      <c r="AN494" s="594"/>
      <c r="AO494" s="548" t="s">
        <v>589</v>
      </c>
      <c r="AP494" s="634">
        <v>0</v>
      </c>
      <c r="AT494" s="548" t="s">
        <v>589</v>
      </c>
      <c r="AU494" s="634">
        <v>0</v>
      </c>
      <c r="AW494" s="548" t="s">
        <v>589</v>
      </c>
      <c r="AX494" s="634">
        <v>0</v>
      </c>
      <c r="AY494" s="590"/>
      <c r="BB494" s="548" t="s">
        <v>589</v>
      </c>
      <c r="BC494" s="590">
        <v>0</v>
      </c>
      <c r="BF494" s="548" t="s">
        <v>589</v>
      </c>
      <c r="BG494" s="590">
        <v>0</v>
      </c>
    </row>
    <row r="495" spans="1:59" s="548" customFormat="1" ht="12.75" hidden="1" customHeight="1">
      <c r="C495" s="2654" t="s">
        <v>543</v>
      </c>
      <c r="D495" s="2655"/>
      <c r="E495" s="756" t="s">
        <v>755</v>
      </c>
      <c r="F495" s="764" t="s">
        <v>1508</v>
      </c>
      <c r="G495" s="644"/>
      <c r="H495" s="644"/>
      <c r="I495" s="644"/>
      <c r="J495" s="644"/>
      <c r="K495" s="644"/>
      <c r="L495" s="644"/>
      <c r="M495" s="644"/>
      <c r="N495" s="644"/>
      <c r="O495" s="644"/>
      <c r="P495" s="644"/>
      <c r="Q495" s="644"/>
      <c r="R495" s="644"/>
      <c r="S495" s="644"/>
      <c r="T495" s="644"/>
      <c r="U495" s="644"/>
      <c r="V495" s="644"/>
      <c r="W495" s="644"/>
      <c r="X495" s="644"/>
      <c r="Y495" s="644"/>
      <c r="Z495" s="644"/>
      <c r="AA495" s="644"/>
      <c r="AB495" s="644"/>
      <c r="AC495" s="644"/>
      <c r="AD495" s="709"/>
      <c r="AE495" s="709"/>
      <c r="AF495" s="709"/>
      <c r="AG495" s="644"/>
      <c r="AH495" s="644"/>
      <c r="AI495" s="644"/>
      <c r="AJ495" s="644"/>
      <c r="AK495" s="740"/>
      <c r="AN495" s="594"/>
      <c r="AO495" s="753">
        <v>0.15</v>
      </c>
      <c r="AP495" s="634">
        <v>3</v>
      </c>
      <c r="AT495" s="753">
        <v>7.0000000000000007E-2</v>
      </c>
      <c r="AU495" s="634">
        <v>3</v>
      </c>
      <c r="AW495" s="548" t="s">
        <v>1491</v>
      </c>
      <c r="AX495" s="634">
        <v>3</v>
      </c>
      <c r="AY495" s="590"/>
      <c r="BB495" s="753">
        <v>0.4</v>
      </c>
      <c r="BC495" s="590">
        <v>3</v>
      </c>
      <c r="BF495" s="753">
        <v>0.4</v>
      </c>
      <c r="BG495" s="590">
        <v>4</v>
      </c>
    </row>
    <row r="496" spans="1:59" s="548" customFormat="1" ht="12.75" hidden="1" customHeight="1">
      <c r="C496" s="765" t="s">
        <v>1509</v>
      </c>
      <c r="F496" s="766" t="s">
        <v>1510</v>
      </c>
      <c r="G496" s="549"/>
      <c r="H496" s="549"/>
      <c r="I496" s="549"/>
      <c r="J496" s="549"/>
      <c r="K496" s="549"/>
      <c r="L496" s="549"/>
      <c r="M496" s="549"/>
      <c r="N496" s="549"/>
      <c r="O496" s="549"/>
      <c r="P496" s="549"/>
      <c r="Q496" s="549"/>
      <c r="R496" s="549"/>
      <c r="S496" s="549"/>
      <c r="T496" s="549"/>
      <c r="U496" s="549"/>
      <c r="V496" s="549"/>
      <c r="W496" s="549"/>
      <c r="X496" s="549"/>
      <c r="Y496" s="549"/>
      <c r="Z496" s="549"/>
      <c r="AA496" s="549"/>
      <c r="AB496" s="549"/>
      <c r="AC496" s="588"/>
      <c r="AG496" s="610"/>
      <c r="AH496" s="610"/>
      <c r="AI496" s="610"/>
      <c r="AJ496" s="610"/>
      <c r="AK496" s="727"/>
      <c r="AN496" s="594"/>
      <c r="AO496" s="753">
        <v>0.2</v>
      </c>
      <c r="AP496" s="634">
        <v>5</v>
      </c>
      <c r="AT496" s="753">
        <v>0.12</v>
      </c>
      <c r="AU496" s="634">
        <v>5</v>
      </c>
      <c r="AW496" s="548" t="s">
        <v>1494</v>
      </c>
      <c r="AX496" s="634">
        <v>5</v>
      </c>
      <c r="AY496" s="590"/>
      <c r="BB496" s="753">
        <v>0.6</v>
      </c>
      <c r="BC496" s="590">
        <v>4</v>
      </c>
      <c r="BF496" s="753">
        <v>0.6</v>
      </c>
      <c r="BG496" s="590">
        <v>5</v>
      </c>
    </row>
    <row r="497" spans="1:81" s="548" customFormat="1" ht="12.75" hidden="1" customHeight="1">
      <c r="C497" s="746"/>
      <c r="D497" s="725"/>
      <c r="E497" s="767"/>
      <c r="F497" s="766" t="s">
        <v>1511</v>
      </c>
      <c r="G497" s="766"/>
      <c r="H497" s="766"/>
      <c r="I497" s="766"/>
      <c r="J497" s="766"/>
      <c r="K497" s="766"/>
      <c r="L497" s="766"/>
      <c r="M497" s="766"/>
      <c r="N497" s="766"/>
      <c r="O497" s="766"/>
      <c r="P497" s="766"/>
      <c r="Q497" s="766"/>
      <c r="R497" s="766"/>
      <c r="S497" s="766"/>
      <c r="T497" s="766"/>
      <c r="U497" s="766"/>
      <c r="V497" s="766"/>
      <c r="W497" s="766"/>
      <c r="X497" s="766"/>
      <c r="Y497" s="766"/>
      <c r="Z497" s="766"/>
      <c r="AA497" s="766"/>
      <c r="AB497" s="766"/>
      <c r="AC497" s="768"/>
      <c r="AD497" s="606"/>
      <c r="AE497" s="606"/>
      <c r="AF497" s="606"/>
      <c r="AG497" s="769"/>
      <c r="AH497" s="610"/>
      <c r="AI497" s="610"/>
      <c r="AJ497" s="610"/>
      <c r="AK497" s="727"/>
      <c r="AN497" s="673"/>
      <c r="AO497" s="753"/>
      <c r="AP497" s="590"/>
      <c r="AT497" s="753"/>
      <c r="AU497" s="590"/>
      <c r="AX497" s="753"/>
      <c r="AY497" s="590"/>
      <c r="BB497" s="753">
        <v>0.8</v>
      </c>
      <c r="BC497" s="590">
        <v>5</v>
      </c>
      <c r="BF497" s="753"/>
      <c r="BG497" s="590"/>
    </row>
    <row r="498" spans="1:81" s="593" customFormat="1" ht="12.75" hidden="1" customHeight="1">
      <c r="A498" s="634"/>
      <c r="B498" s="548"/>
      <c r="C498" s="757"/>
      <c r="D498" s="548"/>
      <c r="E498" s="758"/>
      <c r="F498" s="770" t="s">
        <v>1512</v>
      </c>
      <c r="G498" s="548"/>
      <c r="H498" s="548"/>
      <c r="I498" s="766"/>
      <c r="J498" s="766"/>
      <c r="K498" s="766"/>
      <c r="L498" s="766"/>
      <c r="M498" s="766"/>
      <c r="N498" s="766"/>
      <c r="O498" s="766"/>
      <c r="P498" s="766"/>
      <c r="Q498" s="766"/>
      <c r="R498" s="766"/>
      <c r="S498" s="766"/>
      <c r="T498" s="766"/>
      <c r="U498" s="766"/>
      <c r="V498" s="2622" t="s">
        <v>589</v>
      </c>
      <c r="W498" s="2622"/>
      <c r="X498" s="2622"/>
      <c r="Y498" s="766"/>
      <c r="Z498" s="766"/>
      <c r="AA498" s="766"/>
      <c r="AB498" s="766"/>
      <c r="AC498" s="766"/>
      <c r="AD498" s="606"/>
      <c r="AE498" s="606"/>
      <c r="AF498" s="606"/>
      <c r="AG498" s="610">
        <f>IF(AND($C$495="Yes",$V$500="N/A",$V$505="N/A",$V$509="N/A",$V$511="N/A"),(VLOOKUP(V498,$AW$494:$AX$496,2,FALSE)),0)</f>
        <v>0</v>
      </c>
      <c r="AH498" s="637" t="s">
        <v>1320</v>
      </c>
      <c r="AI498" s="549"/>
      <c r="AJ498" s="549"/>
      <c r="AK498" s="727"/>
      <c r="AL498" s="548"/>
      <c r="AM498" s="548"/>
      <c r="AN498" s="594"/>
      <c r="AT498" s="548" t="s">
        <v>589</v>
      </c>
      <c r="AU498" s="634">
        <v>0</v>
      </c>
      <c r="AV498" s="548"/>
      <c r="AW498" s="548"/>
      <c r="AX498" s="548"/>
      <c r="AY498" s="548"/>
      <c r="AZ498" s="548"/>
      <c r="BA498" s="548"/>
      <c r="BB498" s="753"/>
      <c r="BC498" s="590"/>
      <c r="BD498" s="548"/>
      <c r="BE498" s="548"/>
      <c r="BF498" s="548"/>
      <c r="BG498" s="548"/>
    </row>
    <row r="499" spans="1:81" s="593" customFormat="1" ht="12.75" hidden="1" customHeight="1">
      <c r="A499" s="634"/>
      <c r="B499" s="548"/>
      <c r="C499" s="757"/>
      <c r="D499" s="548"/>
      <c r="E499" s="758"/>
      <c r="F499" s="770"/>
      <c r="G499" s="548"/>
      <c r="H499" s="548"/>
      <c r="I499" s="766"/>
      <c r="J499" s="766"/>
      <c r="K499" s="766"/>
      <c r="L499" s="766"/>
      <c r="M499" s="766"/>
      <c r="N499" s="766"/>
      <c r="O499" s="766"/>
      <c r="P499" s="766"/>
      <c r="Q499" s="766"/>
      <c r="R499" s="766"/>
      <c r="S499" s="766"/>
      <c r="T499" s="766"/>
      <c r="U499" s="766"/>
      <c r="V499" s="766"/>
      <c r="W499" s="766"/>
      <c r="X499" s="766"/>
      <c r="Y499" s="766"/>
      <c r="Z499" s="766"/>
      <c r="AA499" s="766"/>
      <c r="AB499" s="766"/>
      <c r="AC499" s="766"/>
      <c r="AD499" s="606"/>
      <c r="AE499" s="606"/>
      <c r="AF499" s="606"/>
      <c r="AG499" s="610"/>
      <c r="AH499" s="637"/>
      <c r="AI499" s="549"/>
      <c r="AJ499" s="549"/>
      <c r="AK499" s="727"/>
      <c r="AL499" s="548"/>
      <c r="AM499" s="548"/>
      <c r="AN499" s="594"/>
      <c r="AT499" s="753">
        <v>0.09</v>
      </c>
      <c r="AU499" s="634">
        <v>3</v>
      </c>
      <c r="AV499" s="548"/>
      <c r="AW499" s="548"/>
      <c r="AX499" s="750"/>
      <c r="AY499" s="548"/>
      <c r="AZ499" s="548"/>
      <c r="BA499" s="548"/>
      <c r="BB499" s="548"/>
      <c r="BC499" s="548"/>
      <c r="BD499" s="548"/>
      <c r="BE499" s="548"/>
      <c r="BF499" s="548"/>
      <c r="BG499" s="548"/>
    </row>
    <row r="500" spans="1:81" s="593" customFormat="1" ht="12.75" hidden="1" customHeight="1">
      <c r="A500" s="634"/>
      <c r="B500" s="548"/>
      <c r="C500" s="757"/>
      <c r="D500" s="548"/>
      <c r="E500" s="758"/>
      <c r="F500" s="770" t="s">
        <v>1513</v>
      </c>
      <c r="G500" s="548"/>
      <c r="H500" s="548"/>
      <c r="I500" s="766"/>
      <c r="J500" s="766"/>
      <c r="K500" s="766"/>
      <c r="L500" s="766"/>
      <c r="M500" s="766"/>
      <c r="N500" s="766"/>
      <c r="O500" s="766"/>
      <c r="P500" s="766"/>
      <c r="Q500" s="766"/>
      <c r="R500" s="766"/>
      <c r="S500" s="766"/>
      <c r="T500" s="766"/>
      <c r="U500" s="766"/>
      <c r="V500" s="2622" t="s">
        <v>589</v>
      </c>
      <c r="W500" s="2622"/>
      <c r="X500" s="2622"/>
      <c r="Y500" s="766"/>
      <c r="Z500" s="766"/>
      <c r="AA500" s="766"/>
      <c r="AB500" s="766"/>
      <c r="AC500" s="766"/>
      <c r="AD500" s="606"/>
      <c r="AE500" s="606"/>
      <c r="AF500" s="606"/>
      <c r="AG500" s="610">
        <f>IF(AND($C$495="Yes",$V$498="N/A", $V$505="N/A",$V$509="N/A",$V$511="N/A"),(VLOOKUP(V500,$AT$494:$AU$496,2,FALSE)),0)</f>
        <v>0</v>
      </c>
      <c r="AH500" s="637" t="s">
        <v>1320</v>
      </c>
      <c r="AI500" s="549"/>
      <c r="AJ500" s="549"/>
      <c r="AK500" s="727"/>
      <c r="AL500" s="548"/>
      <c r="AM500" s="548"/>
      <c r="AN500" s="594"/>
      <c r="AT500" s="753">
        <v>0.15</v>
      </c>
      <c r="AU500" s="634">
        <v>5</v>
      </c>
      <c r="AV500" s="548"/>
      <c r="AW500" s="548"/>
      <c r="AX500" s="548"/>
      <c r="AY500" s="548"/>
      <c r="AZ500" s="548"/>
      <c r="BA500" s="548"/>
      <c r="BB500" s="548"/>
      <c r="BC500" s="548"/>
      <c r="BD500" s="548"/>
      <c r="BE500" s="548"/>
      <c r="BF500" s="548"/>
      <c r="BG500" s="548"/>
    </row>
    <row r="501" spans="1:81" s="548" customFormat="1" ht="12.75" hidden="1" customHeight="1">
      <c r="C501" s="757"/>
      <c r="E501" s="758"/>
      <c r="F501" s="593"/>
      <c r="G501" s="771"/>
      <c r="H501" s="771"/>
      <c r="I501" s="771"/>
      <c r="J501" s="771"/>
      <c r="K501" s="771"/>
      <c r="L501" s="771"/>
      <c r="M501" s="771"/>
      <c r="N501" s="771"/>
      <c r="O501" s="771"/>
      <c r="P501" s="771"/>
      <c r="Q501" s="549"/>
      <c r="R501" s="549"/>
      <c r="S501" s="549"/>
      <c r="T501" s="549"/>
      <c r="U501" s="549"/>
      <c r="V501" s="549"/>
      <c r="W501" s="549"/>
      <c r="X501" s="549"/>
      <c r="Y501" s="549"/>
      <c r="Z501" s="549"/>
      <c r="AA501" s="549"/>
      <c r="AB501" s="549"/>
      <c r="AC501" s="549"/>
      <c r="AG501" s="593"/>
      <c r="AH501" s="593"/>
      <c r="AI501" s="593"/>
      <c r="AJ501" s="593"/>
      <c r="AK501" s="727"/>
      <c r="AN501" s="594"/>
      <c r="AO501" s="548" t="s">
        <v>589</v>
      </c>
      <c r="AP501" s="548">
        <v>0</v>
      </c>
    </row>
    <row r="502" spans="1:81" s="548" customFormat="1" ht="12.75" hidden="1" customHeight="1">
      <c r="C502" s="757"/>
      <c r="E502" s="758"/>
      <c r="F502" s="771" t="s">
        <v>1514</v>
      </c>
      <c r="I502" s="758"/>
      <c r="J502" s="758"/>
      <c r="K502" s="758"/>
      <c r="L502" s="758"/>
      <c r="M502" s="758"/>
      <c r="N502" s="758"/>
      <c r="O502" s="758"/>
      <c r="P502" s="758"/>
      <c r="Q502" s="549"/>
      <c r="R502" s="549"/>
      <c r="S502" s="549"/>
      <c r="T502" s="549"/>
      <c r="U502" s="549"/>
      <c r="V502" s="549"/>
      <c r="W502" s="549"/>
      <c r="X502" s="549"/>
      <c r="Y502" s="549"/>
      <c r="Z502" s="549"/>
      <c r="AA502" s="549"/>
      <c r="AB502" s="549"/>
      <c r="AC502" s="549"/>
      <c r="AJ502" s="549"/>
      <c r="AK502" s="727"/>
      <c r="AN502" s="594"/>
      <c r="AO502" s="548" t="s">
        <v>1515</v>
      </c>
      <c r="AP502" s="634">
        <v>2</v>
      </c>
    </row>
    <row r="503" spans="1:81" s="548" customFormat="1" ht="12.75" hidden="1" customHeight="1">
      <c r="C503" s="757"/>
      <c r="F503" s="606" t="s">
        <v>1516</v>
      </c>
      <c r="M503" s="758"/>
      <c r="N503" s="758"/>
      <c r="O503" s="758"/>
      <c r="P503" s="758"/>
      <c r="Q503" s="549"/>
      <c r="R503" s="549"/>
      <c r="S503" s="549"/>
      <c r="T503" s="549"/>
      <c r="U503" s="549"/>
      <c r="V503" s="549"/>
      <c r="W503" s="549"/>
      <c r="X503" s="549"/>
      <c r="Y503" s="549"/>
      <c r="Z503" s="549"/>
      <c r="AA503" s="549"/>
      <c r="AB503" s="549"/>
      <c r="AC503" s="549"/>
      <c r="AG503" s="610"/>
      <c r="AH503" s="637"/>
      <c r="AI503" s="549"/>
      <c r="AJ503" s="549"/>
      <c r="AK503" s="727"/>
      <c r="AN503" s="594"/>
      <c r="AO503" s="548" t="s">
        <v>1517</v>
      </c>
      <c r="AP503" s="548">
        <v>2</v>
      </c>
    </row>
    <row r="504" spans="1:81" s="593" customFormat="1" ht="12.75" hidden="1" customHeight="1">
      <c r="A504" s="548"/>
      <c r="B504" s="548"/>
      <c r="C504" s="734"/>
      <c r="D504" s="567"/>
      <c r="E504" s="567"/>
      <c r="F504" s="606" t="s">
        <v>1518</v>
      </c>
      <c r="G504" s="548"/>
      <c r="H504" s="548"/>
      <c r="I504" s="548"/>
      <c r="J504" s="548"/>
      <c r="K504" s="548"/>
      <c r="L504" s="548"/>
      <c r="M504" s="758"/>
      <c r="N504" s="758"/>
      <c r="O504" s="758"/>
      <c r="P504" s="758"/>
      <c r="Q504" s="549"/>
      <c r="R504" s="549"/>
      <c r="S504" s="549"/>
      <c r="T504" s="549"/>
      <c r="U504" s="549"/>
      <c r="V504" s="549"/>
      <c r="W504" s="549"/>
      <c r="X504" s="549"/>
      <c r="Y504" s="549"/>
      <c r="Z504" s="549"/>
      <c r="AA504" s="549"/>
      <c r="AB504" s="549"/>
      <c r="AC504" s="549"/>
      <c r="AD504" s="548"/>
      <c r="AE504" s="548"/>
      <c r="AF504" s="548"/>
      <c r="AG504" s="610"/>
      <c r="AH504" s="637"/>
      <c r="AI504" s="549"/>
      <c r="AJ504" s="549"/>
      <c r="AK504" s="727"/>
      <c r="AL504" s="548"/>
      <c r="AM504" s="548"/>
      <c r="AN504" s="673"/>
      <c r="AO504" s="548" t="s">
        <v>1519</v>
      </c>
      <c r="AP504" s="548">
        <v>2</v>
      </c>
    </row>
    <row r="505" spans="1:81" s="548" customFormat="1" ht="12.75" hidden="1" customHeight="1">
      <c r="C505" s="772"/>
      <c r="F505" s="770" t="s">
        <v>1520</v>
      </c>
      <c r="M505" s="758"/>
      <c r="N505" s="758"/>
      <c r="O505" s="758"/>
      <c r="P505" s="758"/>
      <c r="Q505" s="549"/>
      <c r="R505" s="549"/>
      <c r="S505" s="549"/>
      <c r="T505" s="549"/>
      <c r="U505" s="549"/>
      <c r="V505" s="2622" t="s">
        <v>589</v>
      </c>
      <c r="W505" s="2622"/>
      <c r="X505" s="2622"/>
      <c r="Y505" s="549"/>
      <c r="Z505" s="549"/>
      <c r="AA505" s="549"/>
      <c r="AB505" s="549"/>
      <c r="AC505" s="549"/>
      <c r="AG505" s="610">
        <f>IF(AND($C$495="Yes",$V$498="N/A",$V$500="N/A", $V$509="N/A",$V$511="N/A"),(VLOOKUP($V$505,$AT$498:$AU$500,2,FALSE)),0)</f>
        <v>0</v>
      </c>
      <c r="AH505" s="637" t="s">
        <v>1320</v>
      </c>
      <c r="AI505" s="549"/>
      <c r="AJ505" s="549"/>
      <c r="AK505" s="727"/>
      <c r="AN505" s="534"/>
    </row>
    <row r="506" spans="1:81" s="548" customFormat="1" ht="12.75" hidden="1" customHeight="1">
      <c r="C506" s="757"/>
      <c r="M506" s="758"/>
      <c r="N506" s="758"/>
      <c r="O506" s="758"/>
      <c r="P506" s="758"/>
      <c r="Q506" s="549"/>
      <c r="R506" s="549"/>
      <c r="S506" s="549"/>
      <c r="T506" s="549"/>
      <c r="U506" s="549"/>
      <c r="V506" s="549"/>
      <c r="W506" s="549"/>
      <c r="X506" s="549"/>
      <c r="Y506" s="549"/>
      <c r="Z506" s="549"/>
      <c r="AA506" s="549"/>
      <c r="AB506" s="549"/>
      <c r="AC506" s="549"/>
      <c r="AJ506" s="549"/>
      <c r="AK506" s="727"/>
      <c r="AN506" s="773"/>
    </row>
    <row r="507" spans="1:81" s="593" customFormat="1" ht="12.75" hidden="1" customHeight="1">
      <c r="A507" s="548"/>
      <c r="B507" s="548"/>
      <c r="C507" s="774" t="s">
        <v>1521</v>
      </c>
      <c r="D507" s="709"/>
      <c r="E507" s="709"/>
      <c r="F507" s="775" t="s">
        <v>1522</v>
      </c>
      <c r="G507" s="709"/>
      <c r="H507" s="709"/>
      <c r="I507" s="709"/>
      <c r="J507" s="709"/>
      <c r="K507" s="709"/>
      <c r="L507" s="709"/>
      <c r="M507" s="709"/>
      <c r="N507" s="709"/>
      <c r="O507" s="709"/>
      <c r="P507" s="709"/>
      <c r="Q507" s="709"/>
      <c r="R507" s="709"/>
      <c r="S507" s="709"/>
      <c r="T507" s="709"/>
      <c r="U507" s="709"/>
      <c r="V507" s="709"/>
      <c r="W507" s="709"/>
      <c r="X507" s="709"/>
      <c r="Y507" s="709"/>
      <c r="Z507" s="709"/>
      <c r="AA507" s="709"/>
      <c r="AB507" s="709"/>
      <c r="AC507" s="709"/>
      <c r="AD507" s="709"/>
      <c r="AE507" s="709"/>
      <c r="AF507" s="709"/>
      <c r="AG507" s="709"/>
      <c r="AH507" s="709"/>
      <c r="AI507" s="709"/>
      <c r="AJ507" s="709"/>
      <c r="AK507" s="740"/>
      <c r="AL507" s="548"/>
      <c r="AM507" s="548"/>
      <c r="AN507" s="589"/>
      <c r="AO507" s="548" t="s">
        <v>589</v>
      </c>
      <c r="AP507" s="548">
        <v>0</v>
      </c>
      <c r="AQ507" s="538"/>
    </row>
    <row r="508" spans="1:81" s="593" customFormat="1" ht="12.75" hidden="1" customHeight="1">
      <c r="A508" s="548"/>
      <c r="B508" s="548"/>
      <c r="C508" s="776"/>
      <c r="D508" s="2608"/>
      <c r="E508" s="2608"/>
      <c r="F508" s="766" t="s">
        <v>1523</v>
      </c>
      <c r="I508" s="548"/>
      <c r="J508" s="548"/>
      <c r="K508" s="548"/>
      <c r="L508" s="548"/>
      <c r="M508" s="548"/>
      <c r="N508" s="548"/>
      <c r="O508" s="548"/>
      <c r="P508" s="548"/>
      <c r="Q508" s="548"/>
      <c r="R508" s="548"/>
      <c r="S508" s="548"/>
      <c r="T508" s="548"/>
      <c r="U508" s="548"/>
      <c r="Y508" s="548"/>
      <c r="Z508" s="548"/>
      <c r="AA508" s="548"/>
      <c r="AB508" s="548"/>
      <c r="AC508" s="548"/>
      <c r="AD508" s="548"/>
      <c r="AE508" s="548"/>
      <c r="AF508" s="548"/>
      <c r="AK508" s="727"/>
      <c r="AL508" s="548"/>
      <c r="AM508" s="548"/>
      <c r="AN508" s="589"/>
      <c r="AO508" s="548" t="s">
        <v>1524</v>
      </c>
      <c r="AP508" s="634">
        <v>5</v>
      </c>
      <c r="AQ508" s="538"/>
    </row>
    <row r="509" spans="1:81" s="567" customFormat="1" ht="12.75" hidden="1" customHeight="1">
      <c r="A509" s="674"/>
      <c r="B509" s="548"/>
      <c r="C509" s="757"/>
      <c r="D509" s="548"/>
      <c r="E509" s="548"/>
      <c r="F509" s="777" t="s">
        <v>1512</v>
      </c>
      <c r="G509" s="548"/>
      <c r="H509" s="548"/>
      <c r="I509" s="548"/>
      <c r="J509" s="548"/>
      <c r="K509" s="548"/>
      <c r="L509" s="548"/>
      <c r="M509" s="548"/>
      <c r="N509" s="548"/>
      <c r="O509" s="548"/>
      <c r="P509" s="548"/>
      <c r="Q509" s="548"/>
      <c r="R509" s="548"/>
      <c r="S509" s="548"/>
      <c r="T509" s="548"/>
      <c r="U509" s="548"/>
      <c r="V509" s="2622" t="s">
        <v>589</v>
      </c>
      <c r="W509" s="2622"/>
      <c r="X509" s="2622"/>
      <c r="Y509" s="548"/>
      <c r="Z509" s="548"/>
      <c r="AA509" s="548"/>
      <c r="AB509" s="548"/>
      <c r="AC509" s="548"/>
      <c r="AD509" s="548"/>
      <c r="AE509" s="548"/>
      <c r="AF509" s="548"/>
      <c r="AG509" s="610">
        <f>IF(AND($C$495="Yes",$V$498="N/A",V500="N/A",$V$505="N/A",$V$511="N/A"),(VLOOKUP($V$509,$BB$494:$BC$497,2,FALSE)),0)</f>
        <v>0</v>
      </c>
      <c r="AH509" s="637" t="s">
        <v>1320</v>
      </c>
      <c r="AI509" s="549"/>
      <c r="AJ509" s="548"/>
      <c r="AK509" s="727"/>
      <c r="AL509" s="548"/>
      <c r="AM509" s="548"/>
      <c r="AN509" s="679"/>
      <c r="AO509" s="548" t="s">
        <v>1525</v>
      </c>
      <c r="AP509" s="548">
        <v>5</v>
      </c>
      <c r="AS509" s="548"/>
      <c r="AT509" s="548"/>
      <c r="AU509" s="548"/>
      <c r="AV509" s="548"/>
      <c r="AW509" s="548"/>
      <c r="AX509" s="548"/>
      <c r="AY509" s="548"/>
      <c r="AZ509" s="548"/>
      <c r="BA509" s="548"/>
      <c r="BB509" s="548"/>
      <c r="BO509" s="548"/>
      <c r="BP509" s="548"/>
      <c r="BQ509" s="548"/>
      <c r="BR509" s="548"/>
      <c r="BS509" s="548"/>
      <c r="BT509" s="548"/>
      <c r="BU509" s="548"/>
      <c r="BV509" s="548"/>
      <c r="BW509" s="548"/>
      <c r="BX509" s="548"/>
      <c r="BY509" s="548"/>
      <c r="BZ509" s="548"/>
      <c r="CA509" s="548"/>
      <c r="CB509" s="548"/>
      <c r="CC509" s="548"/>
    </row>
    <row r="510" spans="1:81" s="567" customFormat="1" ht="12.75" hidden="1" customHeight="1">
      <c r="A510" s="674"/>
      <c r="B510" s="548"/>
      <c r="C510" s="757"/>
      <c r="D510" s="548"/>
      <c r="E510" s="548"/>
      <c r="I510" s="548"/>
      <c r="J510" s="548"/>
      <c r="K510" s="548"/>
      <c r="L510" s="548"/>
      <c r="M510" s="548"/>
      <c r="N510" s="548"/>
      <c r="O510" s="548"/>
      <c r="P510" s="548"/>
      <c r="Q510" s="548"/>
      <c r="R510" s="548"/>
      <c r="S510" s="548"/>
      <c r="T510" s="548"/>
      <c r="U510" s="548"/>
      <c r="V510" s="548"/>
      <c r="W510" s="548"/>
      <c r="X510" s="548"/>
      <c r="Y510" s="548"/>
      <c r="Z510" s="548"/>
      <c r="AA510" s="548"/>
      <c r="AB510" s="548"/>
      <c r="AC510" s="548"/>
      <c r="AD510" s="548"/>
      <c r="AE510" s="548"/>
      <c r="AF510" s="548"/>
      <c r="AK510" s="727"/>
      <c r="AL510" s="548"/>
      <c r="AM510" s="548"/>
      <c r="AN510" s="679"/>
      <c r="AO510" s="548" t="s">
        <v>1526</v>
      </c>
      <c r="AP510" s="548">
        <v>5</v>
      </c>
      <c r="AS510" s="548"/>
      <c r="AT510" s="548"/>
      <c r="AU510" s="548"/>
      <c r="AV510" s="548"/>
      <c r="AW510" s="548"/>
      <c r="AX510" s="548"/>
      <c r="AY510" s="548"/>
      <c r="AZ510" s="548"/>
      <c r="BA510" s="548"/>
      <c r="BB510" s="548"/>
      <c r="BC510" s="548"/>
      <c r="BD510" s="548"/>
      <c r="BE510" s="548"/>
      <c r="BF510" s="548"/>
      <c r="BG510" s="548"/>
      <c r="BH510" s="548"/>
      <c r="BI510" s="548"/>
      <c r="BJ510" s="548"/>
      <c r="BK510" s="548"/>
      <c r="BL510" s="548"/>
      <c r="BM510" s="548"/>
      <c r="BN510" s="548"/>
      <c r="BO510" s="548"/>
      <c r="BP510" s="548"/>
      <c r="BQ510" s="548"/>
      <c r="BR510" s="548"/>
      <c r="BS510" s="548"/>
      <c r="BT510" s="548"/>
      <c r="BU510" s="548"/>
      <c r="BV510" s="548"/>
      <c r="BW510" s="548"/>
      <c r="BX510" s="548"/>
      <c r="BY510" s="548"/>
      <c r="BZ510" s="548"/>
      <c r="CA510" s="548"/>
      <c r="CB510" s="548"/>
      <c r="CC510" s="548"/>
    </row>
    <row r="511" spans="1:81" s="538" customFormat="1" ht="12.75" hidden="1" customHeight="1">
      <c r="A511" s="674"/>
      <c r="B511" s="548"/>
      <c r="C511" s="759"/>
      <c r="D511" s="722"/>
      <c r="E511" s="722"/>
      <c r="F511" s="770" t="s">
        <v>1513</v>
      </c>
      <c r="G511" s="761"/>
      <c r="H511" s="761"/>
      <c r="I511" s="722"/>
      <c r="J511" s="722"/>
      <c r="K511" s="722"/>
      <c r="L511" s="722"/>
      <c r="M511" s="722"/>
      <c r="N511" s="722"/>
      <c r="O511" s="722"/>
      <c r="P511" s="722"/>
      <c r="Q511" s="722"/>
      <c r="R511" s="722"/>
      <c r="S511" s="722"/>
      <c r="T511" s="722"/>
      <c r="U511" s="722"/>
      <c r="V511" s="2622" t="s">
        <v>589</v>
      </c>
      <c r="W511" s="2622"/>
      <c r="X511" s="2622"/>
      <c r="Y511" s="722"/>
      <c r="Z511" s="722"/>
      <c r="AA511" s="722"/>
      <c r="AB511" s="722"/>
      <c r="AC511" s="722"/>
      <c r="AD511" s="722"/>
      <c r="AE511" s="722"/>
      <c r="AF511" s="722"/>
      <c r="AG511" s="778">
        <f>IF(AND($C$495="Yes",$V$498="N/A",$V$500="N/A",$V$505="N/A",$V$509="N/A"),(VLOOKUP($V$511,$BF$494:$BG$496,2,FALSE)),0)</f>
        <v>0</v>
      </c>
      <c r="AH511" s="763" t="s">
        <v>1320</v>
      </c>
      <c r="AI511" s="722"/>
      <c r="AJ511" s="722"/>
      <c r="AK511" s="737"/>
      <c r="AL511" s="548"/>
      <c r="AM511" s="548"/>
      <c r="AN511" s="779"/>
      <c r="AP511" s="593"/>
      <c r="AQ511" s="593"/>
      <c r="AR511" s="593"/>
      <c r="AS511" s="593"/>
      <c r="AT511" s="593"/>
      <c r="AU511" s="593"/>
      <c r="AV511" s="593"/>
      <c r="AW511" s="593"/>
      <c r="AX511" s="593"/>
      <c r="AY511" s="593"/>
      <c r="AZ511" s="593"/>
      <c r="BA511" s="593"/>
      <c r="BB511" s="593"/>
      <c r="BC511" s="593"/>
      <c r="BE511" s="593"/>
      <c r="BF511" s="593"/>
      <c r="BG511" s="593"/>
      <c r="BH511" s="593"/>
      <c r="BI511" s="593"/>
      <c r="BJ511" s="593"/>
      <c r="BK511" s="593"/>
      <c r="BL511" s="593"/>
      <c r="BM511" s="593"/>
      <c r="BN511" s="593"/>
      <c r="BO511" s="593"/>
      <c r="BP511" s="593"/>
      <c r="BQ511" s="593"/>
      <c r="BR511" s="593"/>
    </row>
    <row r="512" spans="1:81" s="538" customFormat="1" ht="12.75" hidden="1" customHeight="1">
      <c r="A512" s="674"/>
      <c r="B512" s="548"/>
      <c r="C512" s="549"/>
      <c r="D512" s="548"/>
      <c r="E512" s="758"/>
      <c r="F512" s="548"/>
      <c r="G512" s="548"/>
      <c r="H512" s="548"/>
      <c r="I512" s="548"/>
      <c r="J512" s="548"/>
      <c r="K512" s="548"/>
      <c r="L512" s="548"/>
      <c r="M512" s="548"/>
      <c r="N512" s="548"/>
      <c r="O512" s="548"/>
      <c r="P512" s="548"/>
      <c r="Q512" s="548"/>
      <c r="R512" s="548"/>
      <c r="S512" s="548"/>
      <c r="T512" s="548"/>
      <c r="U512" s="548"/>
      <c r="V512" s="548"/>
      <c r="W512" s="548"/>
      <c r="X512" s="548"/>
      <c r="Y512" s="548"/>
      <c r="Z512" s="548"/>
      <c r="AA512" s="548"/>
      <c r="AB512" s="548"/>
      <c r="AC512" s="548"/>
      <c r="AD512" s="548"/>
      <c r="AE512" s="548"/>
      <c r="AF512" s="548"/>
      <c r="AG512" s="548"/>
      <c r="AH512" s="548"/>
      <c r="AI512" s="548"/>
      <c r="AJ512" s="548"/>
      <c r="AK512" s="548"/>
      <c r="AL512" s="548"/>
      <c r="AM512" s="548"/>
      <c r="AN512" s="779"/>
      <c r="AO512" s="780"/>
      <c r="AP512" s="548"/>
      <c r="AQ512" s="548"/>
      <c r="AR512" s="548"/>
      <c r="AS512" s="548"/>
      <c r="AT512" s="548"/>
      <c r="AU512" s="781"/>
      <c r="AV512" s="781"/>
      <c r="AW512" s="781"/>
      <c r="AX512" s="781"/>
      <c r="AY512" s="781"/>
      <c r="AZ512" s="781"/>
      <c r="BA512" s="781"/>
      <c r="BB512" s="593"/>
      <c r="BC512" s="593"/>
      <c r="BE512" s="548"/>
      <c r="BF512" s="548"/>
      <c r="BG512" s="548"/>
      <c r="BH512" s="548"/>
      <c r="BI512" s="548"/>
      <c r="BJ512" s="781"/>
      <c r="BK512" s="781"/>
      <c r="BL512" s="781"/>
      <c r="BM512" s="781"/>
      <c r="BN512" s="781"/>
      <c r="BO512" s="781"/>
      <c r="BP512" s="781"/>
      <c r="BQ512" s="593"/>
      <c r="BR512" s="548"/>
    </row>
    <row r="513" spans="1:81" s="538" customFormat="1" ht="12.75" hidden="1" customHeight="1">
      <c r="A513" s="674"/>
      <c r="B513" s="548"/>
      <c r="C513" s="707" t="s">
        <v>1527</v>
      </c>
      <c r="D513" s="548"/>
      <c r="E513" s="758"/>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8"/>
      <c r="AE513" s="548"/>
      <c r="AF513" s="548"/>
      <c r="AG513" s="549"/>
      <c r="AH513" s="549"/>
      <c r="AI513" s="549"/>
      <c r="AJ513" s="549"/>
      <c r="AK513" s="548"/>
      <c r="AL513" s="548"/>
      <c r="AM513" s="548"/>
      <c r="AN513" s="779"/>
      <c r="AO513" s="780"/>
      <c r="AP513" s="548"/>
      <c r="AQ513" s="548"/>
      <c r="AR513" s="548"/>
      <c r="AS513" s="548"/>
      <c r="AT513" s="548"/>
      <c r="AU513" s="781"/>
      <c r="AV513" s="781"/>
      <c r="AW513" s="781"/>
      <c r="AX513" s="781"/>
      <c r="AY513" s="781"/>
      <c r="AZ513" s="781"/>
      <c r="BA513" s="781"/>
      <c r="BB513" s="593"/>
      <c r="BC513" s="593"/>
      <c r="BE513" s="548"/>
      <c r="BF513" s="548"/>
      <c r="BG513" s="548"/>
      <c r="BH513" s="548"/>
      <c r="BI513" s="548"/>
      <c r="BJ513" s="781"/>
      <c r="BK513" s="781"/>
      <c r="BL513" s="781"/>
      <c r="BM513" s="781"/>
      <c r="BN513" s="781"/>
      <c r="BO513" s="781"/>
      <c r="BP513" s="781"/>
      <c r="BQ513" s="593"/>
      <c r="BR513" s="548"/>
    </row>
    <row r="514" spans="1:81" s="567" customFormat="1" ht="12.75" hidden="1" customHeight="1">
      <c r="A514" s="674"/>
      <c r="B514" s="548"/>
      <c r="C514" s="2535" t="s">
        <v>589</v>
      </c>
      <c r="D514" s="2536"/>
      <c r="E514" s="756" t="s">
        <v>505</v>
      </c>
      <c r="F514" s="2537" t="s">
        <v>1506</v>
      </c>
      <c r="G514" s="2537"/>
      <c r="H514" s="2537"/>
      <c r="I514" s="2537"/>
      <c r="J514" s="2537"/>
      <c r="K514" s="2537"/>
      <c r="L514" s="2537"/>
      <c r="M514" s="2537"/>
      <c r="N514" s="2537"/>
      <c r="O514" s="2537"/>
      <c r="P514" s="2537"/>
      <c r="Q514" s="2537"/>
      <c r="R514" s="2537"/>
      <c r="S514" s="2537"/>
      <c r="T514" s="2537"/>
      <c r="U514" s="2537"/>
      <c r="V514" s="2537"/>
      <c r="W514" s="2537"/>
      <c r="X514" s="2537"/>
      <c r="Y514" s="2537"/>
      <c r="Z514" s="2537"/>
      <c r="AA514" s="2537"/>
      <c r="AB514" s="2537"/>
      <c r="AC514" s="2537"/>
      <c r="AD514" s="2537"/>
      <c r="AE514" s="2537"/>
      <c r="AF514" s="709"/>
      <c r="AG514" s="711"/>
      <c r="AH514" s="711"/>
      <c r="AI514" s="711"/>
      <c r="AJ514" s="711"/>
      <c r="AK514" s="740"/>
      <c r="AL514" s="548"/>
      <c r="AM514" s="548"/>
      <c r="AN514" s="533"/>
      <c r="AO514" s="30"/>
      <c r="AP514" s="548"/>
      <c r="AQ514" s="548"/>
      <c r="AR514" s="548"/>
      <c r="AS514" s="548"/>
      <c r="AT514" s="548"/>
      <c r="AU514" s="782"/>
      <c r="AV514" s="782"/>
      <c r="AW514" s="782"/>
      <c r="AX514" s="782"/>
      <c r="AY514" s="782"/>
      <c r="AZ514" s="782"/>
      <c r="BA514" s="782"/>
      <c r="BB514" s="548"/>
      <c r="BC514" s="548"/>
      <c r="BD514" s="535"/>
      <c r="BE514" s="548"/>
      <c r="BF514" s="548"/>
      <c r="BG514" s="548"/>
      <c r="BH514" s="548"/>
      <c r="BI514" s="548"/>
      <c r="BJ514" s="782"/>
      <c r="BK514" s="782"/>
      <c r="BL514" s="782"/>
      <c r="BM514" s="782"/>
      <c r="BN514" s="782"/>
      <c r="BO514" s="782"/>
      <c r="BP514" s="782"/>
      <c r="BQ514" s="548"/>
      <c r="BR514" s="548"/>
      <c r="BS514" s="535"/>
      <c r="BT514" s="535"/>
      <c r="BU514" s="535"/>
      <c r="BV514" s="535"/>
      <c r="BW514" s="535"/>
      <c r="BX514" s="535"/>
      <c r="BY514" s="535"/>
      <c r="BZ514" s="535"/>
      <c r="CA514" s="535"/>
      <c r="CB514" s="535"/>
      <c r="CC514" s="535"/>
    </row>
    <row r="515" spans="1:81" s="567" customFormat="1" ht="12.75" hidden="1" customHeight="1">
      <c r="A515" s="674"/>
      <c r="B515" s="548"/>
      <c r="C515" s="757"/>
      <c r="D515" s="548"/>
      <c r="E515" s="758"/>
      <c r="F515" s="2538"/>
      <c r="G515" s="2538"/>
      <c r="H515" s="2538"/>
      <c r="I515" s="2538"/>
      <c r="J515" s="2538"/>
      <c r="K515" s="2538"/>
      <c r="L515" s="2538"/>
      <c r="M515" s="2538"/>
      <c r="N515" s="2538"/>
      <c r="O515" s="2538"/>
      <c r="P515" s="2538"/>
      <c r="Q515" s="2538"/>
      <c r="R515" s="2538"/>
      <c r="S515" s="2538"/>
      <c r="T515" s="2538"/>
      <c r="U515" s="2538"/>
      <c r="V515" s="2538"/>
      <c r="W515" s="2538"/>
      <c r="X515" s="2538"/>
      <c r="Y515" s="2538"/>
      <c r="Z515" s="2538"/>
      <c r="AA515" s="2538"/>
      <c r="AB515" s="2538"/>
      <c r="AC515" s="2538"/>
      <c r="AD515" s="2538"/>
      <c r="AE515" s="2538"/>
      <c r="AF515" s="548"/>
      <c r="AG515" s="549"/>
      <c r="AH515" s="549"/>
      <c r="AI515" s="549"/>
      <c r="AJ515" s="549"/>
      <c r="AK515" s="727"/>
      <c r="AL515" s="548"/>
      <c r="AM515" s="548"/>
      <c r="AN515" s="533"/>
      <c r="AO515" s="30"/>
      <c r="AP515" s="783"/>
      <c r="AQ515" s="783"/>
      <c r="AR515" s="783"/>
      <c r="AS515" s="674"/>
      <c r="AT515" s="548"/>
      <c r="AU515" s="784"/>
      <c r="AV515" s="784"/>
      <c r="AW515" s="784"/>
      <c r="AX515" s="784"/>
      <c r="AY515" s="784"/>
      <c r="AZ515" s="784"/>
      <c r="BA515" s="784"/>
      <c r="BB515" s="14"/>
      <c r="BC515" s="14"/>
      <c r="BD515" s="535"/>
      <c r="BE515" s="783"/>
      <c r="BF515" s="783"/>
      <c r="BG515" s="783"/>
      <c r="BH515" s="674"/>
      <c r="BI515" s="548"/>
      <c r="BJ515" s="785"/>
      <c r="BK515" s="784"/>
      <c r="BL515" s="784"/>
      <c r="BM515" s="784"/>
      <c r="BN515" s="784"/>
      <c r="BO515" s="784"/>
      <c r="BP515" s="784"/>
      <c r="BQ515" s="14"/>
      <c r="BR515" s="548"/>
      <c r="BS515" s="535"/>
      <c r="BT515" s="535"/>
      <c r="BU515" s="535"/>
      <c r="BV515" s="535"/>
      <c r="BW515" s="535"/>
      <c r="BX515" s="535"/>
      <c r="BY515" s="535"/>
      <c r="BZ515" s="535"/>
      <c r="CA515" s="535"/>
      <c r="CB515" s="535"/>
      <c r="CC515" s="535"/>
    </row>
    <row r="516" spans="1:81" s="567" customFormat="1" ht="12.75" hidden="1" customHeight="1">
      <c r="A516" s="674"/>
      <c r="B516" s="548"/>
      <c r="C516" s="759"/>
      <c r="D516" s="722"/>
      <c r="E516" s="760"/>
      <c r="F516" s="2629" t="s">
        <v>589</v>
      </c>
      <c r="G516" s="2629"/>
      <c r="H516" s="2629"/>
      <c r="I516" s="2629"/>
      <c r="J516" s="2629"/>
      <c r="K516" s="2629"/>
      <c r="L516" s="2629"/>
      <c r="M516" s="2629"/>
      <c r="N516" s="2629"/>
      <c r="O516" s="2629"/>
      <c r="P516" s="2629"/>
      <c r="Q516" s="2629"/>
      <c r="R516" s="2629"/>
      <c r="S516" s="2629"/>
      <c r="T516" s="2629"/>
      <c r="U516" s="2629"/>
      <c r="V516" s="2629"/>
      <c r="W516" s="2629"/>
      <c r="X516" s="2629"/>
      <c r="Y516" s="2629"/>
      <c r="Z516" s="2629"/>
      <c r="AA516" s="761"/>
      <c r="AB516" s="653"/>
      <c r="AC516" s="653"/>
      <c r="AD516" s="722"/>
      <c r="AE516" s="722"/>
      <c r="AF516" s="722"/>
      <c r="AG516" s="762">
        <f>IF($C$514="Yes",(VLOOKUP($F$516,$AO$484:$AP$492,2,FALSE)),0)</f>
        <v>0</v>
      </c>
      <c r="AH516" s="763" t="s">
        <v>1320</v>
      </c>
      <c r="AI516" s="762"/>
      <c r="AJ516" s="653"/>
      <c r="AK516" s="737"/>
      <c r="AL516" s="548"/>
      <c r="AM516" s="548"/>
      <c r="AN516" s="533"/>
      <c r="AO516" s="30"/>
      <c r="AP516" s="783"/>
      <c r="AQ516" s="783"/>
      <c r="AR516" s="783"/>
      <c r="AS516" s="674"/>
      <c r="AT516" s="548"/>
      <c r="AU516" s="784"/>
      <c r="AV516" s="784"/>
      <c r="AW516" s="784"/>
      <c r="AX516" s="784"/>
      <c r="AY516" s="784"/>
      <c r="AZ516" s="784"/>
      <c r="BA516" s="784"/>
      <c r="BB516" s="14"/>
      <c r="BC516" s="14"/>
      <c r="BD516" s="535"/>
      <c r="BE516" s="783"/>
      <c r="BF516" s="783"/>
      <c r="BG516" s="783"/>
      <c r="BH516" s="674"/>
      <c r="BI516" s="548"/>
      <c r="BJ516" s="785"/>
      <c r="BK516" s="784"/>
      <c r="BL516" s="784"/>
      <c r="BM516" s="784"/>
      <c r="BN516" s="784"/>
      <c r="BO516" s="784"/>
      <c r="BP516" s="784"/>
      <c r="BQ516" s="14"/>
      <c r="BR516" s="548"/>
      <c r="BS516" s="535"/>
      <c r="BT516" s="535"/>
      <c r="BU516" s="535"/>
      <c r="BV516" s="535"/>
      <c r="BW516" s="535"/>
      <c r="BX516" s="535"/>
      <c r="BY516" s="535"/>
      <c r="BZ516" s="535"/>
      <c r="CA516" s="535"/>
      <c r="CB516" s="535"/>
      <c r="CC516" s="535"/>
    </row>
    <row r="517" spans="1:81" s="567" customFormat="1" ht="12.75" hidden="1" customHeight="1">
      <c r="A517" s="674"/>
      <c r="B517" s="548"/>
      <c r="C517" s="707"/>
      <c r="D517" s="548"/>
      <c r="E517" s="758"/>
      <c r="F517" s="549"/>
      <c r="G517" s="549"/>
      <c r="H517" s="549"/>
      <c r="I517" s="549"/>
      <c r="J517" s="549"/>
      <c r="K517" s="549"/>
      <c r="L517" s="549"/>
      <c r="M517" s="549"/>
      <c r="N517" s="549"/>
      <c r="O517" s="549"/>
      <c r="P517" s="549"/>
      <c r="Q517" s="549"/>
      <c r="R517" s="549"/>
      <c r="S517" s="549"/>
      <c r="T517" s="549"/>
      <c r="U517" s="549"/>
      <c r="V517" s="549"/>
      <c r="W517" s="549"/>
      <c r="X517" s="549"/>
      <c r="Y517" s="549"/>
      <c r="Z517" s="549"/>
      <c r="AA517" s="549"/>
      <c r="AB517" s="549"/>
      <c r="AC517" s="549"/>
      <c r="AD517" s="548"/>
      <c r="AE517" s="548"/>
      <c r="AF517" s="548"/>
      <c r="AG517" s="549"/>
      <c r="AH517" s="549"/>
      <c r="AI517" s="549"/>
      <c r="AJ517" s="549"/>
      <c r="AK517" s="548"/>
      <c r="AL517" s="548"/>
      <c r="AM517" s="548"/>
      <c r="AN517" s="533"/>
      <c r="AO517" s="30"/>
      <c r="AP517" s="783"/>
      <c r="AQ517" s="783"/>
      <c r="AR517" s="783"/>
      <c r="AS517" s="674"/>
      <c r="AT517" s="548"/>
      <c r="AU517" s="784"/>
      <c r="AV517" s="784"/>
      <c r="AW517" s="784"/>
      <c r="AX517" s="784"/>
      <c r="AY517" s="784"/>
      <c r="AZ517" s="784"/>
      <c r="BA517" s="784"/>
      <c r="BB517" s="14"/>
      <c r="BC517" s="14"/>
      <c r="BD517" s="535"/>
      <c r="BE517" s="783"/>
      <c r="BF517" s="783"/>
      <c r="BG517" s="783"/>
      <c r="BH517" s="674"/>
      <c r="BI517" s="548"/>
      <c r="BJ517" s="785"/>
      <c r="BK517" s="784"/>
      <c r="BL517" s="784"/>
      <c r="BM517" s="784"/>
      <c r="BN517" s="784"/>
      <c r="BO517" s="784"/>
      <c r="BP517" s="784"/>
      <c r="BQ517" s="14"/>
      <c r="BR517" s="548"/>
      <c r="BS517" s="535"/>
      <c r="BT517" s="535"/>
      <c r="BU517" s="535"/>
      <c r="BV517" s="535"/>
      <c r="BW517" s="535"/>
      <c r="BX517" s="535"/>
      <c r="BY517" s="535"/>
      <c r="BZ517" s="535"/>
      <c r="CA517" s="535"/>
      <c r="CB517" s="535"/>
      <c r="CC517" s="535"/>
    </row>
    <row r="518" spans="1:81" s="567" customFormat="1" ht="12.75" hidden="1" customHeight="1">
      <c r="A518" s="548"/>
      <c r="B518" s="548"/>
      <c r="C518" s="2535" t="s">
        <v>589</v>
      </c>
      <c r="D518" s="2536"/>
      <c r="E518" s="756" t="s">
        <v>755</v>
      </c>
      <c r="F518" s="2630" t="s">
        <v>1528</v>
      </c>
      <c r="G518" s="2630"/>
      <c r="H518" s="2630"/>
      <c r="I518" s="2630"/>
      <c r="J518" s="2630"/>
      <c r="K518" s="2630"/>
      <c r="L518" s="2630"/>
      <c r="M518" s="2630"/>
      <c r="N518" s="2630"/>
      <c r="O518" s="2630"/>
      <c r="P518" s="2630"/>
      <c r="Q518" s="2630"/>
      <c r="R518" s="2630"/>
      <c r="S518" s="2630"/>
      <c r="T518" s="2630"/>
      <c r="U518" s="2630"/>
      <c r="V518" s="2630"/>
      <c r="W518" s="2630"/>
      <c r="X518" s="2630"/>
      <c r="Y518" s="2630"/>
      <c r="Z518" s="2630"/>
      <c r="AA518" s="2630"/>
      <c r="AB518" s="2630"/>
      <c r="AC518" s="2630"/>
      <c r="AD518" s="2630"/>
      <c r="AE518" s="2630"/>
      <c r="AF518" s="709"/>
      <c r="AG518" s="644"/>
      <c r="AH518" s="644"/>
      <c r="AI518" s="644"/>
      <c r="AJ518" s="644"/>
      <c r="AK518" s="740"/>
      <c r="AL518" s="548"/>
      <c r="AM518" s="548"/>
      <c r="AN518" s="533"/>
      <c r="AO518" s="30"/>
      <c r="AP518" s="783"/>
      <c r="AQ518" s="783"/>
      <c r="AR518" s="783"/>
      <c r="AS518" s="674"/>
      <c r="AT518" s="548"/>
      <c r="AU518" s="784"/>
      <c r="AV518" s="784"/>
      <c r="AW518" s="784"/>
      <c r="AX518" s="784"/>
      <c r="AY518" s="784"/>
      <c r="AZ518" s="784"/>
      <c r="BA518" s="784"/>
      <c r="BB518" s="14"/>
      <c r="BC518" s="14"/>
      <c r="BD518" s="535"/>
      <c r="BE518" s="783"/>
      <c r="BF518" s="783"/>
      <c r="BG518" s="783"/>
      <c r="BH518" s="674"/>
      <c r="BI518" s="548"/>
      <c r="BJ518" s="785"/>
      <c r="BK518" s="784"/>
      <c r="BL518" s="784"/>
      <c r="BM518" s="784"/>
      <c r="BN518" s="784"/>
      <c r="BO518" s="784"/>
      <c r="BP518" s="784"/>
      <c r="BQ518" s="14"/>
      <c r="BR518" s="548"/>
      <c r="BS518" s="535"/>
      <c r="BT518" s="535"/>
      <c r="BU518" s="535"/>
      <c r="BV518" s="535"/>
      <c r="BW518" s="535"/>
      <c r="BX518" s="535"/>
      <c r="BY518" s="535"/>
      <c r="BZ518" s="535"/>
      <c r="CA518" s="535"/>
      <c r="CB518" s="535"/>
      <c r="CC518" s="535"/>
    </row>
    <row r="519" spans="1:81" s="567" customFormat="1" ht="12.75" hidden="1" customHeight="1">
      <c r="A519" s="548"/>
      <c r="B519" s="548"/>
      <c r="C519" s="757"/>
      <c r="D519" s="548"/>
      <c r="E519" s="758"/>
      <c r="F519" s="2631"/>
      <c r="G519" s="2631"/>
      <c r="H519" s="2631"/>
      <c r="I519" s="2631"/>
      <c r="J519" s="2631"/>
      <c r="K519" s="2631"/>
      <c r="L519" s="2631"/>
      <c r="M519" s="2631"/>
      <c r="N519" s="2631"/>
      <c r="O519" s="2631"/>
      <c r="P519" s="2631"/>
      <c r="Q519" s="2631"/>
      <c r="R519" s="2631"/>
      <c r="S519" s="2631"/>
      <c r="T519" s="2631"/>
      <c r="U519" s="2631"/>
      <c r="V519" s="2631"/>
      <c r="W519" s="2631"/>
      <c r="X519" s="2631"/>
      <c r="Y519" s="2631"/>
      <c r="Z519" s="2631"/>
      <c r="AA519" s="2631"/>
      <c r="AB519" s="2631"/>
      <c r="AC519" s="2631"/>
      <c r="AD519" s="2631"/>
      <c r="AE519" s="2631"/>
      <c r="AF519" s="548"/>
      <c r="AG519" s="549"/>
      <c r="AH519" s="549"/>
      <c r="AI519" s="549"/>
      <c r="AJ519" s="549"/>
      <c r="AK519" s="727"/>
      <c r="AL519" s="548"/>
      <c r="AM519" s="548"/>
      <c r="AN519" s="533"/>
      <c r="AO519" s="30"/>
      <c r="AP519" s="783"/>
      <c r="AQ519" s="783"/>
      <c r="AR519" s="783"/>
      <c r="AS519" s="674"/>
      <c r="AT519" s="548"/>
      <c r="AU519" s="784"/>
      <c r="AV519" s="784"/>
      <c r="AW519" s="784"/>
      <c r="AX519" s="784"/>
      <c r="AY519" s="784"/>
      <c r="AZ519" s="784"/>
      <c r="BA519" s="784"/>
      <c r="BB519" s="14"/>
      <c r="BC519" s="14"/>
      <c r="BD519" s="535"/>
      <c r="BE519" s="783"/>
      <c r="BF519" s="783"/>
      <c r="BG519" s="783"/>
      <c r="BH519" s="674"/>
      <c r="BI519" s="548"/>
      <c r="BJ519" s="785"/>
      <c r="BK519" s="784"/>
      <c r="BL519" s="784"/>
      <c r="BM519" s="784"/>
      <c r="BN519" s="784"/>
      <c r="BO519" s="784"/>
      <c r="BP519" s="784"/>
      <c r="BQ519" s="14"/>
      <c r="BR519" s="548"/>
      <c r="BS519" s="535"/>
      <c r="BT519" s="535"/>
      <c r="BU519" s="535"/>
      <c r="BV519" s="535"/>
      <c r="BW519" s="535"/>
      <c r="BX519" s="535"/>
      <c r="BY519" s="535"/>
      <c r="BZ519" s="535"/>
      <c r="CA519" s="535"/>
      <c r="CB519" s="535"/>
      <c r="CC519" s="535"/>
    </row>
    <row r="520" spans="1:81" s="567" customFormat="1" ht="12.75" hidden="1" customHeight="1">
      <c r="A520" s="548"/>
      <c r="B520" s="548"/>
      <c r="C520" s="734"/>
      <c r="D520" s="548"/>
      <c r="E520" s="548"/>
      <c r="F520" s="777" t="s">
        <v>1529</v>
      </c>
      <c r="G520" s="549"/>
      <c r="H520" s="549"/>
      <c r="I520" s="549"/>
      <c r="J520" s="549"/>
      <c r="K520" s="549"/>
      <c r="L520" s="549"/>
      <c r="M520" s="549"/>
      <c r="N520" s="549"/>
      <c r="O520" s="549"/>
      <c r="P520" s="549"/>
      <c r="Q520" s="549"/>
      <c r="R520" s="549"/>
      <c r="S520" s="549"/>
      <c r="T520" s="549"/>
      <c r="U520" s="549"/>
      <c r="V520" s="549"/>
      <c r="W520" s="549"/>
      <c r="X520" s="549"/>
      <c r="Y520" s="549"/>
      <c r="Z520" s="549"/>
      <c r="AA520" s="549"/>
      <c r="AB520" s="549"/>
      <c r="AC520" s="588"/>
      <c r="AD520" s="548"/>
      <c r="AE520" s="548"/>
      <c r="AF520" s="548"/>
      <c r="AG520" s="610"/>
      <c r="AH520" s="610"/>
      <c r="AI520" s="610"/>
      <c r="AJ520" s="610"/>
      <c r="AK520" s="727"/>
      <c r="AL520" s="548"/>
      <c r="AM520" s="548"/>
      <c r="AN520" s="533"/>
      <c r="AO520" s="535"/>
      <c r="AP520" s="783"/>
      <c r="AQ520" s="783"/>
      <c r="AR520" s="783"/>
      <c r="AS520" s="674"/>
      <c r="AT520" s="548"/>
      <c r="AU520" s="784"/>
      <c r="AV520" s="784"/>
      <c r="AW520" s="784"/>
      <c r="AX520" s="784"/>
      <c r="AY520" s="784"/>
      <c r="AZ520" s="784"/>
      <c r="BA520" s="784"/>
      <c r="BB520" s="535"/>
      <c r="BC520" s="535"/>
      <c r="BD520" s="535"/>
      <c r="BE520" s="783"/>
      <c r="BF520" s="783"/>
      <c r="BG520" s="783"/>
      <c r="BH520" s="674"/>
      <c r="BI520" s="548"/>
      <c r="BJ520" s="785"/>
      <c r="BK520" s="784"/>
      <c r="BL520" s="784"/>
      <c r="BM520" s="784"/>
      <c r="BN520" s="784"/>
      <c r="BO520" s="784"/>
      <c r="BP520" s="784"/>
      <c r="BQ520" s="535"/>
      <c r="BR520" s="548"/>
      <c r="BS520" s="535"/>
      <c r="BT520" s="535"/>
      <c r="BU520" s="535"/>
      <c r="BV520" s="535"/>
      <c r="BW520" s="535"/>
      <c r="BX520" s="535"/>
      <c r="BY520" s="535"/>
      <c r="BZ520" s="535"/>
      <c r="CA520" s="535"/>
      <c r="CB520" s="535"/>
      <c r="CC520" s="535"/>
    </row>
    <row r="521" spans="1:81" s="567" customFormat="1" hidden="1">
      <c r="A521" s="548"/>
      <c r="B521" s="548"/>
      <c r="C521" s="759"/>
      <c r="D521" s="722"/>
      <c r="E521" s="760"/>
      <c r="F521" s="2632" t="s">
        <v>589</v>
      </c>
      <c r="G521" s="2632"/>
      <c r="H521" s="2632"/>
      <c r="I521" s="653"/>
      <c r="J521" s="653"/>
      <c r="K521" s="653"/>
      <c r="L521" s="653"/>
      <c r="M521" s="653"/>
      <c r="N521" s="653"/>
      <c r="O521" s="653"/>
      <c r="P521" s="653"/>
      <c r="Q521" s="653"/>
      <c r="R521" s="653"/>
      <c r="S521" s="653"/>
      <c r="T521" s="653"/>
      <c r="U521" s="653"/>
      <c r="V521" s="653"/>
      <c r="W521" s="653"/>
      <c r="X521" s="653"/>
      <c r="Y521" s="653"/>
      <c r="Z521" s="653"/>
      <c r="AA521" s="653"/>
      <c r="AB521" s="653"/>
      <c r="AC521" s="653"/>
      <c r="AD521" s="722"/>
      <c r="AE521" s="722"/>
      <c r="AF521" s="722"/>
      <c r="AG521" s="762">
        <f>IF($C$518="Yes",(VLOOKUP($F$521,$AO$494:$AP$496,2,FALSE)),0)</f>
        <v>0</v>
      </c>
      <c r="AH521" s="763" t="s">
        <v>1320</v>
      </c>
      <c r="AI521" s="653"/>
      <c r="AJ521" s="653"/>
      <c r="AK521" s="737"/>
      <c r="AL521" s="548"/>
      <c r="AM521" s="548"/>
      <c r="AN521" s="533"/>
      <c r="AO521" s="535"/>
      <c r="AP521" s="783"/>
      <c r="AQ521" s="783"/>
      <c r="AR521" s="783"/>
      <c r="AS521" s="782"/>
      <c r="AT521" s="548"/>
      <c r="AU521" s="784"/>
      <c r="AV521" s="784"/>
      <c r="AW521" s="784"/>
      <c r="AX521" s="784"/>
      <c r="AY521" s="784"/>
      <c r="AZ521" s="784"/>
      <c r="BA521" s="784"/>
      <c r="BB521" s="535"/>
      <c r="BC521" s="535"/>
      <c r="BD521" s="535"/>
      <c r="BE521" s="783"/>
      <c r="BF521" s="783"/>
      <c r="BG521" s="783"/>
      <c r="BH521" s="782"/>
      <c r="BI521" s="548"/>
      <c r="BJ521" s="785"/>
      <c r="BK521" s="784"/>
      <c r="BL521" s="784"/>
      <c r="BM521" s="784"/>
      <c r="BN521" s="784"/>
      <c r="BO521" s="784"/>
      <c r="BP521" s="784"/>
      <c r="BQ521" s="535"/>
      <c r="BR521" s="548"/>
      <c r="BS521" s="535"/>
      <c r="BT521" s="535"/>
      <c r="BU521" s="535"/>
      <c r="BV521" s="535"/>
      <c r="BW521" s="535"/>
      <c r="BX521" s="535"/>
      <c r="BY521" s="535"/>
      <c r="BZ521" s="535"/>
      <c r="CA521" s="535"/>
      <c r="CB521" s="535"/>
      <c r="CC521" s="535"/>
    </row>
    <row r="522" spans="1:81" s="567" customFormat="1" hidden="1">
      <c r="A522" s="549"/>
      <c r="B522" s="549"/>
      <c r="C522" s="549"/>
      <c r="D522" s="549"/>
      <c r="E522" s="549"/>
      <c r="F522" s="549"/>
      <c r="G522" s="549"/>
      <c r="H522" s="549"/>
      <c r="I522" s="549"/>
      <c r="J522" s="549"/>
      <c r="K522" s="549"/>
      <c r="L522" s="549"/>
      <c r="M522" s="549"/>
      <c r="N522" s="549"/>
      <c r="O522" s="549"/>
      <c r="P522" s="549"/>
      <c r="Q522" s="549"/>
      <c r="R522" s="549"/>
      <c r="S522" s="549"/>
      <c r="T522" s="549"/>
      <c r="U522" s="549"/>
      <c r="V522" s="549"/>
      <c r="W522" s="549"/>
      <c r="X522" s="549"/>
      <c r="Y522" s="549"/>
      <c r="Z522" s="549"/>
      <c r="AA522" s="549"/>
      <c r="AB522" s="549"/>
      <c r="AC522" s="549"/>
      <c r="AD522" s="549"/>
      <c r="AE522" s="548"/>
      <c r="AF522" s="548"/>
      <c r="AG522" s="610"/>
      <c r="AH522" s="637"/>
      <c r="AI522" s="549"/>
      <c r="AJ522" s="549"/>
      <c r="AK522" s="548"/>
      <c r="AL522" s="548"/>
      <c r="AM522" s="548"/>
      <c r="AN522" s="533"/>
      <c r="AO522" s="535"/>
      <c r="AP522" s="783"/>
      <c r="AQ522" s="783"/>
      <c r="AR522" s="783"/>
      <c r="AS522" s="782"/>
      <c r="AT522" s="548"/>
      <c r="AU522" s="784"/>
      <c r="AV522" s="784"/>
      <c r="AW522" s="784"/>
      <c r="AX522" s="784"/>
      <c r="AY522" s="784"/>
      <c r="AZ522" s="784"/>
      <c r="BA522" s="784"/>
      <c r="BB522" s="535"/>
      <c r="BC522" s="535"/>
      <c r="BD522" s="535"/>
      <c r="BE522" s="783"/>
      <c r="BF522" s="783"/>
      <c r="BG522" s="783"/>
      <c r="BH522" s="782"/>
      <c r="BI522" s="548"/>
      <c r="BJ522" s="785"/>
      <c r="BK522" s="784"/>
      <c r="BL522" s="784"/>
      <c r="BM522" s="784"/>
      <c r="BN522" s="784"/>
      <c r="BO522" s="784"/>
      <c r="BP522" s="784"/>
      <c r="BQ522" s="535"/>
      <c r="BR522" s="548"/>
      <c r="BS522" s="535"/>
      <c r="BT522" s="535"/>
      <c r="BU522" s="535"/>
      <c r="BV522" s="535"/>
      <c r="BW522" s="535"/>
      <c r="BX522" s="535"/>
      <c r="BY522" s="535"/>
      <c r="BZ522" s="535"/>
      <c r="CA522" s="535"/>
      <c r="CB522" s="535"/>
      <c r="CC522" s="535"/>
    </row>
    <row r="523" spans="1:81" s="567" customFormat="1" hidden="1">
      <c r="A523" s="548"/>
      <c r="B523" s="548"/>
      <c r="C523" s="2535" t="s">
        <v>589</v>
      </c>
      <c r="D523" s="2536"/>
      <c r="E523" s="756" t="s">
        <v>1530</v>
      </c>
      <c r="F523" s="775" t="s">
        <v>1531</v>
      </c>
      <c r="G523" s="644"/>
      <c r="H523" s="644"/>
      <c r="I523" s="644"/>
      <c r="J523" s="644"/>
      <c r="K523" s="644"/>
      <c r="L523" s="644"/>
      <c r="M523" s="644"/>
      <c r="N523" s="644"/>
      <c r="O523" s="644"/>
      <c r="P523" s="644"/>
      <c r="Q523" s="644"/>
      <c r="R523" s="644"/>
      <c r="S523" s="644"/>
      <c r="T523" s="644"/>
      <c r="U523" s="644"/>
      <c r="V523" s="644"/>
      <c r="W523" s="644"/>
      <c r="X523" s="644"/>
      <c r="Y523" s="644"/>
      <c r="Z523" s="644"/>
      <c r="AA523" s="644"/>
      <c r="AB523" s="644"/>
      <c r="AC523" s="786"/>
      <c r="AD523" s="709"/>
      <c r="AE523" s="709"/>
      <c r="AF523" s="709"/>
      <c r="AG523" s="787"/>
      <c r="AH523" s="787"/>
      <c r="AI523" s="787"/>
      <c r="AJ523" s="787"/>
      <c r="AK523" s="740"/>
      <c r="AL523" s="548"/>
      <c r="AM523" s="548"/>
      <c r="AN523" s="533"/>
      <c r="AO523" s="535"/>
      <c r="AP523" s="783"/>
      <c r="AQ523" s="783"/>
      <c r="AR523" s="783"/>
      <c r="AS523" s="782"/>
      <c r="AT523" s="548"/>
      <c r="AU523" s="784"/>
      <c r="AV523" s="784"/>
      <c r="AW523" s="784"/>
      <c r="AX523" s="784"/>
      <c r="AY523" s="784"/>
      <c r="AZ523" s="784"/>
      <c r="BA523" s="784"/>
      <c r="BB523" s="535"/>
      <c r="BC523" s="535"/>
      <c r="BD523" s="535"/>
      <c r="BE523" s="783"/>
      <c r="BF523" s="783"/>
      <c r="BG523" s="783"/>
      <c r="BH523" s="782"/>
      <c r="BI523" s="548"/>
      <c r="BJ523" s="785"/>
      <c r="BK523" s="784"/>
      <c r="BL523" s="784"/>
      <c r="BM523" s="784"/>
      <c r="BN523" s="784"/>
      <c r="BO523" s="784"/>
      <c r="BP523" s="784"/>
      <c r="BQ523" s="535"/>
      <c r="BR523" s="548"/>
      <c r="BS523" s="535"/>
      <c r="BT523" s="535"/>
      <c r="BU523" s="535"/>
      <c r="BV523" s="535"/>
      <c r="BW523" s="535"/>
      <c r="BX523" s="535"/>
      <c r="BY523" s="535"/>
      <c r="BZ523" s="535"/>
      <c r="CA523" s="535"/>
      <c r="CB523" s="535"/>
      <c r="CC523" s="535"/>
    </row>
    <row r="524" spans="1:81" s="567" customFormat="1" hidden="1">
      <c r="A524" s="548"/>
      <c r="B524" s="548"/>
      <c r="C524" s="757"/>
      <c r="D524" s="548"/>
      <c r="E524" s="758"/>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8"/>
      <c r="AE524" s="548"/>
      <c r="AF524" s="548"/>
      <c r="AG524" s="549"/>
      <c r="AH524" s="549"/>
      <c r="AI524" s="549"/>
      <c r="AJ524" s="549"/>
      <c r="AK524" s="727"/>
      <c r="AL524" s="548"/>
      <c r="AM524" s="548"/>
      <c r="AN524" s="533"/>
      <c r="AO524" s="535"/>
      <c r="AP524" s="783"/>
      <c r="AQ524" s="783"/>
      <c r="AR524" s="783"/>
      <c r="AS524" s="782"/>
      <c r="AT524" s="548"/>
      <c r="AU524" s="784"/>
      <c r="AV524" s="784"/>
      <c r="AW524" s="784"/>
      <c r="AX524" s="784"/>
      <c r="AY524" s="784"/>
      <c r="AZ524" s="784"/>
      <c r="BA524" s="784"/>
      <c r="BB524" s="535"/>
      <c r="BC524" s="535"/>
      <c r="BD524" s="535"/>
      <c r="BE524" s="783"/>
      <c r="BF524" s="783"/>
      <c r="BG524" s="783"/>
      <c r="BH524" s="782"/>
      <c r="BI524" s="548"/>
      <c r="BJ524" s="785"/>
      <c r="BK524" s="784"/>
      <c r="BL524" s="784"/>
      <c r="BM524" s="784"/>
      <c r="BN524" s="784"/>
      <c r="BO524" s="784"/>
      <c r="BP524" s="784"/>
      <c r="BQ524" s="535"/>
      <c r="BR524" s="14"/>
      <c r="BS524" s="535"/>
      <c r="BT524" s="535"/>
      <c r="BU524" s="535"/>
      <c r="BV524" s="535"/>
      <c r="BW524" s="535"/>
      <c r="BX524" s="535"/>
      <c r="BY524" s="535"/>
      <c r="BZ524" s="535"/>
      <c r="CA524" s="535"/>
      <c r="CB524" s="535"/>
      <c r="CC524" s="535"/>
    </row>
    <row r="525" spans="1:81" s="567" customFormat="1" hidden="1">
      <c r="A525" s="548"/>
      <c r="B525" s="548"/>
      <c r="C525" s="2607"/>
      <c r="D525" s="2608"/>
      <c r="E525" s="767"/>
      <c r="F525" s="549" t="s">
        <v>1532</v>
      </c>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88"/>
      <c r="AD525" s="548"/>
      <c r="AE525" s="548"/>
      <c r="AF525" s="548"/>
      <c r="AG525" s="610">
        <f>IF($C$523="Yes",(VLOOKUP($G$526,$AO$501:$AP$504,2,FALSE)),0)</f>
        <v>0</v>
      </c>
      <c r="AH525" s="637" t="s">
        <v>1320</v>
      </c>
      <c r="AI525" s="549"/>
      <c r="AJ525" s="610"/>
      <c r="AK525" s="727"/>
      <c r="AL525" s="548"/>
      <c r="AM525" s="548"/>
      <c r="AN525" s="533"/>
      <c r="AO525" s="535"/>
      <c r="AP525" s="783"/>
      <c r="AQ525" s="783"/>
      <c r="AR525" s="783"/>
      <c r="AS525" s="782"/>
      <c r="AT525" s="548"/>
      <c r="AU525" s="784"/>
      <c r="AV525" s="784"/>
      <c r="AW525" s="784"/>
      <c r="AX525" s="784"/>
      <c r="AY525" s="784"/>
      <c r="AZ525" s="784"/>
      <c r="BA525" s="784"/>
      <c r="BB525" s="535"/>
      <c r="BC525" s="535"/>
      <c r="BD525" s="535"/>
      <c r="BE525" s="783"/>
      <c r="BF525" s="783"/>
      <c r="BG525" s="783"/>
      <c r="BH525" s="782"/>
      <c r="BI525" s="548"/>
      <c r="BJ525" s="785"/>
      <c r="BK525" s="784"/>
      <c r="BL525" s="784"/>
      <c r="BM525" s="784"/>
      <c r="BN525" s="784"/>
      <c r="BO525" s="784"/>
      <c r="BP525" s="784"/>
      <c r="BQ525" s="535"/>
      <c r="BR525" s="548"/>
      <c r="BS525" s="535"/>
      <c r="BT525" s="535"/>
      <c r="BU525" s="535"/>
      <c r="BV525" s="535"/>
      <c r="BW525" s="535"/>
      <c r="BX525" s="535"/>
      <c r="BY525" s="535"/>
      <c r="BZ525" s="535"/>
      <c r="CA525" s="535"/>
      <c r="CB525" s="535"/>
      <c r="CC525" s="535"/>
    </row>
    <row r="526" spans="1:81" s="567" customFormat="1" hidden="1">
      <c r="A526" s="548"/>
      <c r="B526" s="548"/>
      <c r="C526" s="757"/>
      <c r="D526" s="548"/>
      <c r="E526" s="758"/>
      <c r="F526" s="549"/>
      <c r="G526" s="2609" t="s">
        <v>589</v>
      </c>
      <c r="H526" s="2609"/>
      <c r="I526" s="2609"/>
      <c r="J526" s="2609"/>
      <c r="K526" s="2609"/>
      <c r="L526" s="2609"/>
      <c r="M526" s="2609"/>
      <c r="N526" s="2609"/>
      <c r="O526" s="2609"/>
      <c r="P526" s="2609"/>
      <c r="Q526" s="2609"/>
      <c r="R526" s="2609"/>
      <c r="S526" s="2609"/>
      <c r="T526" s="2609"/>
      <c r="U526" s="2609"/>
      <c r="V526" s="2609"/>
      <c r="W526" s="2609"/>
      <c r="X526" s="2609"/>
      <c r="Y526" s="2609"/>
      <c r="Z526" s="2609"/>
      <c r="AA526" s="2609"/>
      <c r="AB526" s="2609"/>
      <c r="AC526" s="2609"/>
      <c r="AD526" s="2609"/>
      <c r="AE526" s="2609"/>
      <c r="AF526" s="2609"/>
      <c r="AG526" s="548"/>
      <c r="AH526" s="548"/>
      <c r="AI526" s="548"/>
      <c r="AJ526" s="549"/>
      <c r="AK526" s="727"/>
      <c r="AL526" s="548"/>
      <c r="AM526" s="548"/>
      <c r="AN526" s="533"/>
      <c r="AO526" s="535"/>
      <c r="AP526" s="783"/>
      <c r="AQ526" s="783"/>
      <c r="AR526" s="783"/>
      <c r="AS526" s="782"/>
      <c r="AT526" s="548"/>
      <c r="AU526" s="784"/>
      <c r="AV526" s="784"/>
      <c r="AW526" s="784"/>
      <c r="AX526" s="784"/>
      <c r="AY526" s="784"/>
      <c r="AZ526" s="784"/>
      <c r="BA526" s="784"/>
      <c r="BB526" s="535"/>
      <c r="BC526" s="535"/>
      <c r="BD526" s="535"/>
      <c r="BE526" s="783"/>
      <c r="BF526" s="783"/>
      <c r="BG526" s="783"/>
      <c r="BH526" s="782"/>
      <c r="BI526" s="548"/>
      <c r="BJ526" s="785"/>
      <c r="BK526" s="784"/>
      <c r="BL526" s="784"/>
      <c r="BM526" s="784"/>
      <c r="BN526" s="784"/>
      <c r="BO526" s="784"/>
      <c r="BP526" s="784"/>
      <c r="BQ526" s="535"/>
      <c r="BR526" s="548"/>
      <c r="BS526" s="535"/>
      <c r="BT526" s="535"/>
      <c r="BU526" s="535"/>
      <c r="BV526" s="535"/>
      <c r="BW526" s="535"/>
      <c r="BX526" s="535"/>
      <c r="BY526" s="535"/>
      <c r="BZ526" s="535"/>
      <c r="CA526" s="535"/>
      <c r="CB526" s="535"/>
      <c r="CC526" s="535"/>
    </row>
    <row r="527" spans="1:81" s="567" customFormat="1" hidden="1">
      <c r="A527" s="548"/>
      <c r="B527" s="548"/>
      <c r="C527" s="726"/>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8"/>
      <c r="AE527" s="548"/>
      <c r="AF527" s="548"/>
      <c r="AG527" s="14"/>
      <c r="AH527" s="14"/>
      <c r="AI527" s="14"/>
      <c r="AJ527" s="14"/>
      <c r="AK527" s="727"/>
      <c r="AL527" s="548"/>
      <c r="AM527" s="548"/>
      <c r="AN527" s="533"/>
      <c r="AO527" s="535"/>
      <c r="AP527" s="783"/>
      <c r="AQ527" s="783"/>
      <c r="AR527" s="783"/>
      <c r="AS527" s="782"/>
      <c r="AT527" s="548"/>
      <c r="AU527" s="784"/>
      <c r="AV527" s="784"/>
      <c r="AW527" s="784"/>
      <c r="AX527" s="784"/>
      <c r="AY527" s="784"/>
      <c r="AZ527" s="784"/>
      <c r="BA527" s="784"/>
      <c r="BB527" s="535"/>
      <c r="BC527" s="535"/>
      <c r="BD527" s="535"/>
      <c r="BE527" s="783"/>
      <c r="BF527" s="783"/>
      <c r="BG527" s="783"/>
      <c r="BH527" s="782"/>
      <c r="BI527" s="548"/>
      <c r="BJ527" s="785"/>
      <c r="BK527" s="784"/>
      <c r="BL527" s="784"/>
      <c r="BM527" s="784"/>
      <c r="BN527" s="784"/>
      <c r="BO527" s="784"/>
      <c r="BP527" s="784"/>
      <c r="BQ527" s="535"/>
      <c r="BR527" s="548"/>
      <c r="BS527" s="535"/>
      <c r="BT527" s="535"/>
      <c r="BU527" s="535"/>
      <c r="BV527" s="535"/>
      <c r="BW527" s="535"/>
      <c r="BX527" s="535"/>
      <c r="BY527" s="535"/>
      <c r="BZ527" s="535"/>
      <c r="CA527" s="535"/>
      <c r="CB527" s="535"/>
      <c r="CC527" s="535"/>
    </row>
    <row r="528" spans="1:81" s="567" customFormat="1" ht="12.75" hidden="1" customHeight="1">
      <c r="A528" s="14"/>
      <c r="B528" s="548"/>
      <c r="C528" s="2610" t="s">
        <v>589</v>
      </c>
      <c r="D528" s="2611"/>
      <c r="F528" s="549" t="s">
        <v>1533</v>
      </c>
      <c r="G528" s="549"/>
      <c r="H528" s="549"/>
      <c r="I528" s="549"/>
      <c r="J528" s="549"/>
      <c r="K528" s="549"/>
      <c r="L528" s="549"/>
      <c r="M528" s="549"/>
      <c r="N528" s="549"/>
      <c r="O528" s="549"/>
      <c r="P528" s="549"/>
      <c r="Q528" s="549"/>
      <c r="R528" s="549"/>
      <c r="S528" s="549"/>
      <c r="T528" s="549"/>
      <c r="U528" s="549"/>
      <c r="V528" s="549"/>
      <c r="W528" s="549"/>
      <c r="X528" s="549"/>
      <c r="Y528" s="549"/>
      <c r="Z528" s="549"/>
      <c r="AA528" s="549"/>
      <c r="AB528" s="549"/>
      <c r="AC528" s="588"/>
      <c r="AD528" s="548"/>
      <c r="AE528" s="548"/>
      <c r="AF528" s="548"/>
      <c r="AG528" s="610">
        <f>IF(AND($C$528="Yes",$C$523="Yes"),2,0)</f>
        <v>0</v>
      </c>
      <c r="AH528" s="637" t="s">
        <v>1320</v>
      </c>
      <c r="AI528" s="549"/>
      <c r="AJ528" s="591"/>
      <c r="AK528" s="727"/>
      <c r="AL528" s="548"/>
      <c r="AM528" s="548"/>
      <c r="AN528" s="533"/>
      <c r="AO528" s="535"/>
      <c r="AP528" s="783"/>
      <c r="AQ528" s="783"/>
      <c r="AR528" s="783"/>
      <c r="AS528" s="782"/>
      <c r="AT528" s="548"/>
      <c r="AU528" s="784"/>
      <c r="AV528" s="784"/>
      <c r="AW528" s="784"/>
      <c r="AX528" s="784"/>
      <c r="AY528" s="784"/>
      <c r="AZ528" s="784"/>
      <c r="BA528" s="784"/>
      <c r="BB528" s="535"/>
      <c r="BC528" s="535"/>
      <c r="BD528" s="535"/>
      <c r="BE528" s="783"/>
      <c r="BF528" s="783"/>
      <c r="BG528" s="783"/>
      <c r="BH528" s="782"/>
      <c r="BI528" s="548"/>
      <c r="BJ528" s="785"/>
      <c r="BK528" s="784"/>
      <c r="BL528" s="784"/>
      <c r="BM528" s="784"/>
      <c r="BN528" s="784"/>
      <c r="BO528" s="784"/>
      <c r="BP528" s="784"/>
      <c r="BQ528" s="535"/>
      <c r="BR528" s="548"/>
      <c r="BS528" s="535"/>
      <c r="BT528" s="535"/>
      <c r="BU528" s="535"/>
      <c r="BV528" s="535"/>
      <c r="BW528" s="535"/>
      <c r="BX528" s="535"/>
      <c r="BY528" s="535"/>
      <c r="BZ528" s="535"/>
      <c r="CA528" s="535"/>
      <c r="CB528" s="535"/>
      <c r="CC528" s="535"/>
    </row>
    <row r="529" spans="1:81" s="567" customFormat="1" hidden="1">
      <c r="A529" s="14"/>
      <c r="B529" s="548"/>
      <c r="C529" s="776"/>
      <c r="D529" s="725"/>
      <c r="E529" s="725"/>
      <c r="F529" s="549"/>
      <c r="G529" s="549" t="s">
        <v>1534</v>
      </c>
      <c r="H529" s="549"/>
      <c r="I529" s="549"/>
      <c r="J529" s="549"/>
      <c r="K529" s="549"/>
      <c r="L529" s="549"/>
      <c r="M529" s="549"/>
      <c r="N529" s="549"/>
      <c r="O529" s="549"/>
      <c r="P529" s="549"/>
      <c r="Q529" s="549"/>
      <c r="R529" s="549"/>
      <c r="S529" s="549"/>
      <c r="T529" s="549"/>
      <c r="U529" s="549"/>
      <c r="V529" s="549"/>
      <c r="W529" s="549"/>
      <c r="X529" s="549"/>
      <c r="Y529" s="549"/>
      <c r="Z529" s="549"/>
      <c r="AA529" s="549"/>
      <c r="AB529" s="549"/>
      <c r="AC529" s="588"/>
      <c r="AD529" s="548"/>
      <c r="AE529" s="548"/>
      <c r="AF529" s="548"/>
      <c r="AG529" s="591"/>
      <c r="AH529" s="591"/>
      <c r="AI529" s="591"/>
      <c r="AJ529" s="591"/>
      <c r="AK529" s="727"/>
      <c r="AL529" s="548"/>
      <c r="AM529" s="548"/>
      <c r="AN529" s="594"/>
      <c r="AO529" s="535"/>
      <c r="AP529" s="783"/>
      <c r="AQ529" s="783"/>
      <c r="AR529" s="783"/>
      <c r="AS529" s="782"/>
      <c r="AT529" s="548"/>
      <c r="AU529" s="784"/>
      <c r="AV529" s="784"/>
      <c r="AW529" s="784"/>
      <c r="AX529" s="784"/>
      <c r="AY529" s="784"/>
      <c r="AZ529" s="784"/>
      <c r="BA529" s="784"/>
      <c r="BB529" s="535"/>
      <c r="BC529" s="535"/>
      <c r="BD529" s="535"/>
      <c r="BE529" s="783"/>
      <c r="BF529" s="783"/>
      <c r="BG529" s="783"/>
      <c r="BH529" s="782"/>
      <c r="BI529" s="548"/>
      <c r="BJ529" s="785"/>
      <c r="BK529" s="784"/>
      <c r="BL529" s="784"/>
      <c r="BM529" s="784"/>
      <c r="BN529" s="784"/>
      <c r="BO529" s="784"/>
      <c r="BP529" s="784"/>
      <c r="BQ529" s="535"/>
      <c r="BR529" s="548"/>
      <c r="BS529" s="535"/>
      <c r="BT529" s="535"/>
      <c r="BU529" s="535"/>
      <c r="BV529" s="535"/>
      <c r="BW529" s="535"/>
      <c r="BX529" s="535"/>
      <c r="BY529" s="535"/>
      <c r="BZ529" s="535"/>
      <c r="CA529" s="535"/>
      <c r="CB529" s="535"/>
      <c r="CC529" s="535"/>
    </row>
    <row r="530" spans="1:81" s="548" customFormat="1" ht="12.75" hidden="1" customHeight="1">
      <c r="A530" s="14"/>
      <c r="C530" s="776"/>
      <c r="D530" s="725"/>
      <c r="E530" s="725"/>
      <c r="F530" s="549"/>
      <c r="G530" s="549" t="s">
        <v>1535</v>
      </c>
      <c r="H530" s="549"/>
      <c r="I530" s="549"/>
      <c r="J530" s="549"/>
      <c r="K530" s="549"/>
      <c r="L530" s="549"/>
      <c r="M530" s="549"/>
      <c r="N530" s="549"/>
      <c r="O530" s="549"/>
      <c r="P530" s="549"/>
      <c r="Q530" s="549"/>
      <c r="R530" s="549"/>
      <c r="S530" s="549"/>
      <c r="T530" s="549"/>
      <c r="U530" s="549"/>
      <c r="V530" s="549"/>
      <c r="W530" s="549"/>
      <c r="X530" s="549"/>
      <c r="Y530" s="549"/>
      <c r="Z530" s="549"/>
      <c r="AA530" s="549"/>
      <c r="AB530" s="549"/>
      <c r="AC530" s="588"/>
      <c r="AG530" s="591"/>
      <c r="AH530" s="591"/>
      <c r="AI530" s="591"/>
      <c r="AJ530" s="591"/>
      <c r="AK530" s="727"/>
      <c r="AN530" s="534"/>
      <c r="AP530" s="535"/>
      <c r="AQ530" s="535"/>
      <c r="AR530" s="535"/>
    </row>
    <row r="531" spans="1:81" s="548" customFormat="1" ht="12.75" hidden="1" customHeight="1">
      <c r="A531" s="634"/>
      <c r="B531" s="14"/>
      <c r="C531" s="788"/>
      <c r="D531" s="14"/>
      <c r="G531" s="608"/>
      <c r="H531" s="608"/>
      <c r="I531" s="608"/>
      <c r="J531" s="608"/>
      <c r="K531" s="608"/>
      <c r="L531" s="608"/>
      <c r="M531" s="608"/>
      <c r="N531" s="608"/>
      <c r="O531" s="608"/>
      <c r="P531" s="608"/>
      <c r="Q531" s="608"/>
      <c r="R531" s="608"/>
      <c r="S531" s="608"/>
      <c r="T531" s="608"/>
      <c r="U531" s="608"/>
      <c r="V531" s="608"/>
      <c r="W531" s="608"/>
      <c r="X531" s="608"/>
      <c r="Y531" s="608"/>
      <c r="Z531" s="608"/>
      <c r="AA531" s="608"/>
      <c r="AB531" s="608"/>
      <c r="AC531" s="608"/>
      <c r="AD531" s="608"/>
      <c r="AE531" s="608"/>
      <c r="AF531" s="608"/>
      <c r="AG531" s="588"/>
      <c r="AH531" s="588"/>
      <c r="AI531" s="588"/>
      <c r="AJ531" s="588"/>
      <c r="AK531" s="789"/>
      <c r="AL531" s="14"/>
      <c r="AM531" s="14"/>
      <c r="AN531" s="534"/>
      <c r="AO531" s="535"/>
      <c r="AP531" s="535"/>
      <c r="AQ531" s="535"/>
      <c r="AR531" s="535"/>
    </row>
    <row r="532" spans="1:81" s="548" customFormat="1" ht="12.75" hidden="1" customHeight="1">
      <c r="A532" s="634"/>
      <c r="C532" s="2610" t="s">
        <v>589</v>
      </c>
      <c r="D532" s="2611"/>
      <c r="F532" s="790" t="s">
        <v>1536</v>
      </c>
      <c r="G532" s="2404" t="s">
        <v>1537</v>
      </c>
      <c r="H532" s="2404"/>
      <c r="I532" s="2404"/>
      <c r="J532" s="2404"/>
      <c r="K532" s="2404"/>
      <c r="L532" s="2404"/>
      <c r="M532" s="2404"/>
      <c r="N532" s="2404"/>
      <c r="O532" s="2404"/>
      <c r="P532" s="2404"/>
      <c r="Q532" s="2404"/>
      <c r="R532" s="2404"/>
      <c r="S532" s="2404"/>
      <c r="T532" s="2404"/>
      <c r="U532" s="2404"/>
      <c r="V532" s="2404"/>
      <c r="W532" s="2404"/>
      <c r="X532" s="2404"/>
      <c r="Y532" s="2404"/>
      <c r="Z532" s="2404"/>
      <c r="AA532" s="2404"/>
      <c r="AB532" s="2404"/>
      <c r="AC532" s="2404"/>
      <c r="AD532" s="2404"/>
      <c r="AE532" s="2404"/>
      <c r="AF532" s="2404"/>
      <c r="AG532" s="610">
        <f>IF(AND($C$532="Yes",$C$523="Yes"),2,0)</f>
        <v>0</v>
      </c>
      <c r="AH532" s="637" t="s">
        <v>1320</v>
      </c>
      <c r="AI532" s="549"/>
      <c r="AJ532" s="591"/>
      <c r="AK532" s="727"/>
      <c r="AN532" s="534"/>
      <c r="AZ532" s="538"/>
      <c r="BC532" s="542"/>
      <c r="BD532" s="538"/>
      <c r="BE532" s="538"/>
      <c r="BF532" s="538"/>
      <c r="BM532" s="535"/>
      <c r="BN532" s="538"/>
      <c r="BO532" s="535"/>
      <c r="BP532" s="538"/>
      <c r="BQ532" s="538"/>
      <c r="BR532" s="538"/>
      <c r="BS532" s="538"/>
      <c r="BT532" s="538"/>
      <c r="BU532" s="538"/>
      <c r="BV532" s="535"/>
      <c r="BW532" s="535"/>
      <c r="BX532" s="535"/>
      <c r="BY532" s="535"/>
      <c r="BZ532" s="535"/>
      <c r="CA532" s="535"/>
      <c r="CB532" s="535"/>
      <c r="CC532" s="535"/>
    </row>
    <row r="533" spans="1:81" s="548" customFormat="1" ht="12.75" hidden="1" customHeight="1">
      <c r="C533" s="791"/>
      <c r="D533" s="722"/>
      <c r="E533" s="760"/>
      <c r="F533" s="721"/>
      <c r="G533" s="2560"/>
      <c r="H533" s="2560"/>
      <c r="I533" s="2560"/>
      <c r="J533" s="2560"/>
      <c r="K533" s="2560"/>
      <c r="L533" s="2560"/>
      <c r="M533" s="2560"/>
      <c r="N533" s="2560"/>
      <c r="O533" s="2560"/>
      <c r="P533" s="2560"/>
      <c r="Q533" s="2560"/>
      <c r="R533" s="2560"/>
      <c r="S533" s="2560"/>
      <c r="T533" s="2560"/>
      <c r="U533" s="2560"/>
      <c r="V533" s="2560"/>
      <c r="W533" s="2560"/>
      <c r="X533" s="2560"/>
      <c r="Y533" s="2560"/>
      <c r="Z533" s="2560"/>
      <c r="AA533" s="2560"/>
      <c r="AB533" s="2560"/>
      <c r="AC533" s="2560"/>
      <c r="AD533" s="2560"/>
      <c r="AE533" s="2560"/>
      <c r="AF533" s="2560"/>
      <c r="AG533" s="653"/>
      <c r="AH533" s="653"/>
      <c r="AI533" s="653"/>
      <c r="AJ533" s="653"/>
      <c r="AK533" s="737"/>
      <c r="AN533" s="534"/>
      <c r="AZ533" s="538"/>
      <c r="BC533" s="542"/>
      <c r="BD533" s="538"/>
      <c r="BE533" s="538"/>
      <c r="BF533" s="538"/>
      <c r="BM533" s="592"/>
      <c r="BN533" s="592"/>
      <c r="BO533" s="592"/>
      <c r="BP533" s="592"/>
      <c r="BQ533" s="592"/>
      <c r="BR533" s="592"/>
      <c r="BS533" s="592"/>
      <c r="BT533" s="592"/>
      <c r="BU533" s="592"/>
      <c r="BV533" s="592"/>
      <c r="BW533" s="592"/>
      <c r="BX533" s="592"/>
      <c r="BY533" s="592"/>
      <c r="BZ533" s="592"/>
      <c r="CA533" s="592"/>
      <c r="CB533" s="592"/>
      <c r="CC533" s="592"/>
    </row>
    <row r="534" spans="1:81" s="548" customFormat="1" ht="12.75" hidden="1" customHeight="1">
      <c r="C534" s="535"/>
      <c r="E534" s="758"/>
      <c r="F534" s="600"/>
      <c r="G534" s="570"/>
      <c r="H534" s="570"/>
      <c r="I534" s="570"/>
      <c r="J534" s="570"/>
      <c r="K534" s="570"/>
      <c r="L534" s="570"/>
      <c r="M534" s="570"/>
      <c r="N534" s="570"/>
      <c r="O534" s="570"/>
      <c r="P534" s="570"/>
      <c r="Q534" s="570"/>
      <c r="R534" s="570"/>
      <c r="S534" s="570"/>
      <c r="T534" s="570"/>
      <c r="U534" s="570"/>
      <c r="V534" s="570"/>
      <c r="W534" s="570"/>
      <c r="X534" s="570"/>
      <c r="Y534" s="570"/>
      <c r="Z534" s="570"/>
      <c r="AA534" s="570"/>
      <c r="AB534" s="570"/>
      <c r="AC534" s="570"/>
      <c r="AD534" s="570"/>
      <c r="AE534" s="570"/>
      <c r="AF534" s="570"/>
      <c r="AG534" s="549"/>
      <c r="AH534" s="549"/>
      <c r="AI534" s="549"/>
      <c r="AJ534" s="549"/>
      <c r="AN534" s="534"/>
      <c r="AP534" s="538"/>
      <c r="AQ534" s="538"/>
      <c r="AR534" s="538"/>
      <c r="AS534" s="538"/>
      <c r="AT534" s="538"/>
      <c r="AU534" s="538"/>
      <c r="AV534" s="538"/>
      <c r="AW534" s="538"/>
      <c r="AX534" s="538"/>
      <c r="AY534" s="538"/>
      <c r="AZ534" s="538"/>
      <c r="BA534" s="538"/>
      <c r="BB534" s="538"/>
      <c r="BC534" s="538"/>
      <c r="BD534" s="538"/>
      <c r="BE534" s="538"/>
      <c r="BF534" s="538"/>
      <c r="BG534" s="538"/>
      <c r="BH534" s="538"/>
      <c r="BI534" s="542"/>
      <c r="BJ534" s="792"/>
      <c r="BK534" s="792"/>
      <c r="BM534" s="592"/>
      <c r="BN534" s="592"/>
      <c r="BO534" s="592"/>
      <c r="BP534" s="592"/>
      <c r="BQ534" s="592"/>
      <c r="BR534" s="592"/>
      <c r="BS534" s="592"/>
      <c r="BT534" s="592"/>
      <c r="BU534" s="592"/>
      <c r="BV534" s="592"/>
      <c r="BW534" s="592"/>
      <c r="BX534" s="592"/>
      <c r="BY534" s="592"/>
      <c r="BZ534" s="592"/>
      <c r="CA534" s="592"/>
      <c r="CB534" s="592"/>
      <c r="CC534" s="592"/>
    </row>
    <row r="535" spans="1:81" s="548" customFormat="1" ht="12.75" hidden="1" customHeight="1">
      <c r="C535" s="793" t="s">
        <v>1538</v>
      </c>
      <c r="D535" s="709"/>
      <c r="E535" s="794"/>
      <c r="F535" s="795"/>
      <c r="G535" s="796"/>
      <c r="H535" s="796"/>
      <c r="I535" s="796"/>
      <c r="J535" s="796"/>
      <c r="K535" s="796"/>
      <c r="L535" s="796"/>
      <c r="M535" s="796"/>
      <c r="N535" s="796"/>
      <c r="O535" s="796"/>
      <c r="P535" s="796"/>
      <c r="Q535" s="796"/>
      <c r="R535" s="796"/>
      <c r="S535" s="796"/>
      <c r="T535" s="796"/>
      <c r="U535" s="796"/>
      <c r="V535" s="796"/>
      <c r="W535" s="796"/>
      <c r="X535" s="796"/>
      <c r="Y535" s="796"/>
      <c r="Z535" s="796"/>
      <c r="AA535" s="796"/>
      <c r="AB535" s="796"/>
      <c r="AC535" s="796"/>
      <c r="AD535" s="796"/>
      <c r="AE535" s="796"/>
      <c r="AF535" s="796"/>
      <c r="AG535" s="644"/>
      <c r="AH535" s="644"/>
      <c r="AI535" s="644"/>
      <c r="AJ535" s="644"/>
      <c r="AK535" s="740"/>
      <c r="AN535" s="594"/>
      <c r="AP535" s="538"/>
      <c r="AQ535" s="538"/>
      <c r="AR535" s="538"/>
      <c r="AS535" s="538"/>
      <c r="AT535" s="538"/>
      <c r="AU535" s="538"/>
      <c r="AV535" s="538"/>
      <c r="AW535" s="538"/>
      <c r="AX535" s="538"/>
      <c r="AY535" s="538"/>
      <c r="AZ535" s="538"/>
      <c r="BA535" s="538"/>
      <c r="BB535" s="538"/>
      <c r="BC535" s="538"/>
      <c r="BD535" s="538"/>
      <c r="BE535" s="538"/>
      <c r="BF535" s="538"/>
      <c r="BG535" s="538"/>
      <c r="BH535" s="538"/>
      <c r="BI535" s="634"/>
      <c r="BJ535" s="792"/>
      <c r="BK535" s="792"/>
      <c r="BM535" s="592"/>
      <c r="BN535" s="592"/>
      <c r="BO535" s="592"/>
      <c r="BP535" s="592"/>
      <c r="BQ535" s="592"/>
      <c r="BR535" s="592"/>
      <c r="BS535" s="592"/>
      <c r="BT535" s="592"/>
      <c r="BU535" s="592"/>
      <c r="BV535" s="592"/>
      <c r="BW535" s="592"/>
      <c r="BX535" s="592"/>
      <c r="BY535" s="592"/>
      <c r="BZ535" s="592"/>
      <c r="CA535" s="592"/>
      <c r="CB535" s="592"/>
      <c r="CC535" s="592"/>
    </row>
    <row r="536" spans="1:81" s="548" customFormat="1" ht="12.75" hidden="1" customHeight="1">
      <c r="C536" s="2612" t="s">
        <v>589</v>
      </c>
      <c r="D536" s="2613"/>
      <c r="E536" s="797" t="s">
        <v>1539</v>
      </c>
      <c r="F536" s="766" t="s">
        <v>1540</v>
      </c>
      <c r="G536" s="570"/>
      <c r="H536" s="570"/>
      <c r="I536" s="570"/>
      <c r="J536" s="570"/>
      <c r="K536" s="570"/>
      <c r="L536" s="570"/>
      <c r="M536" s="570"/>
      <c r="N536" s="570"/>
      <c r="O536" s="570"/>
      <c r="P536" s="570"/>
      <c r="Q536" s="570"/>
      <c r="R536" s="570"/>
      <c r="S536" s="570"/>
      <c r="T536" s="570"/>
      <c r="U536" s="570"/>
      <c r="V536" s="570"/>
      <c r="W536" s="570"/>
      <c r="X536" s="570"/>
      <c r="Y536" s="570"/>
      <c r="Z536" s="570"/>
      <c r="AA536" s="570"/>
      <c r="AB536" s="570"/>
      <c r="AC536" s="570"/>
      <c r="AD536" s="570"/>
      <c r="AE536" s="570"/>
      <c r="AF536" s="570"/>
      <c r="AG536" s="610">
        <f>IF(C$536="Yes",(VLOOKUP(F$537,$AO$507:$AP$510,2,FALSE)),0)</f>
        <v>0</v>
      </c>
      <c r="AH536" s="637" t="s">
        <v>1320</v>
      </c>
      <c r="AI536" s="549"/>
      <c r="AJ536" s="549"/>
      <c r="AK536" s="727"/>
      <c r="AN536" s="594"/>
      <c r="AP536" s="538"/>
      <c r="AQ536" s="538"/>
      <c r="AR536" s="538"/>
      <c r="AS536" s="538"/>
      <c r="AT536" s="538"/>
      <c r="AU536" s="538"/>
      <c r="AV536" s="538"/>
      <c r="AW536" s="538"/>
      <c r="AX536" s="538"/>
      <c r="AY536" s="538"/>
      <c r="AZ536" s="538"/>
      <c r="BA536" s="538"/>
      <c r="BB536" s="538"/>
      <c r="BC536" s="538"/>
      <c r="BD536" s="538"/>
      <c r="BE536" s="538"/>
      <c r="BF536" s="538"/>
      <c r="BG536" s="538"/>
      <c r="BH536" s="538"/>
      <c r="BI536" s="634"/>
      <c r="BJ536" s="792"/>
      <c r="BK536" s="792"/>
      <c r="BM536" s="535"/>
      <c r="BN536" s="535"/>
      <c r="BO536" s="535"/>
      <c r="BP536" s="535"/>
      <c r="BQ536" s="535"/>
      <c r="BR536" s="535"/>
      <c r="BS536" s="535"/>
      <c r="BT536" s="535"/>
      <c r="BU536" s="535"/>
      <c r="BV536" s="535"/>
      <c r="BW536" s="535"/>
      <c r="BX536" s="535"/>
      <c r="BY536" s="535"/>
      <c r="BZ536" s="535"/>
      <c r="CA536" s="535"/>
      <c r="CB536" s="535"/>
      <c r="CC536" s="535"/>
    </row>
    <row r="537" spans="1:81" s="548" customFormat="1" ht="12.75" hidden="1" customHeight="1">
      <c r="C537" s="713"/>
      <c r="E537" s="758"/>
      <c r="F537" s="2614" t="s">
        <v>589</v>
      </c>
      <c r="G537" s="2614"/>
      <c r="H537" s="2614"/>
      <c r="I537" s="2614"/>
      <c r="J537" s="2614"/>
      <c r="K537" s="2614"/>
      <c r="L537" s="2614"/>
      <c r="M537" s="2614"/>
      <c r="N537" s="2614"/>
      <c r="O537" s="2614"/>
      <c r="P537" s="2614"/>
      <c r="Q537" s="2614"/>
      <c r="R537" s="2614"/>
      <c r="S537" s="2614"/>
      <c r="T537" s="2614"/>
      <c r="U537" s="2614"/>
      <c r="V537" s="2614"/>
      <c r="W537" s="2614"/>
      <c r="X537" s="2614"/>
      <c r="Y537" s="2614"/>
      <c r="Z537" s="2614"/>
      <c r="AA537" s="2614"/>
      <c r="AB537" s="2614"/>
      <c r="AC537" s="2614"/>
      <c r="AD537" s="2614"/>
      <c r="AE537" s="2614"/>
      <c r="AF537" s="2614"/>
      <c r="AG537" s="549"/>
      <c r="AH537" s="549"/>
      <c r="AI537" s="549"/>
      <c r="AJ537" s="549"/>
      <c r="AK537" s="727"/>
      <c r="AN537" s="594"/>
      <c r="BM537" s="535"/>
      <c r="BN537" s="535"/>
      <c r="BO537" s="535"/>
      <c r="BP537" s="535"/>
      <c r="BQ537" s="535"/>
      <c r="BR537" s="535"/>
      <c r="BS537" s="535"/>
      <c r="BT537" s="535"/>
      <c r="BU537" s="535"/>
      <c r="BV537" s="535"/>
      <c r="BW537" s="535"/>
      <c r="BX537" s="535"/>
      <c r="BY537" s="535"/>
      <c r="BZ537" s="535"/>
      <c r="CA537" s="535"/>
      <c r="CB537" s="535"/>
      <c r="CC537" s="535"/>
    </row>
    <row r="538" spans="1:81" s="548" customFormat="1" ht="12.75" hidden="1" customHeight="1">
      <c r="C538" s="791"/>
      <c r="D538" s="722"/>
      <c r="E538" s="760"/>
      <c r="F538" s="2615"/>
      <c r="G538" s="2615"/>
      <c r="H538" s="2615"/>
      <c r="I538" s="2615"/>
      <c r="J538" s="2615"/>
      <c r="K538" s="2615"/>
      <c r="L538" s="2615"/>
      <c r="M538" s="2615"/>
      <c r="N538" s="2615"/>
      <c r="O538" s="2615"/>
      <c r="P538" s="2615"/>
      <c r="Q538" s="2615"/>
      <c r="R538" s="2615"/>
      <c r="S538" s="2615"/>
      <c r="T538" s="2615"/>
      <c r="U538" s="2615"/>
      <c r="V538" s="2615"/>
      <c r="W538" s="2615"/>
      <c r="X538" s="2615"/>
      <c r="Y538" s="2615"/>
      <c r="Z538" s="2615"/>
      <c r="AA538" s="2615"/>
      <c r="AB538" s="2615"/>
      <c r="AC538" s="2615"/>
      <c r="AD538" s="2615"/>
      <c r="AE538" s="2615"/>
      <c r="AF538" s="2615"/>
      <c r="AG538" s="653"/>
      <c r="AH538" s="653"/>
      <c r="AI538" s="653"/>
      <c r="AJ538" s="653"/>
      <c r="AK538" s="737"/>
      <c r="AN538" s="594"/>
      <c r="BM538" s="535"/>
      <c r="BN538" s="535"/>
      <c r="BO538" s="535"/>
      <c r="BP538" s="535"/>
      <c r="BQ538" s="535"/>
      <c r="BR538" s="535"/>
      <c r="BS538" s="535"/>
      <c r="BT538" s="535"/>
      <c r="BU538" s="535"/>
      <c r="BV538" s="535"/>
      <c r="BW538" s="535"/>
      <c r="BX538" s="535"/>
      <c r="BY538" s="535"/>
      <c r="BZ538" s="535"/>
      <c r="CA538" s="535"/>
      <c r="CB538" s="535"/>
      <c r="CC538" s="535"/>
    </row>
    <row r="539" spans="1:81" s="548" customFormat="1" ht="12.75" hidden="1" customHeight="1">
      <c r="A539" s="634"/>
      <c r="C539" s="549"/>
      <c r="E539" s="549"/>
      <c r="F539" s="766"/>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613"/>
      <c r="AE539" s="549"/>
      <c r="AF539" s="549"/>
      <c r="AG539" s="549"/>
      <c r="AH539" s="549"/>
      <c r="AN539" s="594"/>
      <c r="BM539" s="535"/>
      <c r="BN539" s="535"/>
      <c r="BO539" s="535"/>
      <c r="BP539" s="535"/>
      <c r="BQ539" s="535"/>
      <c r="BR539" s="535"/>
      <c r="BS539" s="535"/>
      <c r="BT539" s="535"/>
      <c r="BU539" s="535"/>
      <c r="BV539" s="535"/>
      <c r="BW539" s="535"/>
      <c r="BX539" s="535"/>
      <c r="BY539" s="535"/>
      <c r="BZ539" s="535"/>
      <c r="CA539" s="535"/>
      <c r="CB539" s="535"/>
      <c r="CC539" s="535"/>
    </row>
    <row r="540" spans="1:81" s="548" customFormat="1" ht="12.75" hidden="1" customHeight="1">
      <c r="A540" s="634"/>
      <c r="B540" s="548" t="s">
        <v>1541</v>
      </c>
      <c r="C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613"/>
      <c r="AE540" s="549"/>
      <c r="AF540" s="549"/>
      <c r="AG540" s="549"/>
      <c r="AH540" s="549"/>
      <c r="AN540" s="594"/>
      <c r="AP540" s="781"/>
      <c r="AQ540" s="781"/>
      <c r="AR540" s="781"/>
      <c r="AS540" s="781"/>
      <c r="AT540" s="781"/>
      <c r="AU540" s="781"/>
      <c r="AV540" s="781"/>
      <c r="AW540" s="781"/>
      <c r="AX540" s="781"/>
      <c r="AY540" s="781"/>
      <c r="BM540" s="535"/>
      <c r="BN540" s="535"/>
      <c r="BO540" s="535"/>
      <c r="BP540" s="535"/>
      <c r="BQ540" s="535"/>
      <c r="BR540" s="535"/>
      <c r="BS540" s="535"/>
      <c r="BT540" s="535"/>
      <c r="BU540" s="535"/>
      <c r="BV540" s="535"/>
      <c r="BW540" s="535"/>
      <c r="BX540" s="535"/>
      <c r="BY540" s="535"/>
      <c r="BZ540" s="535"/>
      <c r="CA540" s="535"/>
      <c r="CB540" s="535"/>
      <c r="CC540" s="535"/>
    </row>
    <row r="541" spans="1:81" s="548" customFormat="1" ht="12.75" hidden="1" customHeight="1">
      <c r="A541" s="634"/>
      <c r="B541" s="548" t="s">
        <v>1542</v>
      </c>
      <c r="C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613"/>
      <c r="AE541" s="549"/>
      <c r="AF541" s="549"/>
      <c r="AG541" s="549"/>
      <c r="AH541" s="549"/>
      <c r="AN541" s="594"/>
      <c r="AP541" s="798"/>
      <c r="AQ541" s="798"/>
      <c r="AR541" s="798"/>
      <c r="AS541" s="798"/>
      <c r="AT541" s="798"/>
      <c r="AU541" s="798"/>
      <c r="AV541" s="798"/>
      <c r="AW541" s="798"/>
      <c r="AX541" s="798"/>
      <c r="AY541" s="798"/>
      <c r="BM541" s="535"/>
      <c r="BN541" s="535"/>
      <c r="BO541" s="535"/>
      <c r="BP541" s="535"/>
      <c r="BQ541" s="535"/>
      <c r="BR541" s="535"/>
      <c r="BS541" s="535"/>
      <c r="BT541" s="535"/>
      <c r="BU541" s="535"/>
      <c r="BV541" s="535"/>
      <c r="BW541" s="535"/>
      <c r="BX541" s="535"/>
      <c r="BY541" s="535"/>
      <c r="BZ541" s="535"/>
      <c r="CA541" s="535"/>
      <c r="CB541" s="535"/>
      <c r="CC541" s="535"/>
    </row>
    <row r="542" spans="1:81" s="548" customFormat="1" ht="12.75" hidden="1" customHeight="1">
      <c r="A542" s="634"/>
      <c r="B542" s="548" t="s">
        <v>1988</v>
      </c>
      <c r="C542" s="549"/>
      <c r="E542" s="549"/>
      <c r="F542" s="549"/>
      <c r="G542" s="549"/>
      <c r="H542" s="549"/>
      <c r="I542" s="549"/>
      <c r="J542" s="549"/>
      <c r="K542" s="549"/>
      <c r="L542" s="549"/>
      <c r="M542" s="549"/>
      <c r="N542" s="549"/>
      <c r="O542" s="549"/>
      <c r="P542" s="549"/>
      <c r="Q542" s="549"/>
      <c r="R542" s="549"/>
      <c r="S542" s="549"/>
      <c r="T542" s="549"/>
      <c r="U542" s="549"/>
      <c r="V542" s="549"/>
      <c r="W542" s="549"/>
      <c r="X542" s="549"/>
      <c r="Y542" s="549"/>
      <c r="Z542" s="549"/>
      <c r="AA542" s="549"/>
      <c r="AB542" s="549"/>
      <c r="AC542" s="549"/>
      <c r="AD542" s="613"/>
      <c r="AE542" s="549"/>
      <c r="AF542" s="549"/>
      <c r="AG542" s="549"/>
      <c r="AH542" s="549"/>
      <c r="AN542" s="594"/>
      <c r="AP542" s="798"/>
      <c r="AQ542" s="798"/>
      <c r="AR542" s="798"/>
      <c r="AS542" s="798"/>
      <c r="AT542" s="798"/>
      <c r="AU542" s="798"/>
      <c r="AV542" s="798"/>
      <c r="AW542" s="798"/>
      <c r="AX542" s="798"/>
      <c r="AY542" s="798"/>
      <c r="BM542" s="535"/>
      <c r="BN542" s="535"/>
      <c r="BO542" s="535"/>
      <c r="BP542" s="535"/>
      <c r="BQ542" s="535"/>
      <c r="BR542" s="535"/>
      <c r="BS542" s="535"/>
      <c r="BT542" s="535"/>
      <c r="BU542" s="535"/>
      <c r="BV542" s="535"/>
      <c r="BW542" s="535"/>
      <c r="BX542" s="535"/>
      <c r="BY542" s="535"/>
      <c r="BZ542" s="535"/>
      <c r="CA542" s="535"/>
      <c r="CB542" s="535"/>
      <c r="CC542" s="535"/>
    </row>
    <row r="543" spans="1:81" s="548" customFormat="1" ht="12.75" hidden="1" customHeight="1">
      <c r="A543" s="634"/>
      <c r="B543" s="548" t="s">
        <v>1543</v>
      </c>
      <c r="C543" s="549"/>
      <c r="E543" s="549"/>
      <c r="F543" s="549"/>
      <c r="G543" s="549"/>
      <c r="H543" s="549"/>
      <c r="I543" s="549"/>
      <c r="J543" s="549"/>
      <c r="K543" s="549"/>
      <c r="L543" s="549"/>
      <c r="M543" s="549"/>
      <c r="N543" s="549"/>
      <c r="O543" s="549"/>
      <c r="P543" s="549"/>
      <c r="Q543" s="549"/>
      <c r="R543" s="549"/>
      <c r="S543" s="549"/>
      <c r="T543" s="549"/>
      <c r="U543" s="549"/>
      <c r="V543" s="549"/>
      <c r="W543" s="549"/>
      <c r="X543" s="549"/>
      <c r="Y543" s="549"/>
      <c r="Z543" s="549"/>
      <c r="AA543" s="549"/>
      <c r="AB543" s="549"/>
      <c r="AC543" s="549"/>
      <c r="AD543" s="613"/>
      <c r="AE543" s="549"/>
      <c r="AF543" s="549"/>
      <c r="AG543" s="549"/>
      <c r="AH543" s="549"/>
      <c r="AN543" s="594"/>
      <c r="AP543" s="798"/>
      <c r="AQ543" s="798"/>
      <c r="AR543" s="798"/>
      <c r="AS543" s="798"/>
      <c r="AT543" s="798"/>
      <c r="AU543" s="798"/>
      <c r="AV543" s="798"/>
      <c r="AW543" s="798"/>
      <c r="AX543" s="798"/>
      <c r="AY543" s="798"/>
      <c r="BM543" s="535"/>
      <c r="BN543" s="535"/>
      <c r="BO543" s="535"/>
      <c r="BP543" s="535"/>
      <c r="BQ543" s="535"/>
      <c r="BR543" s="535"/>
      <c r="BS543" s="535"/>
      <c r="BT543" s="535"/>
      <c r="BU543" s="535"/>
      <c r="BV543" s="535"/>
      <c r="BW543" s="535"/>
      <c r="BX543" s="535"/>
      <c r="BY543" s="535"/>
      <c r="BZ543" s="535"/>
      <c r="CA543" s="535"/>
      <c r="CB543" s="535"/>
      <c r="CC543" s="535"/>
    </row>
    <row r="544" spans="1:81" s="548" customFormat="1" ht="12.75" hidden="1" customHeight="1">
      <c r="A544" s="634"/>
      <c r="B544" s="548" t="s">
        <v>1989</v>
      </c>
      <c r="C544" s="549"/>
      <c r="E544" s="549"/>
      <c r="F544" s="549"/>
      <c r="G544" s="549"/>
      <c r="H544" s="549"/>
      <c r="I544" s="549"/>
      <c r="J544" s="549"/>
      <c r="K544" s="549"/>
      <c r="L544" s="549"/>
      <c r="M544" s="549"/>
      <c r="N544" s="549"/>
      <c r="O544" s="549"/>
      <c r="P544" s="549"/>
      <c r="Q544" s="549"/>
      <c r="R544" s="549"/>
      <c r="S544" s="549"/>
      <c r="T544" s="549"/>
      <c r="U544" s="549"/>
      <c r="V544" s="549"/>
      <c r="W544" s="549"/>
      <c r="X544" s="549"/>
      <c r="Y544" s="549"/>
      <c r="Z544" s="549"/>
      <c r="AA544" s="549"/>
      <c r="AB544" s="549"/>
      <c r="AC544" s="549"/>
      <c r="AD544" s="613"/>
      <c r="AE544" s="549"/>
      <c r="AF544" s="549"/>
      <c r="AG544" s="549"/>
      <c r="AH544" s="549"/>
      <c r="AN544" s="594"/>
      <c r="AP544" s="798"/>
      <c r="AQ544" s="798"/>
      <c r="AR544" s="798"/>
      <c r="AS544" s="798"/>
      <c r="AT544" s="798"/>
      <c r="AU544" s="798"/>
      <c r="AV544" s="798"/>
      <c r="AW544" s="798"/>
      <c r="AX544" s="798"/>
      <c r="AY544" s="798"/>
      <c r="BM544" s="535"/>
      <c r="BN544" s="535"/>
      <c r="BO544" s="535"/>
      <c r="BP544" s="535"/>
      <c r="BQ544" s="535"/>
      <c r="BR544" s="535"/>
      <c r="BS544" s="535"/>
      <c r="BT544" s="535"/>
      <c r="BU544" s="535"/>
      <c r="BV544" s="535"/>
      <c r="BW544" s="535"/>
      <c r="BX544" s="535"/>
      <c r="BY544" s="535"/>
      <c r="BZ544" s="535"/>
      <c r="CA544" s="535"/>
      <c r="CB544" s="535"/>
      <c r="CC544" s="535"/>
    </row>
    <row r="545" spans="1:81" s="548" customFormat="1" ht="12.75" hidden="1" customHeight="1">
      <c r="A545" s="634"/>
      <c r="B545" s="548" t="s">
        <v>1544</v>
      </c>
      <c r="C545" s="549"/>
      <c r="E545" s="549"/>
      <c r="F545" s="549"/>
      <c r="G545" s="549"/>
      <c r="H545" s="549"/>
      <c r="I545" s="549"/>
      <c r="J545" s="549"/>
      <c r="K545" s="549"/>
      <c r="L545" s="549"/>
      <c r="M545" s="549"/>
      <c r="N545" s="549"/>
      <c r="O545" s="549"/>
      <c r="P545" s="549"/>
      <c r="Q545" s="549"/>
      <c r="R545" s="549"/>
      <c r="S545" s="549"/>
      <c r="T545" s="549"/>
      <c r="U545" s="549"/>
      <c r="V545" s="549"/>
      <c r="W545" s="549"/>
      <c r="X545" s="549"/>
      <c r="Y545" s="549"/>
      <c r="Z545" s="549"/>
      <c r="AA545" s="549"/>
      <c r="AB545" s="549"/>
      <c r="AC545" s="549"/>
      <c r="AD545" s="613"/>
      <c r="AE545" s="549"/>
      <c r="AF545" s="549"/>
      <c r="AG545" s="549"/>
      <c r="AH545" s="549"/>
      <c r="AN545" s="594"/>
      <c r="AP545" s="798"/>
      <c r="AQ545" s="798"/>
      <c r="AR545" s="798"/>
      <c r="AS545" s="798"/>
      <c r="AT545" s="798"/>
      <c r="AU545" s="798"/>
      <c r="AV545" s="798"/>
      <c r="AW545" s="798"/>
      <c r="AX545" s="798"/>
      <c r="AY545" s="798"/>
      <c r="BM545" s="535"/>
      <c r="BN545" s="535"/>
      <c r="BO545" s="535"/>
      <c r="BP545" s="535"/>
      <c r="BQ545" s="535"/>
      <c r="BR545" s="535"/>
      <c r="BS545" s="535"/>
      <c r="BT545" s="535"/>
      <c r="BU545" s="535"/>
      <c r="BV545" s="535"/>
      <c r="BW545" s="535"/>
      <c r="BX545" s="535"/>
      <c r="BY545" s="535"/>
      <c r="BZ545" s="535"/>
      <c r="CA545" s="535"/>
      <c r="CB545" s="535"/>
      <c r="CC545" s="535"/>
    </row>
    <row r="546" spans="1:81" s="548" customFormat="1" ht="12.75" hidden="1" customHeight="1">
      <c r="A546" s="634"/>
      <c r="B546" s="548" t="s">
        <v>1545</v>
      </c>
      <c r="C546" s="549"/>
      <c r="E546" s="549"/>
      <c r="F546" s="549"/>
      <c r="G546" s="549"/>
      <c r="H546" s="549"/>
      <c r="I546" s="549"/>
      <c r="J546" s="549"/>
      <c r="K546" s="549"/>
      <c r="L546" s="549"/>
      <c r="M546" s="549"/>
      <c r="N546" s="549"/>
      <c r="O546" s="549"/>
      <c r="P546" s="549"/>
      <c r="Q546" s="549"/>
      <c r="R546" s="549"/>
      <c r="S546" s="549"/>
      <c r="T546" s="549"/>
      <c r="U546" s="549"/>
      <c r="V546" s="549"/>
      <c r="W546" s="549"/>
      <c r="X546" s="549"/>
      <c r="Y546" s="549"/>
      <c r="Z546" s="549"/>
      <c r="AA546" s="549"/>
      <c r="AB546" s="549"/>
      <c r="AC546" s="549"/>
      <c r="AD546" s="613"/>
      <c r="AE546" s="549"/>
      <c r="AF546" s="549"/>
      <c r="AG546" s="549"/>
      <c r="AH546" s="549"/>
      <c r="AN546" s="594"/>
    </row>
    <row r="547" spans="1:81" s="548" customFormat="1" ht="12.75" hidden="1" customHeight="1">
      <c r="A547" s="799"/>
      <c r="C547" s="549"/>
      <c r="E547" s="549"/>
      <c r="F547" s="549"/>
      <c r="G547" s="549"/>
      <c r="H547" s="549"/>
      <c r="I547" s="549"/>
      <c r="J547" s="549"/>
      <c r="K547" s="549"/>
      <c r="L547" s="549"/>
      <c r="M547" s="549"/>
      <c r="N547" s="549"/>
      <c r="O547" s="549"/>
      <c r="P547" s="549"/>
      <c r="Q547" s="549"/>
      <c r="R547" s="549"/>
      <c r="S547" s="549"/>
      <c r="T547" s="549"/>
      <c r="U547" s="549"/>
      <c r="V547" s="549"/>
      <c r="W547" s="549"/>
      <c r="X547" s="549"/>
      <c r="Y547" s="549"/>
      <c r="Z547" s="549"/>
      <c r="AA547" s="549"/>
      <c r="AB547" s="549"/>
      <c r="AC547" s="549"/>
      <c r="AD547" s="613"/>
      <c r="AE547" s="549"/>
      <c r="AF547" s="549"/>
      <c r="AG547" s="549"/>
      <c r="AH547" s="549"/>
      <c r="AN547" s="594"/>
    </row>
    <row r="548" spans="1:81" s="548" customFormat="1" ht="12.75" hidden="1" customHeight="1">
      <c r="A548" s="603"/>
      <c r="B548" s="659"/>
      <c r="C548" s="659"/>
      <c r="D548" s="659"/>
      <c r="E548" s="659"/>
      <c r="F548" s="659"/>
      <c r="G548" s="659"/>
      <c r="H548" s="659"/>
      <c r="I548" s="659"/>
      <c r="J548" s="659"/>
      <c r="K548" s="659"/>
      <c r="L548" s="659"/>
      <c r="M548" s="659"/>
      <c r="N548" s="659"/>
      <c r="O548" s="659"/>
      <c r="P548" s="659"/>
      <c r="Q548" s="659"/>
      <c r="R548" s="659"/>
      <c r="S548" s="659"/>
      <c r="T548" s="659"/>
      <c r="U548" s="659"/>
      <c r="V548" s="659"/>
      <c r="W548" s="659"/>
      <c r="X548" s="659"/>
      <c r="Y548" s="659"/>
      <c r="Z548" s="659"/>
      <c r="AA548" s="659"/>
      <c r="AB548" s="659"/>
      <c r="AC548" s="660"/>
      <c r="AD548" s="659"/>
      <c r="AE548" s="659"/>
      <c r="AF548" s="659"/>
      <c r="AG548" s="659"/>
      <c r="AH548" s="561"/>
      <c r="AI548" s="562"/>
      <c r="AJ548" s="562" t="s">
        <v>1546</v>
      </c>
      <c r="AK548" s="2491">
        <f>SUM(AG492:AG537)</f>
        <v>0</v>
      </c>
      <c r="AL548" s="2492"/>
      <c r="AM548" s="2493"/>
      <c r="AN548" s="594"/>
      <c r="AP548" s="535"/>
      <c r="AQ548" s="535"/>
      <c r="AR548" s="535"/>
      <c r="AS548" s="535"/>
      <c r="AT548" s="535"/>
      <c r="AU548" s="535"/>
      <c r="AV548" s="535"/>
      <c r="AW548" s="535"/>
      <c r="AX548" s="535"/>
      <c r="AY548" s="535"/>
      <c r="AZ548" s="535"/>
    </row>
    <row r="549" spans="1:81" s="548" customFormat="1" ht="12.75" hidden="1" customHeight="1">
      <c r="B549" s="549"/>
      <c r="C549" s="549"/>
      <c r="D549" s="549"/>
      <c r="E549" s="549"/>
      <c r="F549" s="549"/>
      <c r="G549" s="549"/>
      <c r="H549" s="549"/>
      <c r="I549" s="549"/>
      <c r="J549" s="549"/>
      <c r="K549" s="549"/>
      <c r="L549" s="549"/>
      <c r="M549" s="549"/>
      <c r="N549" s="549"/>
      <c r="O549" s="549"/>
      <c r="P549" s="549"/>
      <c r="Q549" s="549"/>
      <c r="R549" s="549"/>
      <c r="S549" s="549"/>
      <c r="T549" s="549"/>
      <c r="U549" s="549"/>
      <c r="V549" s="549"/>
      <c r="W549" s="549"/>
      <c r="X549" s="549"/>
      <c r="Y549" s="549"/>
      <c r="Z549" s="549"/>
      <c r="AA549" s="549"/>
      <c r="AB549" s="549"/>
      <c r="AC549" s="613"/>
      <c r="AD549" s="549"/>
      <c r="AE549" s="549"/>
      <c r="AF549" s="549"/>
      <c r="AG549" s="549"/>
      <c r="AI549" s="542"/>
      <c r="AJ549" s="542"/>
      <c r="AK549" s="592"/>
      <c r="AL549" s="592"/>
      <c r="AM549" s="592"/>
      <c r="AN549" s="594"/>
      <c r="AP549" s="535"/>
      <c r="AQ549" s="535"/>
      <c r="AR549" s="535"/>
      <c r="AS549" s="535"/>
      <c r="AT549" s="535"/>
      <c r="AU549" s="535"/>
      <c r="AV549" s="535"/>
      <c r="AW549" s="535"/>
      <c r="AX549" s="535"/>
      <c r="AY549" s="535"/>
      <c r="AZ549" s="535"/>
    </row>
    <row r="550" spans="1:81" ht="13.5" thickTop="1"/>
    <row r="551" spans="1:81" s="548" customFormat="1" ht="12.75" customHeight="1">
      <c r="A551" s="538" t="s">
        <v>1442</v>
      </c>
      <c r="B551" s="538" t="s">
        <v>1548</v>
      </c>
      <c r="C551" s="549"/>
      <c r="D551" s="549"/>
      <c r="E551" s="549"/>
      <c r="F551" s="549"/>
      <c r="G551" s="549"/>
      <c r="H551" s="549"/>
      <c r="I551" s="549"/>
      <c r="J551" s="549"/>
      <c r="K551" s="549"/>
      <c r="L551" s="549"/>
      <c r="M551" s="549"/>
      <c r="N551" s="549"/>
      <c r="O551" s="549"/>
      <c r="P551" s="549"/>
      <c r="Q551" s="549"/>
      <c r="R551" s="549"/>
      <c r="S551" s="549"/>
      <c r="T551" s="549"/>
      <c r="U551" s="549"/>
      <c r="V551" s="549"/>
      <c r="W551" s="549"/>
      <c r="X551" s="549"/>
      <c r="Y551" s="549"/>
      <c r="Z551" s="549"/>
      <c r="AA551" s="549"/>
      <c r="AB551" s="549"/>
      <c r="AC551" s="613"/>
      <c r="AD551" s="549"/>
      <c r="AE551" s="2433" t="s">
        <v>1549</v>
      </c>
      <c r="AF551" s="2433"/>
      <c r="AG551" s="2433"/>
      <c r="AH551" s="2433"/>
      <c r="AI551" s="2433"/>
      <c r="AJ551" s="2433"/>
      <c r="AK551" s="2433"/>
      <c r="AL551" s="592"/>
      <c r="AM551" s="592"/>
      <c r="AN551" s="594"/>
    </row>
    <row r="552" spans="1:81" s="548" customFormat="1" ht="12.75" customHeight="1">
      <c r="A552" s="538"/>
      <c r="B552" s="538" t="s">
        <v>1316</v>
      </c>
      <c r="C552" s="549"/>
      <c r="D552" s="549"/>
      <c r="E552" s="549"/>
      <c r="F552" s="549"/>
      <c r="G552" s="549"/>
      <c r="H552" s="549"/>
      <c r="I552" s="549"/>
      <c r="J552" s="549"/>
      <c r="K552" s="549"/>
      <c r="L552" s="549"/>
      <c r="M552" s="549"/>
      <c r="N552" s="549"/>
      <c r="O552" s="549"/>
      <c r="P552" s="549"/>
      <c r="Q552" s="549"/>
      <c r="R552" s="549"/>
      <c r="S552" s="549"/>
      <c r="T552" s="549"/>
      <c r="U552" s="549"/>
      <c r="V552" s="549"/>
      <c r="W552" s="549"/>
      <c r="X552" s="549"/>
      <c r="Y552" s="549"/>
      <c r="Z552" s="549"/>
      <c r="AA552" s="549"/>
      <c r="AB552" s="549"/>
      <c r="AC552" s="613"/>
      <c r="AD552" s="549"/>
      <c r="AE552" s="542"/>
      <c r="AF552" s="542"/>
      <c r="AG552" s="542"/>
      <c r="AH552" s="542"/>
      <c r="AI552" s="542"/>
      <c r="AJ552" s="542"/>
      <c r="AK552" s="542"/>
      <c r="AL552" s="592"/>
      <c r="AM552" s="592"/>
      <c r="AN552" s="594"/>
    </row>
    <row r="553" spans="1:81" s="548" customFormat="1" ht="12.75" customHeight="1">
      <c r="A553" s="538"/>
      <c r="B553" s="538"/>
      <c r="C553" s="549"/>
      <c r="D553" s="549"/>
      <c r="E553" s="549"/>
      <c r="F553" s="549"/>
      <c r="G553" s="549"/>
      <c r="H553" s="549"/>
      <c r="I553" s="549"/>
      <c r="J553" s="549"/>
      <c r="K553" s="549"/>
      <c r="L553" s="549"/>
      <c r="M553" s="549"/>
      <c r="N553" s="549"/>
      <c r="O553" s="549"/>
      <c r="P553" s="549"/>
      <c r="Q553" s="549"/>
      <c r="R553" s="549"/>
      <c r="S553" s="549"/>
      <c r="T553" s="549"/>
      <c r="U553" s="549"/>
      <c r="V553" s="549"/>
      <c r="W553" s="549"/>
      <c r="X553" s="549"/>
      <c r="Y553" s="549"/>
      <c r="Z553" s="549"/>
      <c r="AA553" s="549"/>
      <c r="AB553" s="549"/>
      <c r="AC553" s="613"/>
      <c r="AD553" s="549"/>
      <c r="AE553" s="542"/>
      <c r="AF553" s="542"/>
      <c r="AG553" s="542"/>
      <c r="AH553" s="542"/>
      <c r="AI553" s="542"/>
      <c r="AJ553" s="542"/>
      <c r="AK553" s="542"/>
      <c r="AL553" s="592"/>
      <c r="AM553" s="592"/>
      <c r="AN553" s="594"/>
    </row>
    <row r="554" spans="1:81" s="548" customFormat="1" ht="12.75" customHeight="1">
      <c r="A554" s="538"/>
      <c r="B554" s="538"/>
      <c r="C554" s="2488" t="s">
        <v>543</v>
      </c>
      <c r="D554" s="2488"/>
      <c r="E554" s="549"/>
      <c r="F554" s="2539" t="s">
        <v>1550</v>
      </c>
      <c r="G554" s="2540"/>
      <c r="H554" s="2540"/>
      <c r="I554" s="2540"/>
      <c r="J554" s="2540"/>
      <c r="K554" s="2540"/>
      <c r="L554" s="2540"/>
      <c r="M554" s="2540"/>
      <c r="N554" s="2540"/>
      <c r="O554" s="2540"/>
      <c r="P554" s="2540"/>
      <c r="Q554" s="2540"/>
      <c r="R554" s="2540"/>
      <c r="S554" s="2540"/>
      <c r="T554" s="2540"/>
      <c r="U554" s="2540"/>
      <c r="V554" s="2540"/>
      <c r="W554" s="2540"/>
      <c r="X554" s="2540"/>
      <c r="Y554" s="2540"/>
      <c r="Z554" s="2540"/>
      <c r="AA554" s="2540"/>
      <c r="AB554" s="2540"/>
      <c r="AC554" s="2540"/>
      <c r="AD554" s="2540"/>
      <c r="AE554" s="2540"/>
      <c r="AF554" s="2540"/>
      <c r="AG554" s="2540"/>
      <c r="AH554" s="2540"/>
      <c r="AI554" s="2540"/>
      <c r="AJ554" s="2540"/>
      <c r="AK554" s="2540"/>
      <c r="AL554" s="2541"/>
      <c r="AM554" s="592"/>
      <c r="AN554" s="594"/>
    </row>
    <row r="555" spans="1:81" s="548" customFormat="1" ht="12.75" customHeight="1">
      <c r="B555" s="538"/>
      <c r="C555" s="549"/>
      <c r="D555" s="549"/>
      <c r="E555" s="549"/>
      <c r="F555" s="2542"/>
      <c r="G555" s="2543"/>
      <c r="H555" s="2543"/>
      <c r="I555" s="2543"/>
      <c r="J555" s="2543"/>
      <c r="K555" s="2543"/>
      <c r="L555" s="2543"/>
      <c r="M555" s="2543"/>
      <c r="N555" s="2543"/>
      <c r="O555" s="2543"/>
      <c r="P555" s="2543"/>
      <c r="Q555" s="2543"/>
      <c r="R555" s="2543"/>
      <c r="S555" s="2543"/>
      <c r="T555" s="2543"/>
      <c r="U555" s="2543"/>
      <c r="V555" s="2543"/>
      <c r="W555" s="2543"/>
      <c r="X555" s="2543"/>
      <c r="Y555" s="2543"/>
      <c r="Z555" s="2543"/>
      <c r="AA555" s="2543"/>
      <c r="AB555" s="2543"/>
      <c r="AC555" s="2543"/>
      <c r="AD555" s="2543"/>
      <c r="AE555" s="2543"/>
      <c r="AF555" s="2543"/>
      <c r="AG555" s="2543"/>
      <c r="AH555" s="2543"/>
      <c r="AI555" s="2543"/>
      <c r="AJ555" s="2543"/>
      <c r="AK555" s="2543"/>
      <c r="AL555" s="2544"/>
      <c r="AM555" s="592"/>
      <c r="AN555" s="594"/>
    </row>
    <row r="556" spans="1:81" s="548" customFormat="1" ht="12.75" customHeight="1">
      <c r="A556" s="538"/>
      <c r="B556" s="538"/>
      <c r="C556" s="549"/>
      <c r="D556" s="549"/>
      <c r="E556" s="549"/>
      <c r="F556" s="800"/>
      <c r="G556" s="800"/>
      <c r="H556" s="800"/>
      <c r="I556" s="800"/>
      <c r="J556" s="800"/>
      <c r="K556" s="800"/>
      <c r="L556" s="800"/>
      <c r="M556" s="800"/>
      <c r="N556" s="800"/>
      <c r="O556" s="800"/>
      <c r="P556" s="800"/>
      <c r="Q556" s="800"/>
      <c r="R556" s="800"/>
      <c r="S556" s="800"/>
      <c r="T556" s="800"/>
      <c r="U556" s="800"/>
      <c r="V556" s="800"/>
      <c r="W556" s="800"/>
      <c r="X556" s="800"/>
      <c r="Y556" s="800"/>
      <c r="Z556" s="800"/>
      <c r="AA556" s="800"/>
      <c r="AB556" s="800"/>
      <c r="AC556" s="800"/>
      <c r="AD556" s="800"/>
      <c r="AE556" s="800"/>
      <c r="AF556" s="800"/>
      <c r="AG556" s="800"/>
      <c r="AH556" s="800"/>
      <c r="AI556" s="800"/>
      <c r="AJ556" s="800"/>
      <c r="AK556" s="800"/>
      <c r="AL556" s="800"/>
      <c r="AM556" s="592"/>
      <c r="AN556" s="594"/>
    </row>
    <row r="557" spans="1:81" s="548" customFormat="1" ht="12.75" customHeight="1">
      <c r="A557" s="538"/>
      <c r="B557" s="801"/>
      <c r="C557" s="2488" t="s">
        <v>589</v>
      </c>
      <c r="D557" s="2488"/>
      <c r="E557" s="801"/>
      <c r="F557" s="641" t="s">
        <v>1551</v>
      </c>
      <c r="G557" s="802"/>
      <c r="H557" s="803"/>
      <c r="I557" s="803"/>
      <c r="J557" s="803"/>
      <c r="K557" s="803"/>
      <c r="L557" s="803"/>
      <c r="M557" s="803"/>
      <c r="N557" s="803"/>
      <c r="O557" s="803"/>
      <c r="P557" s="803"/>
      <c r="Q557" s="803"/>
      <c r="R557" s="803"/>
      <c r="S557" s="803"/>
      <c r="T557" s="803"/>
      <c r="U557" s="803"/>
      <c r="V557" s="803"/>
      <c r="W557" s="803"/>
      <c r="X557" s="803"/>
      <c r="Y557" s="803"/>
      <c r="Z557" s="803"/>
      <c r="AA557" s="803"/>
      <c r="AB557" s="803"/>
      <c r="AC557" s="803"/>
      <c r="AD557" s="803"/>
      <c r="AE557" s="803"/>
      <c r="AF557" s="803"/>
      <c r="AG557" s="803"/>
      <c r="AH557" s="803"/>
      <c r="AI557" s="803"/>
      <c r="AJ557" s="803"/>
      <c r="AK557" s="804"/>
      <c r="AL557" s="805"/>
      <c r="AM557" s="592"/>
      <c r="AN557" s="594"/>
    </row>
    <row r="558" spans="1:81" s="548" customFormat="1" ht="12.75" customHeight="1">
      <c r="B558" s="801"/>
      <c r="C558" s="801"/>
      <c r="D558" s="801"/>
      <c r="E558" s="801"/>
      <c r="F558" s="2482" t="s">
        <v>2626</v>
      </c>
      <c r="G558" s="2483"/>
      <c r="H558" s="2483"/>
      <c r="I558" s="2483"/>
      <c r="J558" s="2483"/>
      <c r="K558" s="2483"/>
      <c r="L558" s="2483"/>
      <c r="M558" s="2483"/>
      <c r="N558" s="2483"/>
      <c r="O558" s="2483"/>
      <c r="P558" s="2483"/>
      <c r="Q558" s="2483"/>
      <c r="R558" s="2483"/>
      <c r="S558" s="2483"/>
      <c r="T558" s="2483"/>
      <c r="U558" s="2483"/>
      <c r="V558" s="2483"/>
      <c r="W558" s="2483"/>
      <c r="X558" s="2483"/>
      <c r="Y558" s="2483"/>
      <c r="Z558" s="2483"/>
      <c r="AA558" s="2483"/>
      <c r="AB558" s="2483"/>
      <c r="AC558" s="2483"/>
      <c r="AD558" s="2483"/>
      <c r="AE558" s="2483"/>
      <c r="AF558" s="2483"/>
      <c r="AG558" s="2483"/>
      <c r="AH558" s="2483"/>
      <c r="AI558" s="2483"/>
      <c r="AJ558" s="2483"/>
      <c r="AK558" s="2483"/>
      <c r="AL558" s="2484"/>
      <c r="AM558" s="592"/>
      <c r="AN558" s="594"/>
      <c r="AS558" s="865"/>
      <c r="AT558" s="865"/>
      <c r="AU558" s="865"/>
      <c r="AV558" s="865"/>
      <c r="AW558" s="865"/>
    </row>
    <row r="559" spans="1:81" s="548" customFormat="1" ht="12.75" customHeight="1">
      <c r="B559" s="801"/>
      <c r="C559" s="801"/>
      <c r="D559" s="801"/>
      <c r="E559" s="801"/>
      <c r="F559" s="2482"/>
      <c r="G559" s="2483"/>
      <c r="H559" s="2483"/>
      <c r="I559" s="2483"/>
      <c r="J559" s="2483"/>
      <c r="K559" s="2483"/>
      <c r="L559" s="2483"/>
      <c r="M559" s="2483"/>
      <c r="N559" s="2483"/>
      <c r="O559" s="2483"/>
      <c r="P559" s="2483"/>
      <c r="Q559" s="2483"/>
      <c r="R559" s="2483"/>
      <c r="S559" s="2483"/>
      <c r="T559" s="2483"/>
      <c r="U559" s="2483"/>
      <c r="V559" s="2483"/>
      <c r="W559" s="2483"/>
      <c r="X559" s="2483"/>
      <c r="Y559" s="2483"/>
      <c r="Z559" s="2483"/>
      <c r="AA559" s="2483"/>
      <c r="AB559" s="2483"/>
      <c r="AC559" s="2483"/>
      <c r="AD559" s="2483"/>
      <c r="AE559" s="2483"/>
      <c r="AF559" s="2483"/>
      <c r="AG559" s="2483"/>
      <c r="AH559" s="2483"/>
      <c r="AI559" s="2483"/>
      <c r="AJ559" s="2483"/>
      <c r="AK559" s="2483"/>
      <c r="AL559" s="2484"/>
      <c r="AM559" s="592"/>
      <c r="AN559" s="594"/>
    </row>
    <row r="560" spans="1:81" s="548" customFormat="1" ht="12.75" customHeight="1">
      <c r="B560" s="801"/>
      <c r="C560" s="801"/>
      <c r="D560" s="801"/>
      <c r="E560" s="801"/>
      <c r="F560" s="806" t="s">
        <v>1990</v>
      </c>
      <c r="G560" s="613"/>
      <c r="H560" s="613"/>
      <c r="I560" s="613"/>
      <c r="J560" s="613"/>
      <c r="K560" s="613"/>
      <c r="L560" s="613"/>
      <c r="M560" s="613"/>
      <c r="N560" s="613"/>
      <c r="O560" s="613"/>
      <c r="P560" s="613"/>
      <c r="Q560" s="613"/>
      <c r="R560" s="613"/>
      <c r="S560" s="613"/>
      <c r="T560" s="613"/>
      <c r="U560" s="613"/>
      <c r="V560" s="613"/>
      <c r="W560" s="613"/>
      <c r="X560" s="613"/>
      <c r="Y560" s="613"/>
      <c r="Z560" s="613"/>
      <c r="AA560" s="613"/>
      <c r="AB560" s="613"/>
      <c r="AC560" s="613"/>
      <c r="AD560" s="613"/>
      <c r="AE560" s="613"/>
      <c r="AF560" s="613"/>
      <c r="AG560" s="613"/>
      <c r="AH560" s="613"/>
      <c r="AI560" s="613"/>
      <c r="AJ560" s="613"/>
      <c r="AK560" s="613"/>
      <c r="AL560" s="807"/>
      <c r="AM560" s="592"/>
      <c r="AN560" s="594"/>
    </row>
    <row r="561" spans="1:45" s="548" customFormat="1" ht="12.75" customHeight="1">
      <c r="B561" s="801"/>
      <c r="C561" s="801"/>
      <c r="D561" s="801"/>
      <c r="E561" s="801"/>
      <c r="F561" s="2482" t="s">
        <v>1552</v>
      </c>
      <c r="G561" s="2483"/>
      <c r="H561" s="2483"/>
      <c r="I561" s="2483"/>
      <c r="J561" s="2483"/>
      <c r="K561" s="2483"/>
      <c r="L561" s="2483"/>
      <c r="M561" s="2483"/>
      <c r="N561" s="2483"/>
      <c r="O561" s="2483"/>
      <c r="P561" s="2483"/>
      <c r="Q561" s="2483"/>
      <c r="R561" s="2483"/>
      <c r="S561" s="2483"/>
      <c r="T561" s="2483"/>
      <c r="U561" s="2483"/>
      <c r="V561" s="2483"/>
      <c r="W561" s="2483"/>
      <c r="X561" s="2483"/>
      <c r="Y561" s="2483"/>
      <c r="Z561" s="2483"/>
      <c r="AA561" s="2483"/>
      <c r="AB561" s="2483"/>
      <c r="AC561" s="2483"/>
      <c r="AD561" s="2483"/>
      <c r="AE561" s="2483"/>
      <c r="AF561" s="2483"/>
      <c r="AG561" s="2483"/>
      <c r="AH561" s="2483"/>
      <c r="AI561" s="2483"/>
      <c r="AJ561" s="2483"/>
      <c r="AK561" s="2483"/>
      <c r="AL561" s="808"/>
      <c r="AM561" s="592"/>
      <c r="AN561" s="594"/>
    </row>
    <row r="562" spans="1:45" s="548" customFormat="1" ht="12.75" customHeight="1">
      <c r="B562" s="801"/>
      <c r="C562" s="801"/>
      <c r="D562" s="801"/>
      <c r="E562" s="801"/>
      <c r="F562" s="2485"/>
      <c r="G562" s="2486"/>
      <c r="H562" s="2486"/>
      <c r="I562" s="2486"/>
      <c r="J562" s="2486"/>
      <c r="K562" s="2486"/>
      <c r="L562" s="2486"/>
      <c r="M562" s="2486"/>
      <c r="N562" s="2486"/>
      <c r="O562" s="2486"/>
      <c r="P562" s="2486"/>
      <c r="Q562" s="2486"/>
      <c r="R562" s="2486"/>
      <c r="S562" s="2486"/>
      <c r="T562" s="2486"/>
      <c r="U562" s="2486"/>
      <c r="V562" s="2486"/>
      <c r="W562" s="2486"/>
      <c r="X562" s="2486"/>
      <c r="Y562" s="2486"/>
      <c r="Z562" s="2486"/>
      <c r="AA562" s="2486"/>
      <c r="AB562" s="2486"/>
      <c r="AC562" s="2486"/>
      <c r="AD562" s="2486"/>
      <c r="AE562" s="2486"/>
      <c r="AF562" s="2486"/>
      <c r="AG562" s="2486"/>
      <c r="AH562" s="2486"/>
      <c r="AI562" s="2486"/>
      <c r="AJ562" s="2486"/>
      <c r="AK562" s="2486"/>
      <c r="AL562" s="809"/>
      <c r="AM562" s="592"/>
      <c r="AN562" s="594"/>
    </row>
    <row r="563" spans="1:45" s="548" customFormat="1" ht="12.75" customHeight="1">
      <c r="B563" s="801"/>
      <c r="C563" s="801"/>
      <c r="D563" s="801"/>
      <c r="E563" s="801"/>
      <c r="F563" s="639"/>
      <c r="G563" s="639"/>
      <c r="H563" s="639"/>
      <c r="I563" s="639"/>
      <c r="J563" s="639"/>
      <c r="K563" s="639"/>
      <c r="L563" s="639"/>
      <c r="M563" s="639"/>
      <c r="N563" s="639"/>
      <c r="O563" s="639"/>
      <c r="P563" s="639"/>
      <c r="Q563" s="639"/>
      <c r="R563" s="639"/>
      <c r="S563" s="639"/>
      <c r="T563" s="639"/>
      <c r="U563" s="639"/>
      <c r="V563" s="639"/>
      <c r="W563" s="639"/>
      <c r="X563" s="639"/>
      <c r="Y563" s="639"/>
      <c r="Z563" s="639"/>
      <c r="AA563" s="639"/>
      <c r="AB563" s="639"/>
      <c r="AC563" s="639"/>
      <c r="AD563" s="639"/>
      <c r="AE563" s="639"/>
      <c r="AF563" s="639"/>
      <c r="AG563" s="639"/>
      <c r="AH563" s="639"/>
      <c r="AI563" s="639"/>
      <c r="AJ563" s="639"/>
      <c r="AK563" s="639"/>
      <c r="AL563" s="592"/>
      <c r="AM563" s="592"/>
      <c r="AN563" s="594"/>
      <c r="AP563" s="2621">
        <f>Application!AJ1001</f>
        <v>75078422</v>
      </c>
      <c r="AQ563" s="2621"/>
      <c r="AR563" s="2621"/>
      <c r="AS563" s="548" t="s">
        <v>2122</v>
      </c>
    </row>
    <row r="564" spans="1:45" s="548" customFormat="1" ht="12.75" customHeight="1">
      <c r="A564" s="497"/>
      <c r="B564" s="446" t="s">
        <v>1553</v>
      </c>
      <c r="C564" s="620"/>
      <c r="D564" s="620"/>
      <c r="E564" s="620"/>
      <c r="F564" s="14"/>
      <c r="G564" s="621"/>
      <c r="H564" s="621"/>
      <c r="I564" s="621"/>
      <c r="J564" s="621"/>
      <c r="K564" s="621"/>
      <c r="L564" s="621"/>
      <c r="M564" s="621"/>
      <c r="N564" s="621"/>
      <c r="O564" s="621"/>
      <c r="P564" s="621"/>
      <c r="Q564" s="621"/>
      <c r="R564" s="14"/>
      <c r="S564" s="14"/>
      <c r="T564" s="14"/>
      <c r="U564" s="14"/>
      <c r="V564" s="14"/>
      <c r="W564" s="14"/>
      <c r="X564" s="621"/>
      <c r="Y564" s="621"/>
      <c r="Z564" s="621"/>
      <c r="AA564" s="619"/>
      <c r="AB564" s="619"/>
      <c r="AC564" s="619"/>
      <c r="AD564" s="619"/>
      <c r="AE564" s="14"/>
      <c r="AF564" s="2494">
        <f>'Sources and Uses Budget'!S107+'Sources and Uses Budget'!T107</f>
        <v>99847352</v>
      </c>
      <c r="AG564" s="2494"/>
      <c r="AH564" s="2494"/>
      <c r="AI564" s="2494"/>
      <c r="AJ564" s="2494"/>
      <c r="AK564" s="592"/>
      <c r="AL564" s="592"/>
      <c r="AM564" s="592"/>
      <c r="AN564" s="594"/>
    </row>
    <row r="565" spans="1:45" s="548" customFormat="1" ht="12.75" customHeight="1">
      <c r="A565" s="622"/>
      <c r="B565" s="622" t="s">
        <v>1554</v>
      </c>
      <c r="C565" s="621"/>
      <c r="D565" s="621"/>
      <c r="E565" s="623"/>
      <c r="F565" s="623"/>
      <c r="G565" s="623"/>
      <c r="H565" s="623"/>
      <c r="I565" s="623"/>
      <c r="J565" s="623"/>
      <c r="K565" s="623"/>
      <c r="L565" s="621"/>
      <c r="M565" s="623"/>
      <c r="N565" s="623"/>
      <c r="O565" s="623"/>
      <c r="P565" s="623"/>
      <c r="Q565" s="623"/>
      <c r="R565" s="14"/>
      <c r="S565" s="14"/>
      <c r="T565" s="14"/>
      <c r="U565" s="14"/>
      <c r="V565" s="14"/>
      <c r="W565" s="14"/>
      <c r="X565" s="621"/>
      <c r="Y565" s="621"/>
      <c r="Z565" s="621"/>
      <c r="AA565" s="619"/>
      <c r="AB565" s="619"/>
      <c r="AC565" s="619"/>
      <c r="AD565" s="619"/>
      <c r="AE565" s="14"/>
      <c r="AF565" s="2625">
        <f>IFERROR(AP572,0)</f>
        <v>187519485.68000001</v>
      </c>
      <c r="AG565" s="2625"/>
      <c r="AH565" s="2625"/>
      <c r="AI565" s="2625"/>
      <c r="AJ565" s="2625"/>
      <c r="AK565" s="592"/>
      <c r="AL565" s="592"/>
      <c r="AM565" s="592"/>
      <c r="AN565" s="594"/>
      <c r="AP565" s="2621">
        <f>Application!AJ1054</f>
        <v>18018821.280000001</v>
      </c>
      <c r="AQ565" s="2621"/>
      <c r="AR565" s="2621"/>
      <c r="AS565" s="548" t="s">
        <v>1837</v>
      </c>
    </row>
    <row r="566" spans="1:45" s="548" customFormat="1" ht="12.75" customHeight="1">
      <c r="A566" s="621"/>
      <c r="B566" s="621" t="s">
        <v>13</v>
      </c>
      <c r="C566" s="621"/>
      <c r="D566" s="621"/>
      <c r="E566" s="621"/>
      <c r="F566" s="621"/>
      <c r="G566" s="621"/>
      <c r="H566" s="621"/>
      <c r="I566" s="621"/>
      <c r="J566" s="621"/>
      <c r="K566" s="621"/>
      <c r="L566" s="621"/>
      <c r="M566" s="621"/>
      <c r="N566" s="621"/>
      <c r="O566" s="621"/>
      <c r="P566" s="621"/>
      <c r="Q566" s="621"/>
      <c r="R566" s="14"/>
      <c r="S566" s="14"/>
      <c r="T566" s="14"/>
      <c r="U566" s="14"/>
      <c r="V566" s="14"/>
      <c r="W566" s="14"/>
      <c r="X566" s="621"/>
      <c r="Y566" s="621"/>
      <c r="Z566" s="621"/>
      <c r="AA566" s="619"/>
      <c r="AB566" s="619"/>
      <c r="AC566" s="619"/>
      <c r="AD566" s="619"/>
      <c r="AE566" s="14"/>
      <c r="AF566" s="2626">
        <f>IFERROR(ROUNDDOWN(IF(C557="YES",((1-(AF564/AF565))*2),(1-(AF564/AF565))),2),0)</f>
        <v>0.46</v>
      </c>
      <c r="AG566" s="2626"/>
      <c r="AH566" s="2626"/>
      <c r="AI566" s="2626"/>
      <c r="AJ566" s="2626"/>
      <c r="AK566" s="592"/>
      <c r="AL566" s="592"/>
      <c r="AM566" s="592"/>
      <c r="AN566" s="594"/>
      <c r="AP566" s="2641">
        <f>Application!AJ1058</f>
        <v>37539211</v>
      </c>
      <c r="AQ566" s="2641"/>
      <c r="AR566" s="2641"/>
      <c r="AS566" s="548" t="s">
        <v>2123</v>
      </c>
    </row>
    <row r="567" spans="1:45" s="548" customFormat="1" ht="12.75" customHeight="1">
      <c r="A567" s="621"/>
      <c r="B567" s="621"/>
      <c r="C567" s="621"/>
      <c r="D567" s="621"/>
      <c r="E567" s="621"/>
      <c r="F567" s="621"/>
      <c r="G567" s="621"/>
      <c r="H567" s="621"/>
      <c r="I567" s="621"/>
      <c r="J567" s="621"/>
      <c r="K567" s="621"/>
      <c r="L567" s="621"/>
      <c r="M567" s="621"/>
      <c r="N567" s="621"/>
      <c r="O567" s="621"/>
      <c r="P567" s="621"/>
      <c r="Q567" s="621"/>
      <c r="R567" s="14"/>
      <c r="S567" s="14"/>
      <c r="T567" s="14"/>
      <c r="U567" s="14"/>
      <c r="V567" s="14"/>
      <c r="W567" s="14"/>
      <c r="X567" s="621"/>
      <c r="Y567" s="621"/>
      <c r="Z567" s="621"/>
      <c r="AA567" s="619"/>
      <c r="AB567" s="619"/>
      <c r="AC567" s="619"/>
      <c r="AD567" s="619"/>
      <c r="AE567" s="14"/>
      <c r="AF567" s="810"/>
      <c r="AG567" s="810"/>
      <c r="AH567" s="810"/>
      <c r="AI567" s="810"/>
      <c r="AJ567" s="810"/>
      <c r="AK567" s="592"/>
      <c r="AL567" s="592"/>
      <c r="AM567" s="592"/>
      <c r="AN567" s="594"/>
      <c r="AP567" s="2620">
        <f>IF(((AP565+AP566)/AP563)&gt;0.8,0.8,((AP565+AP566)/AP563))</f>
        <v>0.74</v>
      </c>
      <c r="AQ567" s="2620"/>
      <c r="AR567" s="2620"/>
      <c r="AS567" s="548" t="s">
        <v>2124</v>
      </c>
    </row>
    <row r="568" spans="1:45" s="548" customFormat="1" ht="12.75" customHeight="1">
      <c r="A568" s="621"/>
      <c r="B568" s="2567" t="s">
        <v>1991</v>
      </c>
      <c r="C568" s="2568"/>
      <c r="D568" s="2568"/>
      <c r="E568" s="2568"/>
      <c r="F568" s="2568"/>
      <c r="G568" s="2568"/>
      <c r="H568" s="2568"/>
      <c r="I568" s="2568"/>
      <c r="J568" s="2568"/>
      <c r="K568" s="2568"/>
      <c r="L568" s="2568"/>
      <c r="M568" s="2568"/>
      <c r="N568" s="2568"/>
      <c r="O568" s="2568"/>
      <c r="P568" s="2568"/>
      <c r="Q568" s="2568"/>
      <c r="R568" s="2568"/>
      <c r="S568" s="2568"/>
      <c r="T568" s="2568"/>
      <c r="U568" s="2568"/>
      <c r="V568" s="2568"/>
      <c r="W568" s="2568"/>
      <c r="X568" s="2568"/>
      <c r="Y568" s="2568"/>
      <c r="Z568" s="2568"/>
      <c r="AA568" s="2568"/>
      <c r="AB568" s="2568"/>
      <c r="AC568" s="2568"/>
      <c r="AD568" s="2568"/>
      <c r="AE568" s="2568"/>
      <c r="AF568" s="2568"/>
      <c r="AG568" s="2568"/>
      <c r="AH568" s="2568"/>
      <c r="AI568" s="2568"/>
      <c r="AJ568" s="2569"/>
      <c r="AK568" s="592"/>
      <c r="AL568" s="592"/>
      <c r="AM568" s="592"/>
      <c r="AN568" s="594"/>
    </row>
    <row r="569" spans="1:45" s="548" customFormat="1" ht="12.75" customHeight="1">
      <c r="A569" s="621"/>
      <c r="B569" s="2570"/>
      <c r="C569" s="2571"/>
      <c r="D569" s="2571"/>
      <c r="E569" s="2571"/>
      <c r="F569" s="2571"/>
      <c r="G569" s="2571"/>
      <c r="H569" s="2571"/>
      <c r="I569" s="2571"/>
      <c r="J569" s="2571"/>
      <c r="K569" s="2571"/>
      <c r="L569" s="2571"/>
      <c r="M569" s="2571"/>
      <c r="N569" s="2571"/>
      <c r="O569" s="2571"/>
      <c r="P569" s="2571"/>
      <c r="Q569" s="2571"/>
      <c r="R569" s="2571"/>
      <c r="S569" s="2571"/>
      <c r="T569" s="2571"/>
      <c r="U569" s="2571"/>
      <c r="V569" s="2571"/>
      <c r="W569" s="2571"/>
      <c r="X569" s="2571"/>
      <c r="Y569" s="2571"/>
      <c r="Z569" s="2571"/>
      <c r="AA569" s="2571"/>
      <c r="AB569" s="2571"/>
      <c r="AC569" s="2571"/>
      <c r="AD569" s="2571"/>
      <c r="AE569" s="2571"/>
      <c r="AF569" s="2571"/>
      <c r="AG569" s="2571"/>
      <c r="AH569" s="2571"/>
      <c r="AI569" s="2571"/>
      <c r="AJ569" s="2572"/>
      <c r="AK569" s="592"/>
      <c r="AL569" s="592"/>
      <c r="AM569" s="592"/>
      <c r="AN569" s="594"/>
      <c r="AP569" s="2621">
        <f>AP570-AP565-AP566</f>
        <v>131961453.40000001</v>
      </c>
      <c r="AQ569" s="2552"/>
      <c r="AR569" s="2552"/>
      <c r="AS569" s="548" t="s">
        <v>2126</v>
      </c>
    </row>
    <row r="570" spans="1:45" s="548" customFormat="1" ht="12.75" customHeight="1">
      <c r="A570" s="621"/>
      <c r="B570" s="2573"/>
      <c r="C570" s="2574"/>
      <c r="D570" s="2574"/>
      <c r="E570" s="2574"/>
      <c r="F570" s="2574"/>
      <c r="G570" s="2574"/>
      <c r="H570" s="2574"/>
      <c r="I570" s="2574"/>
      <c r="J570" s="2574"/>
      <c r="K570" s="2574"/>
      <c r="L570" s="2574"/>
      <c r="M570" s="2574"/>
      <c r="N570" s="2574"/>
      <c r="O570" s="2574"/>
      <c r="P570" s="2574"/>
      <c r="Q570" s="2574"/>
      <c r="R570" s="2574"/>
      <c r="S570" s="2574"/>
      <c r="T570" s="2574"/>
      <c r="U570" s="2574"/>
      <c r="V570" s="2574"/>
      <c r="W570" s="2574"/>
      <c r="X570" s="2574"/>
      <c r="Y570" s="2574"/>
      <c r="Z570" s="2574"/>
      <c r="AA570" s="2574"/>
      <c r="AB570" s="2574"/>
      <c r="AC570" s="2574"/>
      <c r="AD570" s="2574"/>
      <c r="AE570" s="2574"/>
      <c r="AF570" s="2574"/>
      <c r="AG570" s="2574"/>
      <c r="AH570" s="2574"/>
      <c r="AI570" s="2574"/>
      <c r="AJ570" s="2575"/>
      <c r="AK570" s="592"/>
      <c r="AL570" s="592"/>
      <c r="AM570" s="592"/>
      <c r="AN570" s="594"/>
      <c r="AP570" s="2621">
        <f>Application!AJ1062</f>
        <v>187519485.68000001</v>
      </c>
      <c r="AQ570" s="2621"/>
      <c r="AR570" s="2621"/>
      <c r="AS570" s="548" t="s">
        <v>2125</v>
      </c>
    </row>
    <row r="571" spans="1:45" s="548" customFormat="1" ht="12.75" customHeight="1">
      <c r="B571" s="549"/>
      <c r="C571" s="549"/>
      <c r="D571" s="549"/>
      <c r="E571" s="549"/>
      <c r="F571" s="549"/>
      <c r="G571" s="549"/>
      <c r="H571" s="549"/>
      <c r="I571" s="549"/>
      <c r="J571" s="549"/>
      <c r="K571" s="549"/>
      <c r="L571" s="549"/>
      <c r="M571" s="549"/>
      <c r="N571" s="549"/>
      <c r="O571" s="549"/>
      <c r="P571" s="549"/>
      <c r="Q571" s="549"/>
      <c r="R571" s="549"/>
      <c r="S571" s="549"/>
      <c r="T571" s="549"/>
      <c r="U571" s="549"/>
      <c r="V571" s="549"/>
      <c r="W571" s="549"/>
      <c r="X571" s="549"/>
      <c r="Y571" s="549"/>
      <c r="Z571" s="549"/>
      <c r="AA571" s="549"/>
      <c r="AB571" s="549"/>
      <c r="AC571" s="613"/>
      <c r="AD571" s="549"/>
      <c r="AI571" s="542"/>
      <c r="AJ571" s="542"/>
      <c r="AK571" s="592"/>
      <c r="AL571" s="592"/>
      <c r="AM571" s="592"/>
      <c r="AN571" s="594"/>
    </row>
    <row r="572" spans="1:45" s="548" customFormat="1" ht="12.75" customHeight="1">
      <c r="A572" s="625"/>
      <c r="B572" s="625"/>
      <c r="C572" s="625"/>
      <c r="D572" s="625"/>
      <c r="E572" s="625"/>
      <c r="F572" s="625"/>
      <c r="G572" s="625"/>
      <c r="H572" s="625"/>
      <c r="I572" s="625"/>
      <c r="J572" s="625"/>
      <c r="K572" s="625"/>
      <c r="L572" s="625"/>
      <c r="M572" s="625"/>
      <c r="N572" s="625"/>
      <c r="O572" s="625"/>
      <c r="P572" s="625"/>
      <c r="Q572" s="625"/>
      <c r="R572" s="625"/>
      <c r="S572" s="625"/>
      <c r="T572" s="625"/>
      <c r="U572" s="625"/>
      <c r="V572" s="625"/>
      <c r="W572" s="625"/>
      <c r="X572" s="625"/>
      <c r="Y572" s="625"/>
      <c r="Z572" s="625"/>
      <c r="AA572" s="625"/>
      <c r="AB572" s="625"/>
      <c r="AC572" s="625"/>
      <c r="AD572" s="625"/>
      <c r="AE572" s="625"/>
      <c r="AF572" s="625"/>
      <c r="AG572" s="625"/>
      <c r="AH572" s="626"/>
      <c r="AI572" s="562"/>
      <c r="AJ572" s="562" t="s">
        <v>1555</v>
      </c>
      <c r="AK572" s="2576">
        <f>IFERROR(IF(AND(C554="N/A",C557="N/A"),0,IF(AF566=0,0,IF((AF566*100)&gt;12,12,(AF566*100)))),0)</f>
        <v>12</v>
      </c>
      <c r="AL572" s="2576"/>
      <c r="AM572" s="2577"/>
      <c r="AN572" s="594"/>
      <c r="AP572" s="2634">
        <f>AP569+(AP563*AP567)</f>
        <v>187519485.68000001</v>
      </c>
      <c r="AQ572" s="2635"/>
      <c r="AR572" s="2636"/>
    </row>
    <row r="573" spans="1:45" s="548" customFormat="1" ht="12.75" customHeight="1" thickBot="1">
      <c r="A573" s="754"/>
      <c r="B573" s="754"/>
      <c r="C573" s="754"/>
      <c r="D573" s="754"/>
      <c r="E573" s="754"/>
      <c r="F573" s="754"/>
      <c r="G573" s="754"/>
      <c r="H573" s="754"/>
      <c r="I573" s="754"/>
      <c r="J573" s="754"/>
      <c r="K573" s="754"/>
      <c r="L573" s="754"/>
      <c r="M573" s="754"/>
      <c r="N573" s="754"/>
      <c r="O573" s="754"/>
      <c r="P573" s="754"/>
      <c r="Q573" s="754"/>
      <c r="R573" s="754"/>
      <c r="S573" s="754"/>
      <c r="T573" s="754"/>
      <c r="U573" s="754"/>
      <c r="V573" s="754"/>
      <c r="W573" s="754"/>
      <c r="X573" s="754"/>
      <c r="Y573" s="754"/>
      <c r="Z573" s="754"/>
      <c r="AA573" s="754"/>
      <c r="AB573" s="754"/>
      <c r="AC573" s="754"/>
      <c r="AD573" s="754"/>
      <c r="AE573" s="754"/>
      <c r="AF573" s="754"/>
      <c r="AG573" s="754"/>
      <c r="AH573" s="754"/>
      <c r="AI573" s="754"/>
      <c r="AJ573" s="754"/>
      <c r="AK573" s="754"/>
      <c r="AL573" s="754"/>
      <c r="AM573" s="755"/>
      <c r="AN573" s="594"/>
    </row>
    <row r="574" spans="1:45" s="548" customFormat="1" ht="12.75" customHeight="1" thickTop="1">
      <c r="A574" s="661"/>
      <c r="B574" s="662"/>
      <c r="C574" s="661"/>
      <c r="D574" s="662"/>
      <c r="E574" s="662"/>
      <c r="F574" s="662"/>
      <c r="G574" s="662"/>
      <c r="H574" s="662"/>
      <c r="I574" s="662"/>
      <c r="J574" s="662"/>
      <c r="K574" s="662"/>
      <c r="L574" s="662"/>
      <c r="M574" s="662"/>
      <c r="N574" s="662"/>
      <c r="O574" s="662"/>
      <c r="P574" s="662"/>
      <c r="Q574" s="662"/>
      <c r="R574" s="662"/>
      <c r="S574" s="662"/>
      <c r="T574" s="662"/>
      <c r="U574" s="662"/>
      <c r="V574" s="662"/>
      <c r="W574" s="662"/>
      <c r="X574" s="662"/>
      <c r="Y574" s="662"/>
      <c r="Z574" s="662"/>
      <c r="AA574" s="662"/>
      <c r="AB574" s="662"/>
      <c r="AC574" s="663"/>
      <c r="AD574" s="663"/>
      <c r="AE574" s="663"/>
      <c r="AF574" s="662"/>
      <c r="AG574" s="662"/>
      <c r="AH574" s="662"/>
      <c r="AI574" s="662"/>
      <c r="AJ574" s="662"/>
      <c r="AK574" s="662"/>
      <c r="AL574" s="662"/>
      <c r="AM574" s="664"/>
      <c r="AN574" s="594"/>
    </row>
    <row r="575" spans="1:45" s="548" customFormat="1" ht="12.75" customHeight="1">
      <c r="A575" s="538" t="s">
        <v>1547</v>
      </c>
      <c r="B575" s="538" t="s">
        <v>2569</v>
      </c>
      <c r="C575" s="537"/>
      <c r="D575" s="600"/>
      <c r="E575" s="600"/>
      <c r="F575" s="600"/>
      <c r="G575" s="600"/>
      <c r="H575" s="600"/>
      <c r="I575" s="600"/>
      <c r="J575" s="600"/>
      <c r="K575" s="600"/>
      <c r="L575" s="600"/>
      <c r="M575" s="600"/>
      <c r="N575" s="600"/>
      <c r="O575" s="600"/>
      <c r="P575" s="600"/>
      <c r="Q575" s="600"/>
      <c r="R575" s="600"/>
      <c r="S575" s="600"/>
      <c r="T575" s="600"/>
      <c r="U575" s="600"/>
      <c r="V575" s="600"/>
      <c r="W575" s="600"/>
      <c r="X575" s="600"/>
      <c r="Y575" s="600"/>
      <c r="Z575" s="600"/>
      <c r="AA575" s="600"/>
      <c r="AB575" s="600"/>
      <c r="AC575" s="600"/>
      <c r="AD575" s="600"/>
      <c r="AE575" s="2433" t="s">
        <v>1306</v>
      </c>
      <c r="AF575" s="2433"/>
      <c r="AG575" s="2433"/>
      <c r="AH575" s="2433"/>
      <c r="AI575" s="2433"/>
      <c r="AJ575" s="2433"/>
      <c r="AK575" s="2433"/>
      <c r="AL575" s="588"/>
      <c r="AM575" s="600"/>
      <c r="AN575" s="594"/>
    </row>
    <row r="576" spans="1:45" s="548" customFormat="1" ht="12.75" customHeight="1">
      <c r="C576" s="600"/>
      <c r="D576" s="600"/>
      <c r="E576" s="600"/>
      <c r="F576" s="600"/>
      <c r="G576" s="600"/>
      <c r="H576" s="600"/>
      <c r="I576" s="600"/>
      <c r="J576" s="600"/>
      <c r="K576" s="600"/>
      <c r="L576" s="600"/>
      <c r="M576" s="600"/>
      <c r="N576" s="600"/>
      <c r="O576" s="600"/>
      <c r="P576" s="600"/>
      <c r="Q576" s="600"/>
      <c r="R576" s="600"/>
      <c r="S576" s="600"/>
      <c r="T576" s="600"/>
      <c r="U576" s="600"/>
      <c r="V576" s="600"/>
      <c r="W576" s="600"/>
      <c r="X576" s="600"/>
      <c r="Y576" s="600"/>
      <c r="Z576" s="600"/>
      <c r="AA576" s="600"/>
      <c r="AB576" s="600"/>
      <c r="AC576" s="600"/>
      <c r="AD576" s="600"/>
      <c r="AE576" s="600"/>
      <c r="AF576" s="600"/>
      <c r="AG576" s="600"/>
      <c r="AH576" s="600"/>
      <c r="AI576" s="600"/>
      <c r="AJ576" s="600"/>
      <c r="AK576" s="600"/>
      <c r="AL576" s="600"/>
      <c r="AM576" s="600"/>
      <c r="AN576" s="594"/>
    </row>
    <row r="577" spans="1:42" s="548" customFormat="1" ht="12.75" customHeight="1">
      <c r="A577" s="600"/>
      <c r="B577" s="2483" t="s">
        <v>1983</v>
      </c>
      <c r="C577" s="2483"/>
      <c r="D577" s="2483"/>
      <c r="E577" s="2483"/>
      <c r="F577" s="2483"/>
      <c r="G577" s="2483"/>
      <c r="H577" s="2483"/>
      <c r="I577" s="2483"/>
      <c r="J577" s="2483"/>
      <c r="K577" s="2483"/>
      <c r="L577" s="2483"/>
      <c r="M577" s="2483"/>
      <c r="N577" s="2483"/>
      <c r="O577" s="2483"/>
      <c r="P577" s="2483"/>
      <c r="Q577" s="2483"/>
      <c r="R577" s="2483"/>
      <c r="S577" s="2483"/>
      <c r="T577" s="2483"/>
      <c r="U577" s="2483"/>
      <c r="V577" s="2483"/>
      <c r="W577" s="2483"/>
      <c r="X577" s="2483"/>
      <c r="Y577" s="2483"/>
      <c r="Z577" s="2483"/>
      <c r="AA577" s="2483"/>
      <c r="AB577" s="2483"/>
      <c r="AC577" s="2483"/>
      <c r="AD577" s="2483"/>
      <c r="AE577" s="2483"/>
      <c r="AF577" s="2483"/>
      <c r="AG577" s="2483"/>
      <c r="AH577" s="2483"/>
      <c r="AI577" s="2483"/>
      <c r="AJ577" s="2483"/>
      <c r="AK577" s="639"/>
      <c r="AL577" s="570"/>
      <c r="AM577" s="600"/>
      <c r="AN577" s="594"/>
    </row>
    <row r="578" spans="1:42" s="548" customFormat="1" ht="12.75" customHeight="1">
      <c r="A578" s="600"/>
      <c r="B578" s="2483"/>
      <c r="C578" s="2483"/>
      <c r="D578" s="2483"/>
      <c r="E578" s="2483"/>
      <c r="F578" s="2483"/>
      <c r="G578" s="2483"/>
      <c r="H578" s="2483"/>
      <c r="I578" s="2483"/>
      <c r="J578" s="2483"/>
      <c r="K578" s="2483"/>
      <c r="L578" s="2483"/>
      <c r="M578" s="2483"/>
      <c r="N578" s="2483"/>
      <c r="O578" s="2483"/>
      <c r="P578" s="2483"/>
      <c r="Q578" s="2483"/>
      <c r="R578" s="2483"/>
      <c r="S578" s="2483"/>
      <c r="T578" s="2483"/>
      <c r="U578" s="2483"/>
      <c r="V578" s="2483"/>
      <c r="W578" s="2483"/>
      <c r="X578" s="2483"/>
      <c r="Y578" s="2483"/>
      <c r="Z578" s="2483"/>
      <c r="AA578" s="2483"/>
      <c r="AB578" s="2483"/>
      <c r="AC578" s="2483"/>
      <c r="AD578" s="2483"/>
      <c r="AE578" s="2483"/>
      <c r="AF578" s="2483"/>
      <c r="AG578" s="2483"/>
      <c r="AH578" s="2483"/>
      <c r="AI578" s="2483"/>
      <c r="AJ578" s="2483"/>
      <c r="AK578" s="639"/>
      <c r="AL578" s="570"/>
      <c r="AM578" s="600"/>
      <c r="AN578" s="594"/>
    </row>
    <row r="579" spans="1:42" s="548" customFormat="1" ht="12.75" customHeight="1">
      <c r="A579" s="600"/>
      <c r="B579" s="2483"/>
      <c r="C579" s="2483"/>
      <c r="D579" s="2483"/>
      <c r="E579" s="2483"/>
      <c r="F579" s="2483"/>
      <c r="G579" s="2483"/>
      <c r="H579" s="2483"/>
      <c r="I579" s="2483"/>
      <c r="J579" s="2483"/>
      <c r="K579" s="2483"/>
      <c r="L579" s="2483"/>
      <c r="M579" s="2483"/>
      <c r="N579" s="2483"/>
      <c r="O579" s="2483"/>
      <c r="P579" s="2483"/>
      <c r="Q579" s="2483"/>
      <c r="R579" s="2483"/>
      <c r="S579" s="2483"/>
      <c r="T579" s="2483"/>
      <c r="U579" s="2483"/>
      <c r="V579" s="2483"/>
      <c r="W579" s="2483"/>
      <c r="X579" s="2483"/>
      <c r="Y579" s="2483"/>
      <c r="Z579" s="2483"/>
      <c r="AA579" s="2483"/>
      <c r="AB579" s="2483"/>
      <c r="AC579" s="2483"/>
      <c r="AD579" s="2483"/>
      <c r="AE579" s="2483"/>
      <c r="AF579" s="2483"/>
      <c r="AG579" s="2483"/>
      <c r="AH579" s="2483"/>
      <c r="AI579" s="2483"/>
      <c r="AJ579" s="2483"/>
      <c r="AK579" s="639"/>
      <c r="AL579" s="570"/>
      <c r="AM579" s="600"/>
      <c r="AN579" s="594"/>
    </row>
    <row r="580" spans="1:42" s="548" customFormat="1" ht="12.75" customHeight="1">
      <c r="A580" s="600"/>
      <c r="B580" s="2483"/>
      <c r="C580" s="2483"/>
      <c r="D580" s="2483"/>
      <c r="E580" s="2483"/>
      <c r="F580" s="2483"/>
      <c r="G580" s="2483"/>
      <c r="H580" s="2483"/>
      <c r="I580" s="2483"/>
      <c r="J580" s="2483"/>
      <c r="K580" s="2483"/>
      <c r="L580" s="2483"/>
      <c r="M580" s="2483"/>
      <c r="N580" s="2483"/>
      <c r="O580" s="2483"/>
      <c r="P580" s="2483"/>
      <c r="Q580" s="2483"/>
      <c r="R580" s="2483"/>
      <c r="S580" s="2483"/>
      <c r="T580" s="2483"/>
      <c r="U580" s="2483"/>
      <c r="V580" s="2483"/>
      <c r="W580" s="2483"/>
      <c r="X580" s="2483"/>
      <c r="Y580" s="2483"/>
      <c r="Z580" s="2483"/>
      <c r="AA580" s="2483"/>
      <c r="AB580" s="2483"/>
      <c r="AC580" s="2483"/>
      <c r="AD580" s="2483"/>
      <c r="AE580" s="2483"/>
      <c r="AF580" s="2483"/>
      <c r="AG580" s="2483"/>
      <c r="AH580" s="2483"/>
      <c r="AI580" s="2483"/>
      <c r="AJ580" s="2483"/>
      <c r="AK580" s="639"/>
      <c r="AL580" s="570"/>
      <c r="AM580" s="600"/>
      <c r="AN580" s="594"/>
    </row>
    <row r="581" spans="1:42" s="548" customFormat="1" ht="12.75" customHeight="1">
      <c r="A581" s="600"/>
      <c r="B581" s="2483"/>
      <c r="C581" s="2483"/>
      <c r="D581" s="2483"/>
      <c r="E581" s="2483"/>
      <c r="F581" s="2483"/>
      <c r="G581" s="2483"/>
      <c r="H581" s="2483"/>
      <c r="I581" s="2483"/>
      <c r="J581" s="2483"/>
      <c r="K581" s="2483"/>
      <c r="L581" s="2483"/>
      <c r="M581" s="2483"/>
      <c r="N581" s="2483"/>
      <c r="O581" s="2483"/>
      <c r="P581" s="2483"/>
      <c r="Q581" s="2483"/>
      <c r="R581" s="2483"/>
      <c r="S581" s="2483"/>
      <c r="T581" s="2483"/>
      <c r="U581" s="2483"/>
      <c r="V581" s="2483"/>
      <c r="W581" s="2483"/>
      <c r="X581" s="2483"/>
      <c r="Y581" s="2483"/>
      <c r="Z581" s="2483"/>
      <c r="AA581" s="2483"/>
      <c r="AB581" s="2483"/>
      <c r="AC581" s="2483"/>
      <c r="AD581" s="2483"/>
      <c r="AE581" s="2483"/>
      <c r="AF581" s="2483"/>
      <c r="AG581" s="2483"/>
      <c r="AH581" s="2483"/>
      <c r="AI581" s="2483"/>
      <c r="AJ581" s="2483"/>
      <c r="AK581" s="639"/>
      <c r="AL581" s="570"/>
      <c r="AM581" s="600"/>
      <c r="AN581" s="594"/>
    </row>
    <row r="582" spans="1:42" s="548" customFormat="1" ht="12.75" customHeight="1">
      <c r="A582" s="600"/>
      <c r="B582" s="2483"/>
      <c r="C582" s="2483"/>
      <c r="D582" s="2483"/>
      <c r="E582" s="2483"/>
      <c r="F582" s="2483"/>
      <c r="G582" s="2483"/>
      <c r="H582" s="2483"/>
      <c r="I582" s="2483"/>
      <c r="J582" s="2483"/>
      <c r="K582" s="2483"/>
      <c r="L582" s="2483"/>
      <c r="M582" s="2483"/>
      <c r="N582" s="2483"/>
      <c r="O582" s="2483"/>
      <c r="P582" s="2483"/>
      <c r="Q582" s="2483"/>
      <c r="R582" s="2483"/>
      <c r="S582" s="2483"/>
      <c r="T582" s="2483"/>
      <c r="U582" s="2483"/>
      <c r="V582" s="2483"/>
      <c r="W582" s="2483"/>
      <c r="X582" s="2483"/>
      <c r="Y582" s="2483"/>
      <c r="Z582" s="2483"/>
      <c r="AA582" s="2483"/>
      <c r="AB582" s="2483"/>
      <c r="AC582" s="2483"/>
      <c r="AD582" s="2483"/>
      <c r="AE582" s="2483"/>
      <c r="AF582" s="2483"/>
      <c r="AG582" s="2483"/>
      <c r="AH582" s="2483"/>
      <c r="AI582" s="2483"/>
      <c r="AJ582" s="2483"/>
      <c r="AK582" s="639"/>
      <c r="AL582" s="570"/>
      <c r="AM582" s="600"/>
      <c r="AN582" s="594"/>
    </row>
    <row r="583" spans="1:42" s="548" customFormat="1" ht="12.75" customHeight="1">
      <c r="A583" s="600"/>
      <c r="B583" s="2483"/>
      <c r="C583" s="2483"/>
      <c r="D583" s="2483"/>
      <c r="E583" s="2483"/>
      <c r="F583" s="2483"/>
      <c r="G583" s="2483"/>
      <c r="H583" s="2483"/>
      <c r="I583" s="2483"/>
      <c r="J583" s="2483"/>
      <c r="K583" s="2483"/>
      <c r="L583" s="2483"/>
      <c r="M583" s="2483"/>
      <c r="N583" s="2483"/>
      <c r="O583" s="2483"/>
      <c r="P583" s="2483"/>
      <c r="Q583" s="2483"/>
      <c r="R583" s="2483"/>
      <c r="S583" s="2483"/>
      <c r="T583" s="2483"/>
      <c r="U583" s="2483"/>
      <c r="V583" s="2483"/>
      <c r="W583" s="2483"/>
      <c r="X583" s="2483"/>
      <c r="Y583" s="2483"/>
      <c r="Z583" s="2483"/>
      <c r="AA583" s="2483"/>
      <c r="AB583" s="2483"/>
      <c r="AC583" s="2483"/>
      <c r="AD583" s="2483"/>
      <c r="AE583" s="2483"/>
      <c r="AF583" s="2483"/>
      <c r="AG583" s="2483"/>
      <c r="AH583" s="2483"/>
      <c r="AI583" s="2483"/>
      <c r="AJ583" s="2483"/>
      <c r="AK583" s="639"/>
      <c r="AL583" s="570"/>
      <c r="AM583" s="600"/>
      <c r="AN583" s="594"/>
    </row>
    <row r="584" spans="1:42" ht="12.75" customHeight="1">
      <c r="A584" s="600"/>
      <c r="B584" s="2483"/>
      <c r="C584" s="2483"/>
      <c r="D584" s="2483"/>
      <c r="E584" s="2483"/>
      <c r="F584" s="2483"/>
      <c r="G584" s="2483"/>
      <c r="H584" s="2483"/>
      <c r="I584" s="2483"/>
      <c r="J584" s="2483"/>
      <c r="K584" s="2483"/>
      <c r="L584" s="2483"/>
      <c r="M584" s="2483"/>
      <c r="N584" s="2483"/>
      <c r="O584" s="2483"/>
      <c r="P584" s="2483"/>
      <c r="Q584" s="2483"/>
      <c r="R584" s="2483"/>
      <c r="S584" s="2483"/>
      <c r="T584" s="2483"/>
      <c r="U584" s="2483"/>
      <c r="V584" s="2483"/>
      <c r="W584" s="2483"/>
      <c r="X584" s="2483"/>
      <c r="Y584" s="2483"/>
      <c r="Z584" s="2483"/>
      <c r="AA584" s="2483"/>
      <c r="AB584" s="2483"/>
      <c r="AC584" s="2483"/>
      <c r="AD584" s="2483"/>
      <c r="AE584" s="2483"/>
      <c r="AF584" s="2483"/>
      <c r="AG584" s="2483"/>
      <c r="AH584" s="2483"/>
      <c r="AI584" s="2483"/>
      <c r="AJ584" s="2483"/>
      <c r="AK584" s="639"/>
      <c r="AL584" s="570"/>
      <c r="AM584" s="600"/>
    </row>
    <row r="585" spans="1:42" s="548" customFormat="1" ht="12.75" customHeight="1">
      <c r="B585" s="2483"/>
      <c r="C585" s="2483"/>
      <c r="D585" s="2483"/>
      <c r="E585" s="2483"/>
      <c r="F585" s="2483"/>
      <c r="G585" s="2483"/>
      <c r="H585" s="2483"/>
      <c r="I585" s="2483"/>
      <c r="J585" s="2483"/>
      <c r="K585" s="2483"/>
      <c r="L585" s="2483"/>
      <c r="M585" s="2483"/>
      <c r="N585" s="2483"/>
      <c r="O585" s="2483"/>
      <c r="P585" s="2483"/>
      <c r="Q585" s="2483"/>
      <c r="R585" s="2483"/>
      <c r="S585" s="2483"/>
      <c r="T585" s="2483"/>
      <c r="U585" s="2483"/>
      <c r="V585" s="2483"/>
      <c r="W585" s="2483"/>
      <c r="X585" s="2483"/>
      <c r="Y585" s="2483"/>
      <c r="Z585" s="2483"/>
      <c r="AA585" s="2483"/>
      <c r="AB585" s="2483"/>
      <c r="AC585" s="2483"/>
      <c r="AD585" s="2483"/>
      <c r="AE585" s="2483"/>
      <c r="AF585" s="2483"/>
      <c r="AG585" s="2483"/>
      <c r="AH585" s="2483"/>
      <c r="AI585" s="2483"/>
      <c r="AJ585" s="2483"/>
      <c r="AK585" s="639"/>
      <c r="AL585" s="570"/>
      <c r="AN585" s="594"/>
    </row>
    <row r="586" spans="1:42" s="548" customFormat="1" ht="12.75" customHeight="1">
      <c r="B586" s="639"/>
      <c r="C586" s="639"/>
      <c r="D586" s="639"/>
      <c r="E586" s="639"/>
      <c r="F586" s="639"/>
      <c r="G586" s="639"/>
      <c r="H586" s="639"/>
      <c r="I586" s="639"/>
      <c r="J586" s="639"/>
      <c r="K586" s="639"/>
      <c r="L586" s="639"/>
      <c r="M586" s="639"/>
      <c r="N586" s="639"/>
      <c r="O586" s="639"/>
      <c r="P586" s="639"/>
      <c r="Q586" s="639"/>
      <c r="R586" s="639"/>
      <c r="S586" s="639"/>
      <c r="T586" s="639"/>
      <c r="U586" s="639"/>
      <c r="V586" s="639"/>
      <c r="W586" s="639"/>
      <c r="X586" s="639"/>
      <c r="Y586" s="639"/>
      <c r="Z586" s="639"/>
      <c r="AA586" s="639"/>
      <c r="AB586" s="639"/>
      <c r="AC586" s="639"/>
      <c r="AD586" s="639"/>
      <c r="AE586" s="639"/>
      <c r="AF586" s="639"/>
      <c r="AG586" s="639"/>
      <c r="AH586" s="639"/>
      <c r="AI586" s="639"/>
      <c r="AJ586" s="639"/>
      <c r="AK586" s="639"/>
      <c r="AL586" s="570"/>
      <c r="AN586" s="594"/>
    </row>
    <row r="587" spans="1:42" s="548" customFormat="1" ht="12.75" customHeight="1">
      <c r="B587" s="658" t="s">
        <v>1384</v>
      </c>
      <c r="C587" s="666"/>
      <c r="D587" s="570"/>
      <c r="E587" s="570"/>
      <c r="F587" s="570"/>
      <c r="G587" s="570"/>
      <c r="H587" s="570"/>
      <c r="I587" s="570"/>
      <c r="J587" s="570"/>
      <c r="K587" s="570"/>
      <c r="L587" s="570"/>
      <c r="M587" s="570"/>
      <c r="N587" s="570"/>
      <c r="O587" s="570"/>
      <c r="P587" s="570"/>
      <c r="Q587" s="570"/>
      <c r="R587" s="570"/>
      <c r="S587" s="570"/>
      <c r="T587" s="570"/>
      <c r="U587" s="570"/>
      <c r="V587" s="570"/>
      <c r="W587" s="570"/>
      <c r="X587" s="570"/>
      <c r="Y587" s="570"/>
      <c r="Z587" s="570"/>
      <c r="AA587" s="570"/>
      <c r="AB587" s="570"/>
      <c r="AC587" s="570"/>
      <c r="AD587" s="570"/>
      <c r="AE587" s="570"/>
      <c r="AF587" s="570"/>
      <c r="AG587" s="570"/>
      <c r="AH587" s="570"/>
      <c r="AI587" s="570"/>
      <c r="AN587" s="594"/>
      <c r="AP587" s="548" t="s">
        <v>589</v>
      </c>
    </row>
    <row r="588" spans="1:42" s="548" customFormat="1" ht="12.75" customHeight="1">
      <c r="B588" s="535"/>
      <c r="C588" s="666"/>
      <c r="D588" s="570"/>
      <c r="E588" s="570"/>
      <c r="F588" s="570"/>
      <c r="G588" s="570"/>
      <c r="H588" s="570"/>
      <c r="I588" s="570"/>
      <c r="J588" s="570"/>
      <c r="K588" s="570"/>
      <c r="L588" s="570"/>
      <c r="M588" s="570"/>
      <c r="N588" s="570"/>
      <c r="O588" s="570"/>
      <c r="P588" s="570"/>
      <c r="Q588" s="570"/>
      <c r="R588" s="570"/>
      <c r="S588" s="570"/>
      <c r="T588" s="570"/>
      <c r="U588" s="570"/>
      <c r="V588" s="570"/>
      <c r="W588" s="570"/>
      <c r="X588" s="570"/>
      <c r="Y588" s="570"/>
      <c r="Z588" s="570"/>
      <c r="AA588" s="570"/>
      <c r="AB588" s="570"/>
      <c r="AC588" s="570"/>
      <c r="AD588" s="570"/>
      <c r="AE588" s="570"/>
      <c r="AF588" s="570"/>
      <c r="AG588" s="570"/>
      <c r="AH588" s="570"/>
      <c r="AI588" s="570"/>
      <c r="AN588" s="594"/>
      <c r="AP588" s="548" t="s">
        <v>543</v>
      </c>
    </row>
    <row r="589" spans="1:42" s="548" customFormat="1" ht="12.75" customHeight="1">
      <c r="C589" s="538" t="s">
        <v>1385</v>
      </c>
      <c r="D589" s="667"/>
      <c r="E589" s="570"/>
      <c r="F589" s="570"/>
      <c r="G589" s="570"/>
      <c r="H589" s="570"/>
      <c r="I589" s="570"/>
      <c r="J589" s="570"/>
      <c r="K589" s="570"/>
      <c r="L589" s="570"/>
      <c r="M589" s="570"/>
      <c r="N589" s="570"/>
      <c r="O589" s="570"/>
      <c r="P589" s="570"/>
      <c r="Q589" s="570"/>
      <c r="R589" s="570"/>
      <c r="S589" s="570"/>
      <c r="T589" s="570"/>
      <c r="U589" s="570"/>
      <c r="V589" s="570"/>
      <c r="W589" s="570"/>
      <c r="X589" s="570"/>
      <c r="Y589" s="570"/>
      <c r="Z589" s="570"/>
      <c r="AA589" s="570"/>
      <c r="AB589" s="570"/>
      <c r="AC589" s="570"/>
      <c r="AD589" s="570"/>
      <c r="AE589" s="570"/>
      <c r="AF589" s="570"/>
      <c r="AG589" s="570"/>
      <c r="AH589" s="570"/>
      <c r="AI589" s="570"/>
      <c r="AN589" s="594"/>
    </row>
    <row r="590" spans="1:42" s="548" customFormat="1" ht="12.75" customHeight="1">
      <c r="B590" s="535"/>
      <c r="C590" s="535"/>
      <c r="D590" s="637"/>
      <c r="E590" s="640"/>
      <c r="F590" s="640"/>
      <c r="G590" s="640"/>
      <c r="H590" s="640"/>
      <c r="I590" s="640"/>
      <c r="J590" s="640"/>
      <c r="K590" s="640"/>
      <c r="L590" s="640"/>
      <c r="M590" s="640"/>
      <c r="N590" s="640"/>
      <c r="O590" s="640"/>
      <c r="P590" s="640"/>
      <c r="Q590" s="640"/>
      <c r="R590" s="640"/>
      <c r="S590" s="640"/>
      <c r="T590" s="640"/>
      <c r="U590" s="640"/>
      <c r="V590" s="640"/>
      <c r="W590" s="640"/>
      <c r="X590" s="640"/>
      <c r="Y590" s="640"/>
      <c r="Z590" s="640"/>
      <c r="AA590" s="640"/>
      <c r="AB590" s="640"/>
      <c r="AC590" s="640"/>
      <c r="AD590" s="640"/>
      <c r="AE590" s="640"/>
      <c r="AF590" s="535"/>
      <c r="AG590" s="535"/>
      <c r="AH590" s="535"/>
      <c r="AI590" s="535"/>
      <c r="AJ590" s="535"/>
      <c r="AK590" s="535"/>
      <c r="AL590" s="535"/>
      <c r="AN590" s="594"/>
    </row>
    <row r="591" spans="1:42" s="548" customFormat="1" ht="12.75" customHeight="1">
      <c r="B591" s="535"/>
      <c r="C591" s="535"/>
      <c r="D591" s="658" t="s">
        <v>685</v>
      </c>
      <c r="E591" s="833" t="s">
        <v>1685</v>
      </c>
      <c r="F591" s="639"/>
      <c r="G591" s="639"/>
      <c r="H591" s="639"/>
      <c r="I591" s="639"/>
      <c r="J591" s="639"/>
      <c r="K591" s="639"/>
      <c r="L591" s="639"/>
      <c r="M591" s="639"/>
      <c r="N591" s="639"/>
      <c r="O591" s="639"/>
      <c r="P591" s="639"/>
      <c r="Q591" s="639"/>
      <c r="R591" s="639"/>
      <c r="S591" s="639"/>
      <c r="T591" s="639"/>
      <c r="U591" s="639"/>
      <c r="V591" s="639"/>
      <c r="W591" s="639"/>
      <c r="X591" s="639"/>
      <c r="Y591" s="639"/>
      <c r="Z591" s="639"/>
      <c r="AA591" s="639"/>
      <c r="AB591" s="639"/>
      <c r="AC591" s="535"/>
      <c r="AD591" s="535"/>
      <c r="AE591" s="535"/>
      <c r="AF591" s="2466" t="s">
        <v>1330</v>
      </c>
      <c r="AG591" s="2466"/>
      <c r="AH591" s="2466"/>
      <c r="AI591" s="2466"/>
      <c r="AJ591" s="2466"/>
      <c r="AK591" s="2466"/>
      <c r="AL591" s="2466"/>
      <c r="AN591" s="594"/>
    </row>
    <row r="592" spans="1:42" s="548" customFormat="1" ht="12.75" customHeight="1">
      <c r="B592" s="535"/>
      <c r="C592" s="613"/>
      <c r="D592" s="658"/>
      <c r="E592" s="833" t="s">
        <v>1686</v>
      </c>
      <c r="F592" s="639"/>
      <c r="G592" s="639"/>
      <c r="H592" s="639"/>
      <c r="I592" s="639"/>
      <c r="J592" s="639"/>
      <c r="K592" s="639"/>
      <c r="L592" s="639"/>
      <c r="M592" s="639"/>
      <c r="N592" s="639"/>
      <c r="O592" s="639"/>
      <c r="P592" s="639"/>
      <c r="Q592" s="639"/>
      <c r="R592" s="639"/>
      <c r="S592" s="639"/>
      <c r="T592" s="639"/>
      <c r="U592" s="639"/>
      <c r="V592" s="639"/>
      <c r="W592" s="639"/>
      <c r="X592" s="639"/>
      <c r="Y592" s="639"/>
      <c r="Z592" s="639"/>
      <c r="AA592" s="639"/>
      <c r="AB592" s="639"/>
      <c r="AC592" s="535"/>
      <c r="AD592" s="535"/>
      <c r="AE592" s="613"/>
      <c r="AF592" s="613"/>
      <c r="AG592" s="613"/>
      <c r="AH592" s="613"/>
      <c r="AI592" s="613"/>
      <c r="AJ592" s="613"/>
      <c r="AK592" s="613"/>
      <c r="AL592" s="613"/>
      <c r="AN592" s="594"/>
    </row>
    <row r="593" spans="1:42" s="548" customFormat="1" ht="12.75" customHeight="1">
      <c r="B593" s="535"/>
      <c r="C593" s="613"/>
      <c r="D593" s="658"/>
      <c r="E593" s="833" t="s">
        <v>1687</v>
      </c>
      <c r="F593" s="639"/>
      <c r="G593" s="639"/>
      <c r="H593" s="639"/>
      <c r="I593" s="639"/>
      <c r="J593" s="639"/>
      <c r="K593" s="639"/>
      <c r="L593" s="639"/>
      <c r="M593" s="639"/>
      <c r="N593" s="639"/>
      <c r="O593" s="639"/>
      <c r="P593" s="639"/>
      <c r="Q593" s="639"/>
      <c r="R593" s="639"/>
      <c r="S593" s="639"/>
      <c r="T593" s="639"/>
      <c r="U593" s="639"/>
      <c r="V593" s="639"/>
      <c r="W593" s="639"/>
      <c r="X593" s="639"/>
      <c r="Y593" s="639"/>
      <c r="Z593" s="639"/>
      <c r="AA593" s="639"/>
      <c r="AB593" s="639"/>
      <c r="AC593" s="535"/>
      <c r="AD593" s="535"/>
      <c r="AE593" s="613"/>
      <c r="AF593" s="613"/>
      <c r="AG593" s="613"/>
      <c r="AH593" s="613"/>
      <c r="AI593" s="613"/>
      <c r="AJ593" s="613"/>
      <c r="AK593" s="613"/>
      <c r="AL593" s="613"/>
      <c r="AN593" s="594"/>
    </row>
    <row r="594" spans="1:42" s="548" customFormat="1" ht="12.75" customHeight="1">
      <c r="B594" s="535"/>
      <c r="C594" s="613"/>
      <c r="D594" s="658"/>
      <c r="E594" s="833" t="s">
        <v>1688</v>
      </c>
      <c r="F594" s="639"/>
      <c r="G594" s="639"/>
      <c r="H594" s="639"/>
      <c r="I594" s="639"/>
      <c r="J594" s="639"/>
      <c r="K594" s="639"/>
      <c r="L594" s="639"/>
      <c r="M594" s="639"/>
      <c r="N594" s="639"/>
      <c r="O594" s="639"/>
      <c r="P594" s="639"/>
      <c r="Q594" s="639"/>
      <c r="R594" s="639"/>
      <c r="S594" s="639"/>
      <c r="T594" s="639"/>
      <c r="U594" s="639"/>
      <c r="V594" s="639"/>
      <c r="W594" s="639"/>
      <c r="X594" s="639"/>
      <c r="Y594" s="639"/>
      <c r="Z594" s="639"/>
      <c r="AA594" s="639"/>
      <c r="AB594" s="639"/>
      <c r="AC594" s="535"/>
      <c r="AD594" s="535"/>
      <c r="AE594" s="613"/>
      <c r="AF594" s="613"/>
      <c r="AG594" s="613"/>
      <c r="AH594" s="613"/>
      <c r="AI594" s="613"/>
      <c r="AJ594" s="613"/>
      <c r="AK594" s="613"/>
      <c r="AL594" s="613"/>
      <c r="AN594" s="594"/>
    </row>
    <row r="595" spans="1:42" s="548" customFormat="1" ht="12.75" customHeight="1">
      <c r="B595" s="535"/>
      <c r="C595" s="613"/>
      <c r="D595" s="658"/>
      <c r="E595" s="833" t="s">
        <v>1689</v>
      </c>
      <c r="F595" s="639"/>
      <c r="G595" s="639"/>
      <c r="H595" s="639"/>
      <c r="I595" s="639"/>
      <c r="J595" s="639"/>
      <c r="K595" s="639"/>
      <c r="L595" s="639"/>
      <c r="M595" s="639"/>
      <c r="N595" s="639"/>
      <c r="O595" s="639"/>
      <c r="P595" s="639"/>
      <c r="Q595" s="639"/>
      <c r="R595" s="639"/>
      <c r="S595" s="639"/>
      <c r="T595" s="639"/>
      <c r="U595" s="639"/>
      <c r="V595" s="639"/>
      <c r="W595" s="639"/>
      <c r="X595" s="639"/>
      <c r="Y595" s="639"/>
      <c r="Z595" s="639"/>
      <c r="AA595" s="639"/>
      <c r="AB595" s="639"/>
      <c r="AC595" s="535"/>
      <c r="AD595" s="535"/>
      <c r="AE595" s="613"/>
      <c r="AF595" s="613"/>
      <c r="AG595" s="613"/>
      <c r="AH595" s="613"/>
      <c r="AI595" s="613"/>
      <c r="AJ595" s="613"/>
      <c r="AK595" s="613"/>
      <c r="AL595" s="613"/>
      <c r="AN595" s="594"/>
      <c r="AO595" s="22" t="s">
        <v>2127</v>
      </c>
      <c r="AP595" s="548" t="b">
        <f>IF(Application!AF427&gt;=25,TRUE,FALSE)</f>
        <v>1</v>
      </c>
    </row>
    <row r="596" spans="1:42" s="548" customFormat="1" ht="12.75" customHeight="1">
      <c r="B596" s="535"/>
      <c r="C596" s="613"/>
      <c r="D596" s="658"/>
      <c r="E596" s="833" t="s">
        <v>1690</v>
      </c>
      <c r="F596" s="639"/>
      <c r="G596" s="639"/>
      <c r="H596" s="639"/>
      <c r="I596" s="639"/>
      <c r="J596" s="639"/>
      <c r="K596" s="639"/>
      <c r="L596" s="639"/>
      <c r="M596" s="639"/>
      <c r="N596" s="639"/>
      <c r="O596" s="639"/>
      <c r="P596" s="639"/>
      <c r="Q596" s="639"/>
      <c r="R596" s="639"/>
      <c r="S596" s="639"/>
      <c r="T596" s="639"/>
      <c r="U596" s="639"/>
      <c r="V596" s="639"/>
      <c r="W596" s="639"/>
      <c r="X596" s="639"/>
      <c r="Y596" s="639"/>
      <c r="Z596" s="639"/>
      <c r="AA596" s="639"/>
      <c r="AB596" s="639"/>
      <c r="AC596" s="535"/>
      <c r="AD596" s="535"/>
      <c r="AE596" s="613"/>
      <c r="AF596" s="613"/>
      <c r="AG596" s="613"/>
      <c r="AH596" s="613"/>
      <c r="AI596" s="613"/>
      <c r="AJ596" s="613"/>
      <c r="AK596" s="613"/>
      <c r="AL596" s="613"/>
      <c r="AN596" s="594"/>
      <c r="AO596" s="22" t="s">
        <v>2128</v>
      </c>
      <c r="AP596" s="548" t="b">
        <f>Application!T199="Yes"</f>
        <v>0</v>
      </c>
    </row>
    <row r="597" spans="1:42" s="548" customFormat="1" ht="12.75" customHeight="1">
      <c r="B597" s="535"/>
      <c r="C597" s="613"/>
      <c r="D597" s="658"/>
      <c r="E597" s="833"/>
      <c r="F597" s="639"/>
      <c r="G597" s="639"/>
      <c r="H597" s="639"/>
      <c r="I597" s="639"/>
      <c r="J597" s="639"/>
      <c r="K597" s="639"/>
      <c r="L597" s="639"/>
      <c r="M597" s="639"/>
      <c r="N597" s="639"/>
      <c r="O597" s="639"/>
      <c r="P597" s="639"/>
      <c r="Q597" s="639"/>
      <c r="R597" s="639"/>
      <c r="S597" s="639"/>
      <c r="T597" s="639"/>
      <c r="U597" s="639"/>
      <c r="V597" s="639"/>
      <c r="W597" s="639"/>
      <c r="X597" s="639"/>
      <c r="Y597" s="639"/>
      <c r="Z597" s="639"/>
      <c r="AA597" s="639"/>
      <c r="AB597" s="639"/>
      <c r="AC597" s="535"/>
      <c r="AD597" s="535"/>
      <c r="AE597" s="613"/>
      <c r="AF597" s="535"/>
      <c r="AG597" s="535"/>
      <c r="AH597" s="535"/>
      <c r="AI597" s="535"/>
      <c r="AJ597" s="535"/>
      <c r="AK597" s="535"/>
      <c r="AL597" s="535"/>
      <c r="AN597" s="594"/>
    </row>
    <row r="598" spans="1:42" s="548" customFormat="1" ht="12.75" customHeight="1">
      <c r="A598" s="634"/>
      <c r="B598" s="535"/>
      <c r="C598" s="926"/>
      <c r="D598" s="658" t="s">
        <v>507</v>
      </c>
      <c r="E598" s="833" t="s">
        <v>1691</v>
      </c>
      <c r="F598" s="927"/>
      <c r="G598" s="927"/>
      <c r="H598" s="927"/>
      <c r="I598" s="927"/>
      <c r="J598" s="927"/>
      <c r="K598" s="927"/>
      <c r="L598" s="927"/>
      <c r="M598" s="927"/>
      <c r="N598" s="927"/>
      <c r="O598" s="927"/>
      <c r="P598" s="927"/>
      <c r="Q598" s="927"/>
      <c r="R598" s="927"/>
      <c r="S598" s="927"/>
      <c r="T598" s="927"/>
      <c r="U598" s="927"/>
      <c r="V598" s="927"/>
      <c r="W598" s="927"/>
      <c r="X598" s="927"/>
      <c r="Y598" s="927"/>
      <c r="Z598" s="927"/>
      <c r="AA598" s="927"/>
      <c r="AB598" s="927"/>
      <c r="AC598" s="535"/>
      <c r="AD598" s="535"/>
      <c r="AE598" s="535"/>
      <c r="AF598" s="2466" t="s">
        <v>1386</v>
      </c>
      <c r="AG598" s="2466"/>
      <c r="AH598" s="2466"/>
      <c r="AI598" s="2466"/>
      <c r="AJ598" s="2466"/>
      <c r="AK598" s="2466"/>
      <c r="AL598" s="2466"/>
      <c r="AN598" s="594"/>
    </row>
    <row r="599" spans="1:42" s="548" customFormat="1" ht="12.75" customHeight="1">
      <c r="B599" s="535"/>
      <c r="C599" s="928"/>
      <c r="D599" s="658"/>
      <c r="E599" s="833" t="s">
        <v>1692</v>
      </c>
      <c r="F599" s="927"/>
      <c r="G599" s="927"/>
      <c r="H599" s="927"/>
      <c r="I599" s="927"/>
      <c r="J599" s="927"/>
      <c r="K599" s="927"/>
      <c r="L599" s="927"/>
      <c r="M599" s="927"/>
      <c r="N599" s="927"/>
      <c r="O599" s="927"/>
      <c r="P599" s="927"/>
      <c r="Q599" s="927"/>
      <c r="R599" s="927"/>
      <c r="S599" s="927"/>
      <c r="T599" s="927"/>
      <c r="U599" s="927"/>
      <c r="V599" s="927"/>
      <c r="W599" s="927"/>
      <c r="X599" s="927"/>
      <c r="Y599" s="927"/>
      <c r="Z599" s="927"/>
      <c r="AA599" s="927"/>
      <c r="AB599" s="927"/>
      <c r="AC599" s="535"/>
      <c r="AD599" s="535"/>
      <c r="AE599" s="535"/>
      <c r="AF599" s="535"/>
      <c r="AG599" s="535"/>
      <c r="AH599" s="535"/>
      <c r="AI599" s="535"/>
      <c r="AJ599" s="535"/>
      <c r="AK599" s="535"/>
      <c r="AL599" s="535"/>
      <c r="AN599" s="594"/>
      <c r="AO599" s="548" t="s">
        <v>589</v>
      </c>
      <c r="AP599" s="668">
        <v>0</v>
      </c>
    </row>
    <row r="600" spans="1:42" s="548" customFormat="1" ht="12.75" customHeight="1">
      <c r="B600" s="607"/>
      <c r="C600" s="926"/>
      <c r="D600" s="658"/>
      <c r="E600" s="833" t="s">
        <v>1693</v>
      </c>
      <c r="F600" s="927"/>
      <c r="G600" s="927"/>
      <c r="H600" s="927"/>
      <c r="I600" s="927"/>
      <c r="J600" s="927"/>
      <c r="K600" s="927"/>
      <c r="L600" s="927"/>
      <c r="M600" s="927"/>
      <c r="N600" s="927"/>
      <c r="O600" s="927"/>
      <c r="P600" s="927"/>
      <c r="Q600" s="927"/>
      <c r="R600" s="927"/>
      <c r="S600" s="927"/>
      <c r="T600" s="927"/>
      <c r="U600" s="927"/>
      <c r="V600" s="927"/>
      <c r="W600" s="927"/>
      <c r="X600" s="927"/>
      <c r="Y600" s="927"/>
      <c r="Z600" s="927"/>
      <c r="AA600" s="927"/>
      <c r="AB600" s="927"/>
      <c r="AC600" s="535"/>
      <c r="AD600" s="535"/>
      <c r="AE600" s="535"/>
      <c r="AF600" s="535"/>
      <c r="AG600" s="535"/>
      <c r="AH600" s="535"/>
      <c r="AI600" s="535"/>
      <c r="AJ600" s="535"/>
      <c r="AK600" s="535"/>
      <c r="AL600" s="535"/>
      <c r="AN600" s="594"/>
      <c r="AO600" s="608" t="s">
        <v>685</v>
      </c>
      <c r="AP600" s="548">
        <f>7*AP595</f>
        <v>7</v>
      </c>
    </row>
    <row r="601" spans="1:42" s="548" customFormat="1" ht="12.75" customHeight="1">
      <c r="B601" s="607"/>
      <c r="C601" s="926"/>
      <c r="D601" s="658"/>
      <c r="E601" s="833" t="s">
        <v>1695</v>
      </c>
      <c r="F601" s="927"/>
      <c r="G601" s="927"/>
      <c r="H601" s="927"/>
      <c r="I601" s="927"/>
      <c r="J601" s="927"/>
      <c r="K601" s="927"/>
      <c r="L601" s="927"/>
      <c r="M601" s="927"/>
      <c r="N601" s="927"/>
      <c r="O601" s="927"/>
      <c r="P601" s="927"/>
      <c r="Q601" s="927"/>
      <c r="R601" s="927"/>
      <c r="S601" s="927"/>
      <c r="T601" s="927"/>
      <c r="U601" s="927"/>
      <c r="V601" s="927"/>
      <c r="W601" s="927"/>
      <c r="X601" s="927"/>
      <c r="Y601" s="927"/>
      <c r="Z601" s="927"/>
      <c r="AA601" s="927"/>
      <c r="AB601" s="927"/>
      <c r="AC601" s="535"/>
      <c r="AD601" s="535"/>
      <c r="AE601" s="535"/>
      <c r="AF601" s="535"/>
      <c r="AG601" s="535"/>
      <c r="AH601" s="535"/>
      <c r="AI601" s="535"/>
      <c r="AJ601" s="535"/>
      <c r="AK601" s="535"/>
      <c r="AL601" s="535"/>
      <c r="AN601" s="594"/>
      <c r="AO601" s="608" t="s">
        <v>507</v>
      </c>
      <c r="AP601" s="548">
        <v>6</v>
      </c>
    </row>
    <row r="602" spans="1:42" s="548" customFormat="1" ht="12.75" customHeight="1">
      <c r="B602" s="607"/>
      <c r="C602" s="926"/>
      <c r="D602" s="658"/>
      <c r="E602" s="833" t="s">
        <v>1694</v>
      </c>
      <c r="F602" s="927"/>
      <c r="G602" s="927"/>
      <c r="H602" s="927"/>
      <c r="I602" s="927"/>
      <c r="J602" s="927"/>
      <c r="K602" s="927"/>
      <c r="L602" s="927"/>
      <c r="M602" s="927"/>
      <c r="N602" s="927"/>
      <c r="O602" s="927"/>
      <c r="P602" s="927"/>
      <c r="Q602" s="927"/>
      <c r="R602" s="927"/>
      <c r="S602" s="927"/>
      <c r="T602" s="927"/>
      <c r="U602" s="927"/>
      <c r="V602" s="927"/>
      <c r="W602" s="927"/>
      <c r="X602" s="927"/>
      <c r="Y602" s="927"/>
      <c r="Z602" s="927"/>
      <c r="AA602" s="927"/>
      <c r="AB602" s="927"/>
      <c r="AC602" s="535"/>
      <c r="AD602" s="535"/>
      <c r="AE602" s="535"/>
      <c r="AF602" s="535"/>
      <c r="AG602" s="535"/>
      <c r="AH602" s="535"/>
      <c r="AI602" s="535"/>
      <c r="AJ602" s="535"/>
      <c r="AK602" s="535"/>
      <c r="AL602" s="535"/>
      <c r="AN602" s="594"/>
      <c r="AO602" s="608" t="s">
        <v>277</v>
      </c>
      <c r="AP602" s="548">
        <v>5</v>
      </c>
    </row>
    <row r="603" spans="1:42" s="548" customFormat="1" ht="12.75" customHeight="1">
      <c r="B603" s="607"/>
      <c r="C603" s="926"/>
      <c r="D603" s="658"/>
      <c r="E603" s="929"/>
      <c r="F603" s="930"/>
      <c r="G603" s="930"/>
      <c r="H603" s="930"/>
      <c r="I603" s="613"/>
      <c r="J603" s="613"/>
      <c r="K603" s="613"/>
      <c r="L603" s="613"/>
      <c r="M603" s="613"/>
      <c r="N603" s="613"/>
      <c r="O603" s="613"/>
      <c r="P603" s="613"/>
      <c r="Q603" s="613"/>
      <c r="R603" s="613"/>
      <c r="S603" s="613"/>
      <c r="T603" s="613"/>
      <c r="U603" s="613"/>
      <c r="V603" s="613"/>
      <c r="W603" s="613"/>
      <c r="X603" s="613"/>
      <c r="Y603" s="613"/>
      <c r="Z603" s="613"/>
      <c r="AA603" s="613"/>
      <c r="AB603" s="613"/>
      <c r="AC603" s="535"/>
      <c r="AD603" s="535"/>
      <c r="AE603" s="613"/>
      <c r="AF603" s="535"/>
      <c r="AG603" s="535"/>
      <c r="AH603" s="535"/>
      <c r="AI603" s="535"/>
      <c r="AJ603" s="535"/>
      <c r="AK603" s="535"/>
      <c r="AL603" s="535"/>
      <c r="AN603" s="594"/>
      <c r="AO603" s="608" t="s">
        <v>1387</v>
      </c>
      <c r="AP603" s="548">
        <v>4</v>
      </c>
    </row>
    <row r="604" spans="1:42" s="548" customFormat="1" ht="12.75" customHeight="1">
      <c r="B604" s="535"/>
      <c r="C604" s="926"/>
      <c r="D604" s="658" t="s">
        <v>277</v>
      </c>
      <c r="E604" s="833" t="s">
        <v>1696</v>
      </c>
      <c r="F604" s="927"/>
      <c r="G604" s="927"/>
      <c r="H604" s="927"/>
      <c r="I604" s="927"/>
      <c r="J604" s="927"/>
      <c r="K604" s="927"/>
      <c r="L604" s="927"/>
      <c r="M604" s="927"/>
      <c r="N604" s="927"/>
      <c r="O604" s="927"/>
      <c r="P604" s="927"/>
      <c r="Q604" s="927"/>
      <c r="R604" s="927"/>
      <c r="S604" s="927"/>
      <c r="T604" s="927"/>
      <c r="U604" s="927"/>
      <c r="V604" s="927"/>
      <c r="W604" s="927"/>
      <c r="X604" s="927"/>
      <c r="Y604" s="927"/>
      <c r="Z604" s="927"/>
      <c r="AA604" s="927"/>
      <c r="AB604" s="927"/>
      <c r="AC604" s="535"/>
      <c r="AD604" s="535"/>
      <c r="AE604" s="535"/>
      <c r="AF604" s="2466" t="s">
        <v>1369</v>
      </c>
      <c r="AG604" s="2466"/>
      <c r="AH604" s="2466"/>
      <c r="AI604" s="2466"/>
      <c r="AJ604" s="2466"/>
      <c r="AK604" s="2466"/>
      <c r="AL604" s="2466"/>
      <c r="AN604" s="594"/>
      <c r="AO604" s="608" t="s">
        <v>1388</v>
      </c>
      <c r="AP604" s="548">
        <v>3</v>
      </c>
    </row>
    <row r="605" spans="1:42" s="548" customFormat="1" ht="12.75" customHeight="1">
      <c r="B605" s="535"/>
      <c r="C605" s="928"/>
      <c r="D605" s="658"/>
      <c r="E605" s="833" t="s">
        <v>1692</v>
      </c>
      <c r="F605" s="927"/>
      <c r="G605" s="927"/>
      <c r="H605" s="927"/>
      <c r="I605" s="927"/>
      <c r="J605" s="927"/>
      <c r="K605" s="927"/>
      <c r="L605" s="927"/>
      <c r="M605" s="927"/>
      <c r="N605" s="927"/>
      <c r="O605" s="927"/>
      <c r="P605" s="927"/>
      <c r="Q605" s="927"/>
      <c r="R605" s="927"/>
      <c r="S605" s="927"/>
      <c r="T605" s="927"/>
      <c r="U605" s="927"/>
      <c r="V605" s="927"/>
      <c r="W605" s="927"/>
      <c r="X605" s="927"/>
      <c r="Y605" s="927"/>
      <c r="Z605" s="927"/>
      <c r="AA605" s="927"/>
      <c r="AB605" s="927"/>
      <c r="AC605" s="535"/>
      <c r="AD605" s="535"/>
      <c r="AE605" s="535"/>
      <c r="AF605" s="535"/>
      <c r="AG605" s="535"/>
      <c r="AH605" s="535"/>
      <c r="AI605" s="535"/>
      <c r="AJ605" s="535"/>
      <c r="AK605" s="535"/>
      <c r="AL605" s="535"/>
      <c r="AN605" s="594"/>
    </row>
    <row r="606" spans="1:42" s="548" customFormat="1" ht="12.75" customHeight="1">
      <c r="B606" s="535"/>
      <c r="C606" s="928"/>
      <c r="D606" s="658"/>
      <c r="E606" s="833" t="s">
        <v>1693</v>
      </c>
      <c r="F606" s="927"/>
      <c r="G606" s="927"/>
      <c r="H606" s="927"/>
      <c r="I606" s="927"/>
      <c r="J606" s="927"/>
      <c r="K606" s="927"/>
      <c r="L606" s="927"/>
      <c r="M606" s="927"/>
      <c r="N606" s="927"/>
      <c r="O606" s="927"/>
      <c r="P606" s="927"/>
      <c r="Q606" s="927"/>
      <c r="R606" s="927"/>
      <c r="S606" s="927"/>
      <c r="T606" s="927"/>
      <c r="U606" s="927"/>
      <c r="V606" s="927"/>
      <c r="W606" s="927"/>
      <c r="X606" s="927"/>
      <c r="Y606" s="927"/>
      <c r="Z606" s="927"/>
      <c r="AA606" s="927"/>
      <c r="AB606" s="927"/>
      <c r="AC606" s="535"/>
      <c r="AD606" s="535"/>
      <c r="AE606" s="535"/>
      <c r="AF606" s="535"/>
      <c r="AG606" s="535"/>
      <c r="AH606" s="535"/>
      <c r="AI606" s="535"/>
      <c r="AJ606" s="535"/>
      <c r="AK606" s="535"/>
      <c r="AL606" s="535"/>
      <c r="AN606" s="594"/>
      <c r="AO606" s="22" t="s">
        <v>2130</v>
      </c>
    </row>
    <row r="607" spans="1:42" s="548" customFormat="1" ht="12.75" customHeight="1">
      <c r="B607" s="535"/>
      <c r="C607" s="928"/>
      <c r="D607" s="658"/>
      <c r="E607" s="833" t="s">
        <v>1695</v>
      </c>
      <c r="F607" s="927"/>
      <c r="G607" s="927"/>
      <c r="H607" s="927"/>
      <c r="I607" s="927"/>
      <c r="J607" s="927"/>
      <c r="K607" s="927"/>
      <c r="L607" s="927"/>
      <c r="M607" s="927"/>
      <c r="N607" s="927"/>
      <c r="O607" s="927"/>
      <c r="P607" s="927"/>
      <c r="Q607" s="927"/>
      <c r="R607" s="927"/>
      <c r="S607" s="927"/>
      <c r="T607" s="927"/>
      <c r="U607" s="927"/>
      <c r="V607" s="927"/>
      <c r="W607" s="927"/>
      <c r="X607" s="927"/>
      <c r="Y607" s="927"/>
      <c r="Z607" s="927"/>
      <c r="AA607" s="927"/>
      <c r="AB607" s="927"/>
      <c r="AC607" s="535"/>
      <c r="AD607" s="535"/>
      <c r="AE607" s="535"/>
      <c r="AF607" s="535"/>
      <c r="AG607" s="535"/>
      <c r="AH607" s="535"/>
      <c r="AI607" s="535"/>
      <c r="AJ607" s="535"/>
      <c r="AK607" s="535"/>
      <c r="AL607" s="535"/>
      <c r="AN607" s="594"/>
      <c r="AO607" s="22" t="s">
        <v>2131</v>
      </c>
    </row>
    <row r="608" spans="1:42" s="548" customFormat="1" ht="12.75" customHeight="1">
      <c r="B608" s="535"/>
      <c r="C608" s="928"/>
      <c r="D608" s="658"/>
      <c r="E608" s="833" t="s">
        <v>1694</v>
      </c>
      <c r="F608" s="927"/>
      <c r="G608" s="927"/>
      <c r="H608" s="927"/>
      <c r="I608" s="927"/>
      <c r="J608" s="927"/>
      <c r="K608" s="927"/>
      <c r="L608" s="927"/>
      <c r="M608" s="927"/>
      <c r="N608" s="927"/>
      <c r="O608" s="927"/>
      <c r="P608" s="927"/>
      <c r="Q608" s="927"/>
      <c r="R608" s="927"/>
      <c r="S608" s="927"/>
      <c r="T608" s="927"/>
      <c r="U608" s="927"/>
      <c r="V608" s="927"/>
      <c r="W608" s="927"/>
      <c r="X608" s="927"/>
      <c r="Y608" s="927"/>
      <c r="Z608" s="927"/>
      <c r="AA608" s="927"/>
      <c r="AB608" s="927"/>
      <c r="AC608" s="535"/>
      <c r="AD608" s="535"/>
      <c r="AE608" s="535"/>
      <c r="AF608" s="535"/>
      <c r="AG608" s="535"/>
      <c r="AH608" s="535"/>
      <c r="AI608" s="535"/>
      <c r="AJ608" s="535"/>
      <c r="AK608" s="535"/>
      <c r="AL608" s="535"/>
      <c r="AN608" s="594"/>
      <c r="AO608" s="22" t="s">
        <v>2132</v>
      </c>
    </row>
    <row r="609" spans="1:53" s="548" customFormat="1" ht="12.75" customHeight="1">
      <c r="A609" s="14"/>
      <c r="B609" s="14"/>
      <c r="C609" s="14"/>
      <c r="D609" s="658"/>
      <c r="E609" s="669"/>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5"/>
      <c r="AD609" s="535"/>
      <c r="AE609" s="14"/>
      <c r="AF609" s="535"/>
      <c r="AG609" s="535"/>
      <c r="AH609" s="535"/>
      <c r="AI609" s="535"/>
      <c r="AJ609" s="535"/>
      <c r="AK609" s="535"/>
      <c r="AL609" s="535"/>
      <c r="AM609" s="14"/>
      <c r="AN609" s="594"/>
    </row>
    <row r="610" spans="1:53" s="548" customFormat="1" ht="12.75" customHeight="1">
      <c r="B610" s="535"/>
      <c r="C610" s="926"/>
      <c r="D610" s="658" t="s">
        <v>1387</v>
      </c>
      <c r="E610" s="833" t="s">
        <v>1697</v>
      </c>
      <c r="F610" s="927"/>
      <c r="G610" s="927"/>
      <c r="H610" s="927"/>
      <c r="I610" s="927"/>
      <c r="J610" s="927"/>
      <c r="K610" s="927"/>
      <c r="L610" s="927"/>
      <c r="M610" s="927"/>
      <c r="N610" s="927"/>
      <c r="O610" s="927"/>
      <c r="P610" s="927"/>
      <c r="Q610" s="927"/>
      <c r="R610" s="927"/>
      <c r="S610" s="927"/>
      <c r="T610" s="927"/>
      <c r="U610" s="927"/>
      <c r="V610" s="927"/>
      <c r="W610" s="927"/>
      <c r="X610" s="927"/>
      <c r="Y610" s="927"/>
      <c r="Z610" s="927"/>
      <c r="AA610" s="927"/>
      <c r="AB610" s="927"/>
      <c r="AC610" s="535"/>
      <c r="AD610" s="535"/>
      <c r="AE610" s="535"/>
      <c r="AF610" s="2466" t="s">
        <v>1389</v>
      </c>
      <c r="AG610" s="2466"/>
      <c r="AH610" s="2466"/>
      <c r="AI610" s="2466"/>
      <c r="AJ610" s="2466"/>
      <c r="AK610" s="2466"/>
      <c r="AL610" s="2466"/>
      <c r="AN610" s="594"/>
      <c r="AO610" s="548" t="str">
        <f>X647</f>
        <v>N/A</v>
      </c>
    </row>
    <row r="611" spans="1:53" s="548" customFormat="1" ht="12.75" customHeight="1">
      <c r="B611" s="535"/>
      <c r="C611" s="928"/>
      <c r="D611" s="658"/>
      <c r="E611" s="833" t="s">
        <v>1698</v>
      </c>
      <c r="F611" s="927"/>
      <c r="G611" s="927"/>
      <c r="H611" s="927"/>
      <c r="I611" s="927"/>
      <c r="J611" s="927"/>
      <c r="K611" s="927"/>
      <c r="L611" s="927"/>
      <c r="M611" s="927"/>
      <c r="N611" s="927"/>
      <c r="O611" s="927"/>
      <c r="P611" s="927"/>
      <c r="Q611" s="927"/>
      <c r="R611" s="927"/>
      <c r="S611" s="927"/>
      <c r="T611" s="927"/>
      <c r="U611" s="927"/>
      <c r="V611" s="927"/>
      <c r="W611" s="927"/>
      <c r="X611" s="927"/>
      <c r="Y611" s="927"/>
      <c r="Z611" s="927"/>
      <c r="AA611" s="927"/>
      <c r="AB611" s="927"/>
      <c r="AC611" s="14"/>
      <c r="AD611" s="14"/>
      <c r="AE611" s="535"/>
      <c r="AF611" s="535"/>
      <c r="AG611" s="535"/>
      <c r="AH611" s="535"/>
      <c r="AI611" s="535"/>
      <c r="AJ611" s="535"/>
      <c r="AK611" s="535"/>
      <c r="AL611" s="535"/>
      <c r="AN611" s="594"/>
      <c r="AU611" s="591"/>
      <c r="AV611" s="591"/>
      <c r="AW611" s="591"/>
      <c r="AX611" s="591"/>
      <c r="AY611" s="591"/>
      <c r="AZ611" s="591"/>
      <c r="BA611" s="591"/>
    </row>
    <row r="612" spans="1:53" s="548" customFormat="1" ht="12.75" customHeight="1">
      <c r="B612" s="607"/>
      <c r="C612" s="926"/>
      <c r="D612" s="658"/>
      <c r="E612" s="833" t="s">
        <v>1699</v>
      </c>
      <c r="F612" s="927"/>
      <c r="G612" s="927"/>
      <c r="H612" s="927"/>
      <c r="I612" s="927"/>
      <c r="J612" s="927"/>
      <c r="K612" s="927"/>
      <c r="L612" s="927"/>
      <c r="M612" s="927"/>
      <c r="N612" s="927"/>
      <c r="O612" s="927"/>
      <c r="P612" s="927"/>
      <c r="Q612" s="927"/>
      <c r="R612" s="927"/>
      <c r="S612" s="927"/>
      <c r="T612" s="927"/>
      <c r="U612" s="927"/>
      <c r="V612" s="927"/>
      <c r="W612" s="927"/>
      <c r="X612" s="927"/>
      <c r="Y612" s="927"/>
      <c r="Z612" s="927"/>
      <c r="AA612" s="927"/>
      <c r="AB612" s="927"/>
      <c r="AC612" s="535"/>
      <c r="AD612" s="535"/>
      <c r="AE612" s="535"/>
      <c r="AF612" s="535"/>
      <c r="AG612" s="535"/>
      <c r="AH612" s="535"/>
      <c r="AI612" s="535"/>
      <c r="AJ612" s="535"/>
      <c r="AK612" s="535"/>
      <c r="AL612" s="535"/>
      <c r="AN612" s="594"/>
      <c r="AO612" s="22" t="s">
        <v>2133</v>
      </c>
    </row>
    <row r="613" spans="1:53" s="548" customFormat="1" ht="12.75" customHeight="1">
      <c r="B613" s="607"/>
      <c r="C613" s="926"/>
      <c r="D613" s="658"/>
      <c r="E613" s="833"/>
      <c r="F613" s="927"/>
      <c r="G613" s="927"/>
      <c r="H613" s="927"/>
      <c r="I613" s="927"/>
      <c r="J613" s="927"/>
      <c r="K613" s="927"/>
      <c r="L613" s="927"/>
      <c r="M613" s="927"/>
      <c r="N613" s="927"/>
      <c r="O613" s="927"/>
      <c r="P613" s="927"/>
      <c r="Q613" s="927"/>
      <c r="R613" s="927"/>
      <c r="S613" s="927"/>
      <c r="T613" s="927"/>
      <c r="U613" s="927"/>
      <c r="V613" s="927"/>
      <c r="W613" s="927"/>
      <c r="X613" s="927"/>
      <c r="Y613" s="927"/>
      <c r="Z613" s="927"/>
      <c r="AA613" s="927"/>
      <c r="AB613" s="927"/>
      <c r="AC613" s="535"/>
      <c r="AD613" s="535"/>
      <c r="AE613" s="535"/>
      <c r="AF613" s="535"/>
      <c r="AG613" s="535"/>
      <c r="AH613" s="535"/>
      <c r="AI613" s="535"/>
      <c r="AJ613" s="535"/>
      <c r="AK613" s="535"/>
      <c r="AL613" s="535"/>
      <c r="AN613" s="594"/>
      <c r="AO613" s="22" t="s">
        <v>2134</v>
      </c>
    </row>
    <row r="614" spans="1:53" s="548" customFormat="1" ht="12.75" customHeight="1">
      <c r="B614" s="607"/>
      <c r="C614" s="926"/>
      <c r="D614" s="658"/>
      <c r="E614" s="535" t="s">
        <v>1838</v>
      </c>
      <c r="O614" s="2548" t="s">
        <v>1182</v>
      </c>
      <c r="P614" s="2548"/>
      <c r="Q614" s="2548"/>
      <c r="R614" s="2548"/>
      <c r="S614" s="2548"/>
      <c r="T614" s="2548"/>
      <c r="U614" s="2548"/>
      <c r="V614" s="2548"/>
      <c r="W614" s="2548"/>
      <c r="X614" s="2548"/>
      <c r="Y614" s="2548"/>
      <c r="Z614" s="2548"/>
      <c r="AA614" s="2548"/>
      <c r="AB614" s="2548"/>
      <c r="AH614" s="535"/>
      <c r="AI614" s="535"/>
      <c r="AJ614" s="535"/>
      <c r="AK614" s="535"/>
      <c r="AL614" s="535"/>
      <c r="AN614" s="594"/>
    </row>
    <row r="615" spans="1:53" s="548" customFormat="1" ht="12.75" customHeight="1">
      <c r="B615" s="607"/>
      <c r="C615" s="926"/>
      <c r="D615" s="658"/>
      <c r="E615" s="833"/>
      <c r="F615" s="927"/>
      <c r="G615" s="927"/>
      <c r="H615" s="927"/>
      <c r="I615" s="927"/>
      <c r="J615" s="927"/>
      <c r="K615" s="927"/>
      <c r="L615" s="927"/>
      <c r="M615" s="927"/>
      <c r="N615" s="927"/>
      <c r="O615" s="927"/>
      <c r="P615" s="927"/>
      <c r="Q615" s="927"/>
      <c r="R615" s="927"/>
      <c r="S615" s="927"/>
      <c r="T615" s="927"/>
      <c r="U615" s="927"/>
      <c r="V615" s="927"/>
      <c r="W615" s="927"/>
      <c r="X615" s="927"/>
      <c r="Y615" s="927"/>
      <c r="Z615" s="927"/>
      <c r="AA615" s="927"/>
      <c r="AB615" s="927"/>
      <c r="AC615" s="535"/>
      <c r="AD615" s="535"/>
      <c r="AE615" s="535"/>
      <c r="AF615" s="535"/>
      <c r="AG615" s="535"/>
      <c r="AH615" s="535"/>
      <c r="AI615" s="535"/>
      <c r="AJ615" s="535"/>
      <c r="AK615" s="535"/>
      <c r="AL615" s="535"/>
      <c r="AN615" s="594"/>
    </row>
    <row r="616" spans="1:53" s="548" customFormat="1" ht="12.75" customHeight="1">
      <c r="B616" s="535"/>
      <c r="C616" s="926"/>
      <c r="D616" s="658" t="s">
        <v>1388</v>
      </c>
      <c r="E616" s="833" t="s">
        <v>1701</v>
      </c>
      <c r="F616" s="927"/>
      <c r="G616" s="927"/>
      <c r="H616" s="927"/>
      <c r="I616" s="927"/>
      <c r="J616" s="927"/>
      <c r="K616" s="927"/>
      <c r="L616" s="927"/>
      <c r="M616" s="927"/>
      <c r="N616" s="927"/>
      <c r="O616" s="927"/>
      <c r="P616" s="927"/>
      <c r="Q616" s="927"/>
      <c r="R616" s="927"/>
      <c r="S616" s="927"/>
      <c r="T616" s="927"/>
      <c r="U616" s="927"/>
      <c r="V616" s="927"/>
      <c r="W616" s="927"/>
      <c r="X616" s="927"/>
      <c r="Y616" s="927"/>
      <c r="Z616" s="927"/>
      <c r="AA616" s="927"/>
      <c r="AB616" s="927"/>
      <c r="AC616" s="535"/>
      <c r="AD616" s="535"/>
      <c r="AE616" s="535"/>
      <c r="AF616" s="2466" t="s">
        <v>1344</v>
      </c>
      <c r="AG616" s="2466"/>
      <c r="AH616" s="2466"/>
      <c r="AI616" s="2466"/>
      <c r="AJ616" s="2466"/>
      <c r="AK616" s="2466"/>
      <c r="AL616" s="2466"/>
      <c r="AN616" s="594"/>
    </row>
    <row r="617" spans="1:53" s="548" customFormat="1" ht="12.75" customHeight="1">
      <c r="B617" s="535"/>
      <c r="C617" s="926"/>
      <c r="D617" s="658"/>
      <c r="E617" s="833" t="s">
        <v>1700</v>
      </c>
      <c r="F617" s="927"/>
      <c r="G617" s="927"/>
      <c r="H617" s="927"/>
      <c r="I617" s="927"/>
      <c r="J617" s="927"/>
      <c r="K617" s="927"/>
      <c r="L617" s="927"/>
      <c r="M617" s="927"/>
      <c r="N617" s="927"/>
      <c r="O617" s="927"/>
      <c r="P617" s="927"/>
      <c r="Q617" s="927"/>
      <c r="R617" s="927"/>
      <c r="S617" s="927"/>
      <c r="T617" s="927"/>
      <c r="U617" s="927"/>
      <c r="V617" s="927"/>
      <c r="W617" s="927"/>
      <c r="X617" s="927"/>
      <c r="Y617" s="927"/>
      <c r="Z617" s="927"/>
      <c r="AA617" s="927"/>
      <c r="AB617" s="927"/>
      <c r="AC617" s="535"/>
      <c r="AD617" s="535"/>
      <c r="AE617" s="591"/>
      <c r="AF617" s="535"/>
      <c r="AG617" s="535"/>
      <c r="AH617" s="535"/>
      <c r="AI617" s="535"/>
      <c r="AJ617" s="535"/>
      <c r="AK617" s="535"/>
      <c r="AL617" s="535"/>
      <c r="AN617" s="594"/>
    </row>
    <row r="618" spans="1:53" s="548" customFormat="1" ht="12.75" customHeight="1">
      <c r="B618" s="535"/>
      <c r="C618" s="928"/>
      <c r="D618" s="535"/>
      <c r="E618" s="613"/>
      <c r="F618" s="931"/>
      <c r="G618" s="931"/>
      <c r="H618" s="931"/>
      <c r="I618" s="931"/>
      <c r="J618" s="931"/>
      <c r="K618" s="931"/>
      <c r="L618" s="931"/>
      <c r="M618" s="931"/>
      <c r="N618" s="931"/>
      <c r="O618" s="931"/>
      <c r="P618" s="931"/>
      <c r="Q618" s="931"/>
      <c r="R618" s="931"/>
      <c r="S618" s="931"/>
      <c r="T618" s="931"/>
      <c r="U618" s="931"/>
      <c r="V618" s="931"/>
      <c r="W618" s="931"/>
      <c r="X618" s="931"/>
      <c r="Y618" s="931"/>
      <c r="Z618" s="931"/>
      <c r="AA618" s="931"/>
      <c r="AB618" s="931"/>
      <c r="AC618" s="535"/>
      <c r="AD618" s="535"/>
      <c r="AE618" s="535"/>
      <c r="AF618" s="535"/>
      <c r="AG618" s="535"/>
      <c r="AH618" s="535"/>
      <c r="AI618" s="535"/>
      <c r="AJ618" s="535"/>
      <c r="AK618" s="535"/>
      <c r="AL618" s="535"/>
      <c r="AN618" s="594"/>
      <c r="AO618" s="548" t="s">
        <v>589</v>
      </c>
      <c r="AP618" s="668">
        <v>0</v>
      </c>
      <c r="AT618" s="548" t="s">
        <v>589</v>
      </c>
      <c r="AU618" s="668">
        <v>0</v>
      </c>
    </row>
    <row r="619" spans="1:53" s="548" customFormat="1" ht="12.75" customHeight="1">
      <c r="B619" s="535"/>
      <c r="C619" s="928"/>
      <c r="D619" s="535" t="s">
        <v>1390</v>
      </c>
      <c r="E619" s="931"/>
      <c r="F619" s="931"/>
      <c r="G619" s="931"/>
      <c r="H619" s="2546" t="s">
        <v>685</v>
      </c>
      <c r="I619" s="2546"/>
      <c r="J619" s="931"/>
      <c r="K619" s="931"/>
      <c r="L619" s="931"/>
      <c r="N619" s="22"/>
      <c r="O619" s="22"/>
      <c r="P619" s="22"/>
      <c r="Q619" s="1144" t="s">
        <v>2129</v>
      </c>
      <c r="R619" s="2549"/>
      <c r="S619" s="2549"/>
      <c r="T619" s="2549"/>
      <c r="U619" s="2549"/>
      <c r="V619" s="2549"/>
      <c r="W619" s="2549"/>
      <c r="X619" s="535"/>
      <c r="Y619" s="535"/>
      <c r="Z619" s="535"/>
      <c r="AA619" s="535"/>
      <c r="AB619" s="535"/>
      <c r="AC619" s="535"/>
      <c r="AD619" s="535"/>
      <c r="AE619" s="535"/>
      <c r="AF619" s="535"/>
      <c r="AG619" s="535"/>
      <c r="AH619" s="535"/>
      <c r="AI619" s="535"/>
      <c r="AJ619" s="535"/>
      <c r="AK619" s="535"/>
      <c r="AL619" s="535"/>
      <c r="AN619" s="594"/>
      <c r="AO619" s="608" t="s">
        <v>685</v>
      </c>
      <c r="AP619" s="548">
        <v>3</v>
      </c>
      <c r="AT619" s="608" t="s">
        <v>685</v>
      </c>
      <c r="AU619" s="548">
        <v>3</v>
      </c>
    </row>
    <row r="620" spans="1:53" s="548" customFormat="1" ht="12.75" customHeight="1">
      <c r="B620" s="535"/>
      <c r="C620" s="928"/>
      <c r="D620" s="535"/>
      <c r="E620" s="931"/>
      <c r="F620" s="931"/>
      <c r="G620" s="931"/>
      <c r="H620" s="931"/>
      <c r="I620" s="931"/>
      <c r="J620" s="931"/>
      <c r="K620" s="931"/>
      <c r="L620" s="931"/>
      <c r="M620" s="931"/>
      <c r="N620" s="535"/>
      <c r="O620" s="535"/>
      <c r="P620" s="535"/>
      <c r="Q620" s="535"/>
      <c r="R620" s="535"/>
      <c r="S620" s="535"/>
      <c r="T620" s="535"/>
      <c r="U620" s="535"/>
      <c r="V620" s="535"/>
      <c r="W620" s="535"/>
      <c r="X620" s="535"/>
      <c r="Y620" s="2550" t="str">
        <f>IF(AND(H619="(i)",NOT(AP595)),AO612,IF(AND(H619="(iv)",OR(R619=AO608,R619=AO607),NOT(AP596)),AO613,""))</f>
        <v/>
      </c>
      <c r="Z620" s="2550"/>
      <c r="AA620" s="2550"/>
      <c r="AB620" s="2550"/>
      <c r="AC620" s="2550"/>
      <c r="AD620" s="2550"/>
      <c r="AE620" s="2550"/>
      <c r="AF620" s="2550"/>
      <c r="AG620" s="2550"/>
      <c r="AH620" s="2550"/>
      <c r="AI620" s="2550"/>
      <c r="AJ620" s="2550"/>
      <c r="AK620" s="2550"/>
      <c r="AL620" s="2550"/>
      <c r="AM620" s="2551"/>
      <c r="AN620" s="594"/>
      <c r="AO620" s="608" t="s">
        <v>507</v>
      </c>
      <c r="AP620" s="548">
        <v>2</v>
      </c>
      <c r="AT620" s="608" t="s">
        <v>507</v>
      </c>
      <c r="AU620" s="548">
        <v>2</v>
      </c>
    </row>
    <row r="621" spans="1:53" s="548" customFormat="1" ht="12.75" customHeight="1">
      <c r="B621" s="535"/>
      <c r="C621" s="928"/>
      <c r="D621" s="535"/>
      <c r="E621" s="931"/>
      <c r="F621" s="931"/>
      <c r="G621" s="931"/>
      <c r="H621" s="931"/>
      <c r="I621" s="931"/>
      <c r="J621" s="931"/>
      <c r="K621" s="931"/>
      <c r="L621" s="931"/>
      <c r="M621" s="931"/>
      <c r="N621" s="535"/>
      <c r="O621" s="535"/>
      <c r="P621" s="535"/>
      <c r="Q621" s="535"/>
      <c r="X621" s="535"/>
      <c r="Y621" s="2550"/>
      <c r="Z621" s="2550"/>
      <c r="AA621" s="2550"/>
      <c r="AB621" s="2550"/>
      <c r="AC621" s="2550"/>
      <c r="AD621" s="2550"/>
      <c r="AE621" s="2550"/>
      <c r="AF621" s="2550"/>
      <c r="AG621" s="2550"/>
      <c r="AH621" s="2550"/>
      <c r="AI621" s="2550"/>
      <c r="AJ621" s="2550"/>
      <c r="AK621" s="2550"/>
      <c r="AL621" s="2550"/>
      <c r="AM621" s="2551"/>
      <c r="AN621" s="594"/>
      <c r="AO621" s="608"/>
      <c r="AT621" s="608"/>
    </row>
    <row r="622" spans="1:53" s="548" customFormat="1" ht="12.75" customHeight="1">
      <c r="B622" s="535"/>
      <c r="C622" s="928"/>
      <c r="D622" s="535" t="s">
        <v>1702</v>
      </c>
      <c r="E622" s="931"/>
      <c r="F622" s="931"/>
      <c r="G622" s="931"/>
      <c r="H622" s="931"/>
      <c r="I622" s="931"/>
      <c r="J622" s="931"/>
      <c r="K622" s="931"/>
      <c r="L622" s="931"/>
      <c r="M622" s="931"/>
      <c r="N622" s="535"/>
      <c r="O622" s="535"/>
      <c r="P622" s="535"/>
      <c r="Q622" s="535"/>
      <c r="R622" s="535"/>
      <c r="S622" s="535"/>
      <c r="T622" s="535"/>
      <c r="U622" s="535"/>
      <c r="V622" s="535"/>
      <c r="W622" s="535"/>
      <c r="X622" s="535"/>
      <c r="Y622" s="535"/>
      <c r="Z622" s="535"/>
      <c r="AA622" s="535"/>
      <c r="AB622" s="535"/>
      <c r="AC622" s="535"/>
      <c r="AD622" s="535"/>
      <c r="AE622" s="535"/>
      <c r="AF622" s="535"/>
      <c r="AG622" s="535"/>
      <c r="AH622" s="535"/>
      <c r="AI622" s="535"/>
      <c r="AJ622" s="535"/>
      <c r="AK622" s="535"/>
      <c r="AL622" s="535"/>
      <c r="AN622" s="594"/>
    </row>
    <row r="623" spans="1:53" s="548" customFormat="1" ht="12.75" customHeight="1">
      <c r="B623" s="535"/>
      <c r="C623" s="928"/>
      <c r="D623" s="535" t="s">
        <v>1703</v>
      </c>
      <c r="E623" s="931"/>
      <c r="F623" s="931"/>
      <c r="G623" s="931"/>
      <c r="H623" s="931"/>
      <c r="I623" s="931"/>
      <c r="J623" s="931"/>
      <c r="K623" s="931"/>
      <c r="L623" s="931"/>
      <c r="M623" s="931"/>
      <c r="N623" s="535"/>
      <c r="O623" s="535"/>
      <c r="P623" s="535"/>
      <c r="Q623" s="535"/>
      <c r="R623" s="535"/>
      <c r="S623" s="535"/>
      <c r="T623" s="535"/>
      <c r="U623" s="535"/>
      <c r="V623" s="535"/>
      <c r="W623" s="535"/>
      <c r="X623" s="535"/>
      <c r="Y623" s="535"/>
      <c r="Z623" s="535"/>
      <c r="AA623" s="535"/>
      <c r="AB623" s="535"/>
      <c r="AC623" s="535"/>
      <c r="AD623" s="535"/>
      <c r="AE623" s="535"/>
      <c r="AF623" s="535"/>
      <c r="AG623" s="535"/>
      <c r="AH623" s="535"/>
      <c r="AI623" s="535"/>
      <c r="AJ623" s="535"/>
      <c r="AK623" s="535"/>
      <c r="AL623" s="535"/>
      <c r="AN623" s="594"/>
    </row>
    <row r="624" spans="1:53" s="548" customFormat="1" ht="12.75" customHeight="1">
      <c r="B624" s="535"/>
      <c r="C624" s="928"/>
      <c r="D624" s="535" t="s">
        <v>1704</v>
      </c>
      <c r="E624" s="931"/>
      <c r="F624" s="931"/>
      <c r="G624" s="931"/>
      <c r="H624" s="931"/>
      <c r="I624" s="931"/>
      <c r="J624" s="931"/>
      <c r="K624" s="931"/>
      <c r="L624" s="931"/>
      <c r="M624" s="931"/>
      <c r="N624" s="535"/>
      <c r="O624" s="535"/>
      <c r="P624" s="535"/>
      <c r="Q624" s="535"/>
      <c r="R624" s="535"/>
      <c r="S624" s="535"/>
      <c r="T624" s="535"/>
      <c r="U624" s="535"/>
      <c r="V624" s="535"/>
      <c r="W624" s="535"/>
      <c r="X624" s="535"/>
      <c r="Y624" s="535"/>
      <c r="Z624" s="535"/>
      <c r="AA624" s="535"/>
      <c r="AB624" s="535"/>
      <c r="AC624" s="535"/>
      <c r="AD624" s="535"/>
      <c r="AE624" s="535"/>
      <c r="AF624" s="535"/>
      <c r="AG624" s="535"/>
      <c r="AH624" s="535"/>
      <c r="AI624" s="535"/>
      <c r="AJ624" s="535"/>
      <c r="AK624" s="535"/>
      <c r="AL624" s="535"/>
      <c r="AN624" s="594"/>
    </row>
    <row r="625" spans="1:42" s="548" customFormat="1" ht="12.75" customHeight="1">
      <c r="B625" s="535"/>
      <c r="C625" s="928"/>
      <c r="D625" s="602" t="s">
        <v>1705</v>
      </c>
      <c r="E625" s="931"/>
      <c r="F625" s="931"/>
      <c r="G625" s="931"/>
      <c r="H625" s="931"/>
      <c r="I625" s="931"/>
      <c r="J625" s="931"/>
      <c r="K625" s="931"/>
      <c r="L625" s="931"/>
      <c r="M625" s="931"/>
      <c r="N625" s="535"/>
      <c r="O625" s="535"/>
      <c r="P625" s="535"/>
      <c r="Q625" s="535"/>
      <c r="R625" s="535"/>
      <c r="S625" s="535"/>
      <c r="T625" s="535"/>
      <c r="U625" s="535"/>
      <c r="V625" s="535"/>
      <c r="W625" s="535"/>
      <c r="X625" s="535"/>
      <c r="Y625" s="535"/>
      <c r="Z625" s="535"/>
      <c r="AA625" s="535"/>
      <c r="AB625" s="535"/>
      <c r="AC625" s="535"/>
      <c r="AD625" s="535"/>
      <c r="AE625" s="535"/>
      <c r="AF625" s="535"/>
      <c r="AG625" s="535"/>
      <c r="AH625" s="535"/>
      <c r="AI625" s="535"/>
      <c r="AJ625" s="535"/>
      <c r="AK625" s="535"/>
      <c r="AL625" s="535"/>
      <c r="AN625" s="594"/>
    </row>
    <row r="626" spans="1:42" s="548" customFormat="1" ht="12.75" customHeight="1">
      <c r="B626" s="535"/>
      <c r="C626" s="928"/>
      <c r="D626" s="535"/>
      <c r="E626" s="535"/>
      <c r="F626" s="535"/>
      <c r="G626" s="535"/>
      <c r="H626" s="535"/>
      <c r="I626" s="535"/>
      <c r="J626" s="535"/>
      <c r="K626" s="535"/>
      <c r="L626" s="535"/>
      <c r="M626" s="535"/>
      <c r="N626" s="535"/>
      <c r="O626" s="535"/>
      <c r="P626" s="535"/>
      <c r="Q626" s="535"/>
      <c r="R626" s="535"/>
      <c r="S626" s="535"/>
      <c r="T626" s="535"/>
      <c r="U626" s="535"/>
      <c r="V626" s="535"/>
      <c r="W626" s="535"/>
      <c r="X626" s="535"/>
      <c r="Y626" s="535"/>
      <c r="Z626" s="535"/>
      <c r="AA626" s="535"/>
      <c r="AB626" s="535"/>
      <c r="AC626" s="535"/>
      <c r="AD626" s="535"/>
      <c r="AE626" s="535"/>
      <c r="AF626" s="535"/>
      <c r="AG626" s="535"/>
      <c r="AH626" s="535"/>
      <c r="AI626" s="535"/>
      <c r="AJ626" s="535"/>
      <c r="AK626" s="535"/>
      <c r="AL626" s="535"/>
      <c r="AN626" s="594"/>
      <c r="AO626" s="548" t="s">
        <v>589</v>
      </c>
      <c r="AP626" s="668">
        <v>0</v>
      </c>
    </row>
    <row r="627" spans="1:42" s="548" customFormat="1" ht="12.75" customHeight="1">
      <c r="B627" s="535"/>
      <c r="C627" s="928"/>
      <c r="D627" s="535"/>
      <c r="E627" s="535" t="s">
        <v>1390</v>
      </c>
      <c r="F627" s="931"/>
      <c r="G627" s="931"/>
      <c r="I627" s="2547" t="s">
        <v>589</v>
      </c>
      <c r="J627" s="2547"/>
      <c r="K627" s="2547"/>
      <c r="L627" s="2547"/>
      <c r="M627" s="2547"/>
      <c r="N627" s="2547"/>
      <c r="O627" s="2547"/>
      <c r="P627" s="2547"/>
      <c r="Q627" s="2547"/>
      <c r="R627" s="2547"/>
      <c r="S627" s="2547"/>
      <c r="T627" s="2547"/>
      <c r="U627" s="2547"/>
      <c r="V627" s="2547"/>
      <c r="W627" s="2547"/>
      <c r="X627" s="2547"/>
      <c r="Y627" s="2547"/>
      <c r="Z627" s="2547"/>
      <c r="AA627" s="2547"/>
      <c r="AB627" s="2547"/>
      <c r="AC627" s="2547"/>
      <c r="AD627" s="2547"/>
      <c r="AE627" s="2547"/>
      <c r="AF627" s="535"/>
      <c r="AG627" s="535"/>
      <c r="AH627" s="535"/>
      <c r="AI627" s="535"/>
      <c r="AJ627" s="535"/>
      <c r="AK627" s="535"/>
      <c r="AL627" s="535"/>
      <c r="AN627" s="594"/>
      <c r="AO627" s="548" t="s">
        <v>1391</v>
      </c>
      <c r="AP627" s="548">
        <v>3</v>
      </c>
    </row>
    <row r="628" spans="1:42" s="548" customFormat="1" ht="12.75" customHeight="1">
      <c r="B628" s="535"/>
      <c r="C628" s="535"/>
      <c r="D628" s="535"/>
      <c r="E628" s="535"/>
      <c r="F628" s="639"/>
      <c r="G628" s="639"/>
      <c r="H628" s="639"/>
      <c r="I628" s="639"/>
      <c r="J628" s="639"/>
      <c r="K628" s="639"/>
      <c r="L628" s="639"/>
      <c r="M628" s="639"/>
      <c r="N628" s="639"/>
      <c r="O628" s="639"/>
      <c r="P628" s="639"/>
      <c r="Q628" s="639"/>
      <c r="R628" s="639"/>
      <c r="S628" s="639"/>
      <c r="T628" s="639"/>
      <c r="U628" s="639"/>
      <c r="V628" s="639"/>
      <c r="W628" s="639"/>
      <c r="X628" s="639"/>
      <c r="Y628" s="639"/>
      <c r="Z628" s="639"/>
      <c r="AA628" s="639"/>
      <c r="AB628" s="639"/>
      <c r="AC628" s="639"/>
      <c r="AD628" s="639"/>
      <c r="AE628" s="639"/>
      <c r="AF628" s="639"/>
      <c r="AG628" s="639"/>
      <c r="AH628" s="639"/>
      <c r="AI628" s="639"/>
      <c r="AJ628" s="639"/>
      <c r="AK628" s="639"/>
      <c r="AL628" s="639"/>
      <c r="AN628" s="594"/>
      <c r="AO628" s="548" t="s">
        <v>1392</v>
      </c>
      <c r="AP628" s="548">
        <v>2</v>
      </c>
    </row>
    <row r="629" spans="1:42" s="548" customFormat="1" ht="12.75" customHeight="1">
      <c r="B629" s="2478" t="s">
        <v>589</v>
      </c>
      <c r="C629" s="2478"/>
      <c r="D629" s="639"/>
      <c r="E629" s="2483" t="s">
        <v>1393</v>
      </c>
      <c r="F629" s="2483"/>
      <c r="G629" s="2483"/>
      <c r="H629" s="2483"/>
      <c r="I629" s="2483"/>
      <c r="J629" s="2483"/>
      <c r="K629" s="2483"/>
      <c r="L629" s="2483"/>
      <c r="M629" s="2483"/>
      <c r="N629" s="2483"/>
      <c r="O629" s="2483"/>
      <c r="P629" s="2483"/>
      <c r="Q629" s="2483"/>
      <c r="R629" s="2483"/>
      <c r="S629" s="2483"/>
      <c r="T629" s="2483"/>
      <c r="U629" s="2483"/>
      <c r="V629" s="2483"/>
      <c r="W629" s="2483"/>
      <c r="X629" s="2483"/>
      <c r="Y629" s="2483"/>
      <c r="Z629" s="2483"/>
      <c r="AA629" s="2483"/>
      <c r="AB629" s="2483"/>
      <c r="AC629" s="2483"/>
      <c r="AD629" s="2483"/>
      <c r="AE629" s="2483"/>
      <c r="AF629" s="2483"/>
      <c r="AG629" s="2483"/>
      <c r="AH629" s="639"/>
      <c r="AI629" s="639"/>
      <c r="AJ629" s="639"/>
      <c r="AK629" s="639"/>
      <c r="AL629" s="639"/>
      <c r="AN629" s="594"/>
    </row>
    <row r="630" spans="1:42" s="548" customFormat="1" ht="12.75" customHeight="1">
      <c r="B630" s="535"/>
      <c r="C630" s="928"/>
      <c r="D630" s="639"/>
      <c r="E630" s="2483"/>
      <c r="F630" s="2483"/>
      <c r="G630" s="2483"/>
      <c r="H630" s="2483"/>
      <c r="I630" s="2483"/>
      <c r="J630" s="2483"/>
      <c r="K630" s="2483"/>
      <c r="L630" s="2483"/>
      <c r="M630" s="2483"/>
      <c r="N630" s="2483"/>
      <c r="O630" s="2483"/>
      <c r="P630" s="2483"/>
      <c r="Q630" s="2483"/>
      <c r="R630" s="2483"/>
      <c r="S630" s="2483"/>
      <c r="T630" s="2483"/>
      <c r="U630" s="2483"/>
      <c r="V630" s="2483"/>
      <c r="W630" s="2483"/>
      <c r="X630" s="2483"/>
      <c r="Y630" s="2483"/>
      <c r="Z630" s="2483"/>
      <c r="AA630" s="2483"/>
      <c r="AB630" s="2483"/>
      <c r="AC630" s="2483"/>
      <c r="AD630" s="2483"/>
      <c r="AE630" s="2483"/>
      <c r="AF630" s="2483"/>
      <c r="AG630" s="2483"/>
      <c r="AH630" s="639"/>
      <c r="AI630" s="639"/>
      <c r="AJ630" s="639"/>
      <c r="AK630" s="639"/>
      <c r="AL630" s="639"/>
      <c r="AN630" s="594"/>
    </row>
    <row r="631" spans="1:42" s="548" customFormat="1" ht="12.75" customHeight="1">
      <c r="B631" s="535"/>
      <c r="C631" s="928"/>
      <c r="D631" s="639"/>
      <c r="E631" s="2483"/>
      <c r="F631" s="2483"/>
      <c r="G631" s="2483"/>
      <c r="H631" s="2483"/>
      <c r="I631" s="2483"/>
      <c r="J631" s="2483"/>
      <c r="K631" s="2483"/>
      <c r="L631" s="2483"/>
      <c r="M631" s="2483"/>
      <c r="N631" s="2483"/>
      <c r="O631" s="2483"/>
      <c r="P631" s="2483"/>
      <c r="Q631" s="2483"/>
      <c r="R631" s="2483"/>
      <c r="S631" s="2483"/>
      <c r="T631" s="2483"/>
      <c r="U631" s="2483"/>
      <c r="V631" s="2483"/>
      <c r="W631" s="2483"/>
      <c r="X631" s="2483"/>
      <c r="Y631" s="2483"/>
      <c r="Z631" s="2483"/>
      <c r="AA631" s="2483"/>
      <c r="AB631" s="2483"/>
      <c r="AC631" s="2483"/>
      <c r="AD631" s="2483"/>
      <c r="AE631" s="2483"/>
      <c r="AF631" s="2483"/>
      <c r="AG631" s="2483"/>
      <c r="AH631" s="639"/>
      <c r="AI631" s="639"/>
      <c r="AJ631" s="639"/>
      <c r="AK631" s="639"/>
      <c r="AL631" s="639"/>
      <c r="AN631" s="594"/>
    </row>
    <row r="632" spans="1:42" s="548" customFormat="1" ht="12.75" customHeight="1">
      <c r="B632" s="535"/>
      <c r="C632" s="928"/>
      <c r="D632" s="639"/>
      <c r="E632" s="2483"/>
      <c r="F632" s="2483"/>
      <c r="G632" s="2483"/>
      <c r="H632" s="2483"/>
      <c r="I632" s="2483"/>
      <c r="J632" s="2483"/>
      <c r="K632" s="2483"/>
      <c r="L632" s="2483"/>
      <c r="M632" s="2483"/>
      <c r="N632" s="2483"/>
      <c r="O632" s="2483"/>
      <c r="P632" s="2483"/>
      <c r="Q632" s="2483"/>
      <c r="R632" s="2483"/>
      <c r="S632" s="2483"/>
      <c r="T632" s="2483"/>
      <c r="U632" s="2483"/>
      <c r="V632" s="2483"/>
      <c r="W632" s="2483"/>
      <c r="X632" s="2483"/>
      <c r="Y632" s="2483"/>
      <c r="Z632" s="2483"/>
      <c r="AA632" s="2483"/>
      <c r="AB632" s="2483"/>
      <c r="AC632" s="2483"/>
      <c r="AD632" s="2483"/>
      <c r="AE632" s="2483"/>
      <c r="AF632" s="2483"/>
      <c r="AG632" s="2483"/>
      <c r="AH632" s="639"/>
      <c r="AI632" s="639"/>
      <c r="AJ632" s="639"/>
      <c r="AK632" s="639"/>
      <c r="AL632" s="639"/>
      <c r="AN632" s="594"/>
    </row>
    <row r="633" spans="1:42" s="548" customFormat="1" ht="12.75" customHeight="1">
      <c r="B633" s="535"/>
      <c r="C633" s="928"/>
      <c r="D633" s="932"/>
      <c r="E633" s="952"/>
      <c r="F633" s="952"/>
      <c r="G633" s="952"/>
      <c r="H633" s="952"/>
      <c r="I633" s="952"/>
      <c r="J633" s="952"/>
      <c r="K633" s="952"/>
      <c r="L633" s="952"/>
      <c r="M633" s="952"/>
      <c r="N633" s="952"/>
      <c r="O633" s="952"/>
      <c r="P633" s="952"/>
      <c r="Q633" s="952"/>
      <c r="R633" s="952"/>
      <c r="S633" s="952"/>
      <c r="T633" s="952"/>
      <c r="U633" s="952"/>
      <c r="V633" s="952"/>
      <c r="W633" s="952"/>
      <c r="X633" s="952"/>
      <c r="Y633" s="952"/>
      <c r="Z633" s="952"/>
      <c r="AA633" s="952"/>
      <c r="AB633" s="952"/>
      <c r="AC633" s="952"/>
      <c r="AD633" s="952"/>
      <c r="AE633" s="952"/>
      <c r="AF633" s="952"/>
      <c r="AG633" s="952"/>
      <c r="AH633" s="932"/>
      <c r="AI633" s="932"/>
      <c r="AJ633" s="932"/>
      <c r="AK633" s="932"/>
      <c r="AL633" s="639"/>
      <c r="AN633" s="594"/>
    </row>
    <row r="634" spans="1:42" s="548" customFormat="1" ht="12.75" customHeight="1">
      <c r="A634" s="603"/>
      <c r="B634" s="598"/>
      <c r="C634" s="933"/>
      <c r="D634" s="598"/>
      <c r="E634" s="934"/>
      <c r="F634" s="934"/>
      <c r="G634" s="934"/>
      <c r="H634" s="934"/>
      <c r="I634" s="934"/>
      <c r="J634" s="934"/>
      <c r="K634" s="934"/>
      <c r="L634" s="934"/>
      <c r="M634" s="934"/>
      <c r="N634" s="934"/>
      <c r="O634" s="934"/>
      <c r="P634" s="934"/>
      <c r="Q634" s="934"/>
      <c r="R634" s="934"/>
      <c r="S634" s="934"/>
      <c r="T634" s="934"/>
      <c r="U634" s="934"/>
      <c r="V634" s="934"/>
      <c r="W634" s="934"/>
      <c r="X634" s="934"/>
      <c r="Y634" s="934"/>
      <c r="Z634" s="934"/>
      <c r="AA634" s="934"/>
      <c r="AB634" s="598"/>
      <c r="AC634" s="598"/>
      <c r="AD634" s="598"/>
      <c r="AE634" s="598"/>
      <c r="AF634" s="598"/>
      <c r="AG634" s="598"/>
      <c r="AH634" s="598"/>
      <c r="AI634" s="562" t="s">
        <v>1394</v>
      </c>
      <c r="AJ634" s="2491">
        <f>VLOOKUP($H$619,$AO$599:$AP$604,2,FALSE)+IF(R619=AO607,0,VLOOKUP($I$627,$AO$626:$AP$628,2,FALSE))</f>
        <v>7</v>
      </c>
      <c r="AK634" s="2493"/>
      <c r="AL634" s="592"/>
      <c r="AM634" s="670"/>
      <c r="AN634" s="594"/>
    </row>
    <row r="635" spans="1:42" s="548" customFormat="1" ht="12.75" customHeight="1">
      <c r="B635" s="535"/>
      <c r="C635" s="928"/>
      <c r="D635" s="535"/>
      <c r="E635" s="931"/>
      <c r="F635" s="931"/>
      <c r="G635" s="931"/>
      <c r="H635" s="931"/>
      <c r="I635" s="931"/>
      <c r="J635" s="931"/>
      <c r="K635" s="931"/>
      <c r="L635" s="931"/>
      <c r="M635" s="931"/>
      <c r="N635" s="931"/>
      <c r="O635" s="931"/>
      <c r="P635" s="931"/>
      <c r="Q635" s="931"/>
      <c r="R635" s="931"/>
      <c r="S635" s="931"/>
      <c r="T635" s="931"/>
      <c r="U635" s="931"/>
      <c r="V635" s="931"/>
      <c r="W635" s="931"/>
      <c r="X635" s="931"/>
      <c r="Y635" s="931"/>
      <c r="Z635" s="931"/>
      <c r="AA635" s="931"/>
      <c r="AB635" s="931"/>
      <c r="AC635" s="535"/>
      <c r="AD635" s="535"/>
      <c r="AE635" s="931"/>
      <c r="AF635" s="931"/>
      <c r="AG635" s="931"/>
      <c r="AH635" s="931"/>
      <c r="AI635" s="931"/>
      <c r="AJ635" s="931"/>
      <c r="AK635" s="931"/>
      <c r="AL635" s="931"/>
      <c r="AM635" s="670"/>
      <c r="AN635" s="594"/>
    </row>
    <row r="636" spans="1:42" s="548" customFormat="1" ht="12.75" customHeight="1">
      <c r="B636" s="535"/>
      <c r="C636" s="538" t="s">
        <v>1395</v>
      </c>
      <c r="D636" s="538"/>
      <c r="E636" s="931"/>
      <c r="F636" s="931"/>
      <c r="G636" s="931"/>
      <c r="H636" s="931"/>
      <c r="I636" s="931"/>
      <c r="J636" s="931"/>
      <c r="K636" s="931"/>
      <c r="L636" s="931"/>
      <c r="M636" s="931"/>
      <c r="N636" s="931"/>
      <c r="O636" s="931"/>
      <c r="P636" s="931"/>
      <c r="Q636" s="931"/>
      <c r="R636" s="931"/>
      <c r="S636" s="931"/>
      <c r="T636" s="931"/>
      <c r="U636" s="931"/>
      <c r="V636" s="931"/>
      <c r="W636" s="931"/>
      <c r="X636" s="931"/>
      <c r="Y636" s="931"/>
      <c r="Z636" s="931"/>
      <c r="AA636" s="931"/>
      <c r="AB636" s="931"/>
      <c r="AC636" s="535"/>
      <c r="AD636" s="535"/>
      <c r="AE636" s="535"/>
      <c r="AF636" s="535"/>
      <c r="AG636" s="535"/>
      <c r="AH636" s="535"/>
      <c r="AI636" s="535"/>
      <c r="AJ636" s="535"/>
      <c r="AK636" s="535"/>
      <c r="AL636" s="535"/>
      <c r="AN636" s="594"/>
    </row>
    <row r="637" spans="1:42" s="548" customFormat="1" ht="12.75" customHeight="1">
      <c r="B637" s="607"/>
      <c r="C637" s="535"/>
      <c r="D637" s="930"/>
      <c r="E637" s="931"/>
      <c r="F637" s="931"/>
      <c r="G637" s="931"/>
      <c r="H637" s="931"/>
      <c r="I637" s="931"/>
      <c r="J637" s="931"/>
      <c r="K637" s="931"/>
      <c r="L637" s="931"/>
      <c r="M637" s="931"/>
      <c r="N637" s="931"/>
      <c r="O637" s="931"/>
      <c r="P637" s="931"/>
      <c r="Q637" s="931"/>
      <c r="R637" s="931"/>
      <c r="S637" s="931"/>
      <c r="T637" s="931"/>
      <c r="U637" s="931"/>
      <c r="V637" s="931"/>
      <c r="W637" s="931"/>
      <c r="X637" s="931"/>
      <c r="Y637" s="931"/>
      <c r="Z637" s="931"/>
      <c r="AA637" s="931"/>
      <c r="AB637" s="931"/>
      <c r="AC637" s="535"/>
      <c r="AD637" s="535"/>
      <c r="AE637" s="535"/>
      <c r="AF637" s="535"/>
      <c r="AG637" s="535"/>
      <c r="AH637" s="535"/>
      <c r="AI637" s="535"/>
      <c r="AJ637" s="535"/>
      <c r="AK637" s="535"/>
      <c r="AL637" s="535"/>
      <c r="AN637" s="594"/>
    </row>
    <row r="638" spans="1:42" s="593" customFormat="1" ht="12.75" customHeight="1">
      <c r="A638" s="548"/>
      <c r="B638" s="535"/>
      <c r="C638" s="535"/>
      <c r="D638" s="658" t="s">
        <v>685</v>
      </c>
      <c r="E638" s="2545" t="s">
        <v>1681</v>
      </c>
      <c r="F638" s="2545"/>
      <c r="G638" s="2545"/>
      <c r="H638" s="2545"/>
      <c r="I638" s="2545"/>
      <c r="J638" s="2545"/>
      <c r="K638" s="2545"/>
      <c r="L638" s="2545"/>
      <c r="M638" s="2545"/>
      <c r="N638" s="2545"/>
      <c r="O638" s="2545"/>
      <c r="P638" s="2545"/>
      <c r="Q638" s="2545"/>
      <c r="R638" s="2545"/>
      <c r="S638" s="2545"/>
      <c r="T638" s="2545"/>
      <c r="U638" s="2545"/>
      <c r="V638" s="2545"/>
      <c r="W638" s="2545"/>
      <c r="X638" s="2545"/>
      <c r="Y638" s="2545"/>
      <c r="Z638" s="2545"/>
      <c r="AA638" s="2545"/>
      <c r="AB638" s="2545"/>
      <c r="AC638" s="2545"/>
      <c r="AD638" s="2545"/>
      <c r="AE638" s="538"/>
      <c r="AF638" s="2466" t="s">
        <v>1344</v>
      </c>
      <c r="AG638" s="2466"/>
      <c r="AH638" s="2466"/>
      <c r="AI638" s="2466"/>
      <c r="AJ638" s="2466"/>
      <c r="AK638" s="2466"/>
      <c r="AL638" s="2466"/>
      <c r="AM638" s="548"/>
      <c r="AN638" s="673"/>
    </row>
    <row r="639" spans="1:42" s="548" customFormat="1" ht="12.75" customHeight="1">
      <c r="A639" s="674"/>
      <c r="B639" s="535"/>
      <c r="C639" s="928"/>
      <c r="D639" s="658"/>
      <c r="E639" s="2545"/>
      <c r="F639" s="2545"/>
      <c r="G639" s="2545"/>
      <c r="H639" s="2545"/>
      <c r="I639" s="2545"/>
      <c r="J639" s="2545"/>
      <c r="K639" s="2545"/>
      <c r="L639" s="2545"/>
      <c r="M639" s="2545"/>
      <c r="N639" s="2545"/>
      <c r="O639" s="2545"/>
      <c r="P639" s="2545"/>
      <c r="Q639" s="2545"/>
      <c r="R639" s="2545"/>
      <c r="S639" s="2545"/>
      <c r="T639" s="2545"/>
      <c r="U639" s="2545"/>
      <c r="V639" s="2545"/>
      <c r="W639" s="2545"/>
      <c r="X639" s="2545"/>
      <c r="Y639" s="2545"/>
      <c r="Z639" s="2545"/>
      <c r="AA639" s="2545"/>
      <c r="AB639" s="2545"/>
      <c r="AC639" s="2545"/>
      <c r="AD639" s="2545"/>
      <c r="AE639" s="535"/>
      <c r="AF639" s="535"/>
      <c r="AG639" s="535"/>
      <c r="AH639" s="535"/>
      <c r="AI639" s="535"/>
      <c r="AJ639" s="535"/>
      <c r="AK639" s="535"/>
      <c r="AL639" s="535"/>
      <c r="AN639" s="594"/>
    </row>
    <row r="640" spans="1:42" s="548" customFormat="1" ht="12.75" customHeight="1">
      <c r="B640" s="535"/>
      <c r="C640" s="926"/>
      <c r="D640" s="658"/>
      <c r="E640" s="2545"/>
      <c r="F640" s="2545"/>
      <c r="G640" s="2545"/>
      <c r="H640" s="2545"/>
      <c r="I640" s="2545"/>
      <c r="J640" s="2545"/>
      <c r="K640" s="2545"/>
      <c r="L640" s="2545"/>
      <c r="M640" s="2545"/>
      <c r="N640" s="2545"/>
      <c r="O640" s="2545"/>
      <c r="P640" s="2545"/>
      <c r="Q640" s="2545"/>
      <c r="R640" s="2545"/>
      <c r="S640" s="2545"/>
      <c r="T640" s="2545"/>
      <c r="U640" s="2545"/>
      <c r="V640" s="2545"/>
      <c r="W640" s="2545"/>
      <c r="X640" s="2545"/>
      <c r="Y640" s="2545"/>
      <c r="Z640" s="2545"/>
      <c r="AA640" s="2545"/>
      <c r="AB640" s="2545"/>
      <c r="AC640" s="2545"/>
      <c r="AD640" s="2545"/>
      <c r="AE640" s="535"/>
      <c r="AF640" s="535"/>
      <c r="AG640" s="535"/>
      <c r="AH640" s="535"/>
      <c r="AI640" s="535"/>
      <c r="AJ640" s="535"/>
      <c r="AK640" s="535"/>
      <c r="AL640" s="535"/>
      <c r="AN640" s="594"/>
    </row>
    <row r="641" spans="1:42" s="548" customFormat="1" ht="12.75" customHeight="1">
      <c r="B641" s="535"/>
      <c r="C641" s="926"/>
      <c r="D641" s="658"/>
      <c r="E641" s="2545"/>
      <c r="F641" s="2545"/>
      <c r="G641" s="2545"/>
      <c r="H641" s="2545"/>
      <c r="I641" s="2545"/>
      <c r="J641" s="2545"/>
      <c r="K641" s="2545"/>
      <c r="L641" s="2545"/>
      <c r="M641" s="2545"/>
      <c r="N641" s="2545"/>
      <c r="O641" s="2545"/>
      <c r="P641" s="2545"/>
      <c r="Q641" s="2545"/>
      <c r="R641" s="2545"/>
      <c r="S641" s="2545"/>
      <c r="T641" s="2545"/>
      <c r="U641" s="2545"/>
      <c r="V641" s="2545"/>
      <c r="W641" s="2545"/>
      <c r="X641" s="2545"/>
      <c r="Y641" s="2545"/>
      <c r="Z641" s="2545"/>
      <c r="AA641" s="2545"/>
      <c r="AB641" s="2545"/>
      <c r="AC641" s="2545"/>
      <c r="AD641" s="2545"/>
      <c r="AE641" s="535"/>
      <c r="AF641" s="535"/>
      <c r="AG641" s="535"/>
      <c r="AH641" s="535"/>
      <c r="AI641" s="535"/>
      <c r="AJ641" s="535"/>
      <c r="AK641" s="535"/>
      <c r="AL641" s="535"/>
      <c r="AN641" s="594"/>
    </row>
    <row r="642" spans="1:42" s="548" customFormat="1" ht="12.75" customHeight="1">
      <c r="B642" s="535"/>
      <c r="C642" s="926"/>
      <c r="D642" s="658"/>
      <c r="E642" s="2545"/>
      <c r="F642" s="2545"/>
      <c r="G642" s="2545"/>
      <c r="H642" s="2545"/>
      <c r="I642" s="2545"/>
      <c r="J642" s="2545"/>
      <c r="K642" s="2545"/>
      <c r="L642" s="2545"/>
      <c r="M642" s="2545"/>
      <c r="N642" s="2545"/>
      <c r="O642" s="2545"/>
      <c r="P642" s="2545"/>
      <c r="Q642" s="2545"/>
      <c r="R642" s="2545"/>
      <c r="S642" s="2545"/>
      <c r="T642" s="2545"/>
      <c r="U642" s="2545"/>
      <c r="V642" s="2545"/>
      <c r="W642" s="2545"/>
      <c r="X642" s="2545"/>
      <c r="Y642" s="2545"/>
      <c r="Z642" s="2545"/>
      <c r="AA642" s="2545"/>
      <c r="AB642" s="2545"/>
      <c r="AC642" s="2545"/>
      <c r="AD642" s="2545"/>
      <c r="AE642" s="535"/>
      <c r="AF642" s="535"/>
      <c r="AG642" s="535"/>
      <c r="AH642" s="535"/>
      <c r="AI642" s="535"/>
      <c r="AJ642" s="535"/>
      <c r="AK642" s="535"/>
      <c r="AL642" s="535"/>
      <c r="AN642" s="594"/>
    </row>
    <row r="643" spans="1:42" s="548" customFormat="1" ht="12.75" customHeight="1">
      <c r="B643" s="535"/>
      <c r="C643" s="926"/>
      <c r="D643" s="658"/>
      <c r="E643" s="2545"/>
      <c r="F643" s="2545"/>
      <c r="G643" s="2545"/>
      <c r="H643" s="2545"/>
      <c r="I643" s="2545"/>
      <c r="J643" s="2545"/>
      <c r="K643" s="2545"/>
      <c r="L643" s="2545"/>
      <c r="M643" s="2545"/>
      <c r="N643" s="2545"/>
      <c r="O643" s="2545"/>
      <c r="P643" s="2545"/>
      <c r="Q643" s="2545"/>
      <c r="R643" s="2545"/>
      <c r="S643" s="2545"/>
      <c r="T643" s="2545"/>
      <c r="U643" s="2545"/>
      <c r="V643" s="2545"/>
      <c r="W643" s="2545"/>
      <c r="X643" s="2545"/>
      <c r="Y643" s="2545"/>
      <c r="Z643" s="2545"/>
      <c r="AA643" s="2545"/>
      <c r="AB643" s="2545"/>
      <c r="AC643" s="2545"/>
      <c r="AD643" s="2545"/>
      <c r="AE643" s="535"/>
      <c r="AF643" s="535"/>
      <c r="AG643" s="535"/>
      <c r="AH643" s="535"/>
      <c r="AI643" s="535"/>
      <c r="AJ643" s="535"/>
      <c r="AK643" s="535"/>
      <c r="AL643" s="535"/>
      <c r="AN643" s="594"/>
    </row>
    <row r="644" spans="1:42" s="548" customFormat="1" ht="12.75" customHeight="1">
      <c r="A644" s="634"/>
      <c r="B644" s="613"/>
      <c r="C644" s="935"/>
      <c r="D644" s="658"/>
      <c r="E644" s="2545"/>
      <c r="F644" s="2545"/>
      <c r="G644" s="2545"/>
      <c r="H644" s="2545"/>
      <c r="I644" s="2545"/>
      <c r="J644" s="2545"/>
      <c r="K644" s="2545"/>
      <c r="L644" s="2545"/>
      <c r="M644" s="2545"/>
      <c r="N644" s="2545"/>
      <c r="O644" s="2545"/>
      <c r="P644" s="2545"/>
      <c r="Q644" s="2545"/>
      <c r="R644" s="2545"/>
      <c r="S644" s="2545"/>
      <c r="T644" s="2545"/>
      <c r="U644" s="2545"/>
      <c r="V644" s="2545"/>
      <c r="W644" s="2545"/>
      <c r="X644" s="2545"/>
      <c r="Y644" s="2545"/>
      <c r="Z644" s="2545"/>
      <c r="AA644" s="2545"/>
      <c r="AB644" s="2545"/>
      <c r="AC644" s="2545"/>
      <c r="AD644" s="2545"/>
      <c r="AE644" s="613"/>
      <c r="AF644" s="613"/>
      <c r="AG644" s="613"/>
      <c r="AH644" s="613"/>
      <c r="AI644" s="613"/>
      <c r="AJ644" s="613"/>
      <c r="AK644" s="535"/>
      <c r="AL644" s="535"/>
      <c r="AN644" s="594"/>
    </row>
    <row r="645" spans="1:42" s="548" customFormat="1" ht="12.75" customHeight="1">
      <c r="B645" s="613"/>
      <c r="C645" s="935"/>
      <c r="D645" s="658"/>
      <c r="E645" s="2545"/>
      <c r="F645" s="2545"/>
      <c r="G645" s="2545"/>
      <c r="H645" s="2545"/>
      <c r="I645" s="2545"/>
      <c r="J645" s="2545"/>
      <c r="K645" s="2545"/>
      <c r="L645" s="2545"/>
      <c r="M645" s="2545"/>
      <c r="N645" s="2545"/>
      <c r="O645" s="2545"/>
      <c r="P645" s="2545"/>
      <c r="Q645" s="2545"/>
      <c r="R645" s="2545"/>
      <c r="S645" s="2545"/>
      <c r="T645" s="2545"/>
      <c r="U645" s="2545"/>
      <c r="V645" s="2545"/>
      <c r="W645" s="2545"/>
      <c r="X645" s="2545"/>
      <c r="Y645" s="2545"/>
      <c r="Z645" s="2545"/>
      <c r="AA645" s="2545"/>
      <c r="AB645" s="2545"/>
      <c r="AC645" s="2545"/>
      <c r="AD645" s="2545"/>
      <c r="AE645" s="613"/>
      <c r="AF645" s="613"/>
      <c r="AG645" s="613"/>
      <c r="AH645" s="613"/>
      <c r="AI645" s="613"/>
      <c r="AJ645" s="613"/>
      <c r="AK645" s="535"/>
      <c r="AL645" s="535"/>
      <c r="AN645" s="594"/>
    </row>
    <row r="646" spans="1:42" s="548" customFormat="1" ht="12" customHeight="1">
      <c r="B646" s="613"/>
      <c r="C646" s="935"/>
      <c r="D646" s="658"/>
      <c r="E646" s="951"/>
      <c r="F646" s="951"/>
      <c r="G646" s="951"/>
      <c r="H646" s="951"/>
      <c r="I646" s="951"/>
      <c r="J646" s="951"/>
      <c r="K646" s="951"/>
      <c r="L646" s="951"/>
      <c r="M646" s="951"/>
      <c r="N646" s="951"/>
      <c r="O646" s="951"/>
      <c r="P646" s="951"/>
      <c r="Q646" s="951"/>
      <c r="R646" s="951"/>
      <c r="S646" s="951"/>
      <c r="T646" s="951"/>
      <c r="U646" s="951"/>
      <c r="V646" s="951"/>
      <c r="W646" s="951"/>
      <c r="X646" s="951"/>
      <c r="Y646" s="951"/>
      <c r="Z646" s="951"/>
      <c r="AA646" s="951"/>
      <c r="AB646" s="951"/>
      <c r="AC646" s="951"/>
      <c r="AD646" s="951"/>
      <c r="AE646" s="613"/>
      <c r="AF646" s="613"/>
      <c r="AG646" s="613"/>
      <c r="AH646" s="613"/>
      <c r="AI646" s="613"/>
      <c r="AJ646" s="613"/>
      <c r="AK646" s="535"/>
      <c r="AL646" s="535"/>
      <c r="AN646" s="594"/>
      <c r="AO646" s="548" t="s">
        <v>589</v>
      </c>
      <c r="AP646" s="668">
        <v>0</v>
      </c>
    </row>
    <row r="647" spans="1:42" s="548" customFormat="1" ht="12.75" customHeight="1">
      <c r="B647" s="613"/>
      <c r="C647" s="926"/>
      <c r="D647" s="658"/>
      <c r="E647" s="613" t="s">
        <v>1396</v>
      </c>
      <c r="F647" s="936"/>
      <c r="G647" s="936"/>
      <c r="H647" s="936"/>
      <c r="I647" s="936"/>
      <c r="J647" s="936"/>
      <c r="K647" s="936"/>
      <c r="L647" s="936"/>
      <c r="M647" s="936"/>
      <c r="N647" s="936"/>
      <c r="O647" s="936"/>
      <c r="P647" s="936"/>
      <c r="Q647" s="936"/>
      <c r="R647" s="936"/>
      <c r="U647" s="936"/>
      <c r="V647" s="936"/>
      <c r="W647" s="936"/>
      <c r="X647" s="2478" t="s">
        <v>589</v>
      </c>
      <c r="Y647" s="2478"/>
      <c r="Z647" s="936"/>
      <c r="AA647" s="936"/>
      <c r="AB647" s="936"/>
      <c r="AC647" s="936"/>
      <c r="AD647" s="936"/>
      <c r="AE647" s="535"/>
      <c r="AF647" s="613"/>
      <c r="AG647" s="613"/>
      <c r="AH647" s="613"/>
      <c r="AI647" s="613"/>
      <c r="AJ647" s="613"/>
      <c r="AK647" s="535"/>
      <c r="AL647" s="535"/>
      <c r="AN647" s="594"/>
      <c r="AO647" s="608" t="s">
        <v>685</v>
      </c>
      <c r="AP647" s="548">
        <v>5</v>
      </c>
    </row>
    <row r="648" spans="1:42" s="548" customFormat="1" ht="12.75" customHeight="1">
      <c r="B648" s="613"/>
      <c r="C648" s="935"/>
      <c r="D648" s="535"/>
      <c r="E648" s="535"/>
      <c r="F648" s="535"/>
      <c r="G648" s="535"/>
      <c r="H648" s="535"/>
      <c r="I648" s="535"/>
      <c r="J648" s="535"/>
      <c r="K648" s="535"/>
      <c r="L648" s="535"/>
      <c r="M648" s="535"/>
      <c r="N648" s="535"/>
      <c r="O648" s="535"/>
      <c r="P648" s="535"/>
      <c r="Q648" s="535"/>
      <c r="R648" s="535"/>
      <c r="S648" s="535"/>
      <c r="T648" s="535"/>
      <c r="U648" s="535"/>
      <c r="V648" s="535"/>
      <c r="W648" s="613"/>
      <c r="X648" s="613"/>
      <c r="Y648" s="613"/>
      <c r="Z648" s="613"/>
      <c r="AA648" s="613"/>
      <c r="AB648" s="613"/>
      <c r="AC648" s="535"/>
      <c r="AD648" s="535"/>
      <c r="AE648" s="535"/>
      <c r="AF648" s="535"/>
      <c r="AG648" s="535"/>
      <c r="AH648" s="535"/>
      <c r="AI648" s="535"/>
      <c r="AJ648" s="535"/>
      <c r="AK648" s="535"/>
      <c r="AL648" s="535"/>
      <c r="AN648" s="594"/>
      <c r="AO648" s="608" t="s">
        <v>507</v>
      </c>
      <c r="AP648" s="675">
        <v>4</v>
      </c>
    </row>
    <row r="649" spans="1:42" s="548" customFormat="1" ht="12.75" customHeight="1">
      <c r="B649" s="535"/>
      <c r="C649" s="926"/>
      <c r="D649" s="658" t="s">
        <v>507</v>
      </c>
      <c r="E649" s="552" t="s">
        <v>1397</v>
      </c>
      <c r="F649" s="937"/>
      <c r="G649" s="937"/>
      <c r="H649" s="937"/>
      <c r="I649" s="937"/>
      <c r="J649" s="937"/>
      <c r="K649" s="937"/>
      <c r="L649" s="937"/>
      <c r="M649" s="937"/>
      <c r="N649" s="937"/>
      <c r="O649" s="937"/>
      <c r="P649" s="937"/>
      <c r="Q649" s="937"/>
      <c r="R649" s="937"/>
      <c r="S649" s="937"/>
      <c r="T649" s="937"/>
      <c r="U649" s="535"/>
      <c r="V649" s="535"/>
      <c r="W649" s="937"/>
      <c r="X649" s="937"/>
      <c r="Y649" s="937"/>
      <c r="Z649" s="937"/>
      <c r="AA649" s="937"/>
      <c r="AB649" s="937"/>
      <c r="AC649" s="535"/>
      <c r="AD649" s="535"/>
      <c r="AE649" s="535"/>
      <c r="AF649" s="2466" t="s">
        <v>1398</v>
      </c>
      <c r="AG649" s="2466"/>
      <c r="AH649" s="2466"/>
      <c r="AI649" s="2466"/>
      <c r="AJ649" s="2466"/>
      <c r="AK649" s="2466"/>
      <c r="AL649" s="2466"/>
      <c r="AN649" s="594"/>
      <c r="AO649" s="608" t="s">
        <v>277</v>
      </c>
      <c r="AP649" s="548">
        <v>3</v>
      </c>
    </row>
    <row r="650" spans="1:42" s="548" customFormat="1" ht="12.75" customHeight="1">
      <c r="B650" s="535"/>
      <c r="C650" s="926"/>
      <c r="D650" s="535"/>
      <c r="E650" s="535"/>
      <c r="F650" s="937"/>
      <c r="G650" s="937"/>
      <c r="H650" s="937"/>
      <c r="I650" s="937"/>
      <c r="J650" s="937"/>
      <c r="K650" s="937"/>
      <c r="L650" s="937"/>
      <c r="M650" s="937"/>
      <c r="N650" s="937"/>
      <c r="O650" s="937"/>
      <c r="P650" s="937"/>
      <c r="Q650" s="937"/>
      <c r="R650" s="937"/>
      <c r="S650" s="937"/>
      <c r="T650" s="937"/>
      <c r="U650" s="535"/>
      <c r="V650" s="535"/>
      <c r="W650" s="535"/>
      <c r="X650" s="937"/>
      <c r="Y650" s="937"/>
      <c r="Z650" s="937"/>
      <c r="AA650" s="937"/>
      <c r="AB650" s="937"/>
      <c r="AC650" s="535"/>
      <c r="AD650" s="535"/>
      <c r="AE650" s="535"/>
      <c r="AF650" s="535"/>
      <c r="AG650" s="535"/>
      <c r="AH650" s="535"/>
      <c r="AI650" s="535"/>
      <c r="AJ650" s="535"/>
      <c r="AK650" s="535"/>
      <c r="AL650" s="535"/>
      <c r="AN650" s="594"/>
      <c r="AO650" s="608" t="s">
        <v>1387</v>
      </c>
      <c r="AP650" s="675">
        <v>4</v>
      </c>
    </row>
    <row r="651" spans="1:42" s="548" customFormat="1" ht="12.75" customHeight="1">
      <c r="B651" s="535"/>
      <c r="C651" s="926"/>
      <c r="D651" s="535" t="s">
        <v>1390</v>
      </c>
      <c r="E651" s="931"/>
      <c r="F651" s="931"/>
      <c r="G651" s="931"/>
      <c r="H651" s="2546" t="s">
        <v>685</v>
      </c>
      <c r="I651" s="2546"/>
      <c r="J651" s="937"/>
      <c r="K651" s="937"/>
      <c r="L651" s="937"/>
      <c r="M651" s="937"/>
      <c r="N651" s="937"/>
      <c r="O651" s="937"/>
      <c r="P651" s="937"/>
      <c r="Q651" s="937"/>
      <c r="R651" s="937"/>
      <c r="S651" s="937"/>
      <c r="T651" s="937"/>
      <c r="U651" s="931"/>
      <c r="V651" s="931"/>
      <c r="W651" s="931"/>
      <c r="X651" s="535"/>
      <c r="Y651" s="535"/>
      <c r="Z651" s="535"/>
      <c r="AA651" s="535"/>
      <c r="AB651" s="535"/>
      <c r="AC651" s="535"/>
      <c r="AD651" s="535"/>
      <c r="AE651" s="535"/>
      <c r="AF651" s="535"/>
      <c r="AG651" s="535"/>
      <c r="AH651" s="535"/>
      <c r="AI651" s="535"/>
      <c r="AJ651" s="535"/>
      <c r="AK651" s="535"/>
      <c r="AL651" s="535"/>
      <c r="AN651" s="594"/>
      <c r="AO651" s="608" t="s">
        <v>1388</v>
      </c>
      <c r="AP651" s="548">
        <v>3</v>
      </c>
    </row>
    <row r="652" spans="1:42" s="548" customFormat="1" ht="12.75" customHeight="1">
      <c r="B652" s="535"/>
      <c r="C652" s="926"/>
      <c r="D652" s="535"/>
      <c r="E652" s="931"/>
      <c r="F652" s="937"/>
      <c r="G652" s="937"/>
      <c r="H652" s="937"/>
      <c r="I652" s="938"/>
      <c r="J652" s="937"/>
      <c r="K652" s="937"/>
      <c r="L652" s="937"/>
      <c r="M652" s="937"/>
      <c r="N652" s="937"/>
      <c r="O652" s="937"/>
      <c r="P652" s="937"/>
      <c r="Q652" s="937"/>
      <c r="R652" s="535"/>
      <c r="S652" s="535"/>
      <c r="T652" s="937"/>
      <c r="U652" s="931"/>
      <c r="V652" s="931"/>
      <c r="W652" s="931"/>
      <c r="X652" s="931"/>
      <c r="Y652" s="931"/>
      <c r="Z652" s="931"/>
      <c r="AA652" s="931"/>
      <c r="AB652" s="931"/>
      <c r="AC652" s="535"/>
      <c r="AD652" s="535"/>
      <c r="AE652" s="535"/>
      <c r="AF652" s="535"/>
      <c r="AG652" s="535"/>
      <c r="AH652" s="535"/>
      <c r="AI652" s="937"/>
      <c r="AJ652" s="937"/>
      <c r="AK652" s="937"/>
      <c r="AL652" s="937"/>
      <c r="AM652" s="676"/>
      <c r="AN652" s="594"/>
      <c r="AO652" s="608" t="s">
        <v>1399</v>
      </c>
      <c r="AP652" s="548">
        <v>2</v>
      </c>
    </row>
    <row r="653" spans="1:42" s="548" customFormat="1" ht="12.75" customHeight="1">
      <c r="A653" s="603"/>
      <c r="B653" s="598"/>
      <c r="C653" s="939"/>
      <c r="D653" s="598"/>
      <c r="E653" s="934"/>
      <c r="F653" s="934"/>
      <c r="G653" s="940"/>
      <c r="H653" s="940"/>
      <c r="I653" s="940"/>
      <c r="J653" s="940"/>
      <c r="K653" s="940"/>
      <c r="L653" s="940"/>
      <c r="M653" s="940"/>
      <c r="N653" s="940"/>
      <c r="O653" s="940"/>
      <c r="P653" s="940"/>
      <c r="Q653" s="940"/>
      <c r="R653" s="940"/>
      <c r="S653" s="940"/>
      <c r="T653" s="934"/>
      <c r="U653" s="934"/>
      <c r="V653" s="934"/>
      <c r="W653" s="934"/>
      <c r="X653" s="934"/>
      <c r="Y653" s="934"/>
      <c r="Z653" s="934"/>
      <c r="AA653" s="934"/>
      <c r="AB653" s="598"/>
      <c r="AC653" s="598"/>
      <c r="AD653" s="598"/>
      <c r="AE653" s="598"/>
      <c r="AF653" s="598"/>
      <c r="AG653" s="598"/>
      <c r="AH653" s="598"/>
      <c r="AI653" s="562" t="s">
        <v>1400</v>
      </c>
      <c r="AJ653" s="2491">
        <f>VLOOKUP($H$651,$AO$618:$AP$620,2,FALSE)</f>
        <v>3</v>
      </c>
      <c r="AK653" s="2493"/>
      <c r="AL653" s="592"/>
      <c r="AN653" s="594"/>
      <c r="AO653" s="608" t="s">
        <v>1401</v>
      </c>
      <c r="AP653" s="548">
        <v>1</v>
      </c>
    </row>
    <row r="654" spans="1:42" s="548" customFormat="1" ht="12.75" customHeight="1">
      <c r="B654" s="535"/>
      <c r="C654" s="926"/>
      <c r="D654" s="535"/>
      <c r="E654" s="931"/>
      <c r="F654" s="931"/>
      <c r="G654" s="931"/>
      <c r="H654" s="535"/>
      <c r="I654" s="535"/>
      <c r="J654" s="937"/>
      <c r="K654" s="937"/>
      <c r="L654" s="937"/>
      <c r="M654" s="937"/>
      <c r="N654" s="937"/>
      <c r="O654" s="937"/>
      <c r="P654" s="937"/>
      <c r="Q654" s="937"/>
      <c r="R654" s="937"/>
      <c r="S654" s="937"/>
      <c r="T654" s="937"/>
      <c r="U654" s="931"/>
      <c r="V654" s="931"/>
      <c r="W654" s="931"/>
      <c r="X654" s="931"/>
      <c r="Y654" s="931"/>
      <c r="Z654" s="931"/>
      <c r="AA654" s="931"/>
      <c r="AB654" s="931"/>
      <c r="AC654" s="535"/>
      <c r="AD654" s="535"/>
      <c r="AE654" s="535"/>
      <c r="AF654" s="535"/>
      <c r="AG654" s="535"/>
      <c r="AH654" s="535"/>
      <c r="AI654" s="535"/>
      <c r="AJ654" s="542"/>
      <c r="AK654" s="535"/>
      <c r="AL654" s="535"/>
      <c r="AN654" s="594"/>
    </row>
    <row r="655" spans="1:42" s="548" customFormat="1" ht="12.75" customHeight="1">
      <c r="B655" s="535"/>
      <c r="C655" s="538" t="s">
        <v>1402</v>
      </c>
      <c r="D655" s="535"/>
      <c r="E655" s="931"/>
      <c r="F655" s="937"/>
      <c r="G655" s="937"/>
      <c r="H655" s="937"/>
      <c r="I655" s="937"/>
      <c r="J655" s="937"/>
      <c r="K655" s="937"/>
      <c r="L655" s="937"/>
      <c r="M655" s="937"/>
      <c r="N655" s="937"/>
      <c r="O655" s="937"/>
      <c r="P655" s="937"/>
      <c r="Q655" s="937"/>
      <c r="R655" s="937"/>
      <c r="S655" s="937"/>
      <c r="T655" s="937"/>
      <c r="U655" s="535"/>
      <c r="V655" s="535"/>
      <c r="W655" s="937"/>
      <c r="X655" s="937"/>
      <c r="Y655" s="937"/>
      <c r="Z655" s="937"/>
      <c r="AA655" s="937"/>
      <c r="AB655" s="937"/>
      <c r="AC655" s="591"/>
      <c r="AD655" s="591"/>
      <c r="AE655" s="591"/>
      <c r="AF655" s="591"/>
      <c r="AG655" s="591"/>
      <c r="AH655" s="591"/>
      <c r="AI655" s="591"/>
      <c r="AJ655" s="535"/>
      <c r="AK655" s="535"/>
      <c r="AL655" s="535"/>
      <c r="AN655" s="594"/>
    </row>
    <row r="656" spans="1:42" s="548" customFormat="1" ht="12.75" customHeight="1">
      <c r="A656" s="634"/>
      <c r="B656" s="535"/>
      <c r="C656" s="928"/>
      <c r="D656" s="535"/>
      <c r="E656" s="937"/>
      <c r="F656" s="937"/>
      <c r="G656" s="937"/>
      <c r="H656" s="937"/>
      <c r="I656" s="937"/>
      <c r="J656" s="937"/>
      <c r="K656" s="937"/>
      <c r="L656" s="937"/>
      <c r="M656" s="937"/>
      <c r="N656" s="937"/>
      <c r="O656" s="937"/>
      <c r="P656" s="937"/>
      <c r="Q656" s="937"/>
      <c r="R656" s="937"/>
      <c r="S656" s="937"/>
      <c r="T656" s="937"/>
      <c r="U656" s="937"/>
      <c r="V656" s="937"/>
      <c r="W656" s="937"/>
      <c r="X656" s="937"/>
      <c r="Y656" s="937"/>
      <c r="Z656" s="937"/>
      <c r="AA656" s="937"/>
      <c r="AB656" s="937"/>
      <c r="AC656" s="535"/>
      <c r="AD656" s="535"/>
      <c r="AE656" s="535"/>
      <c r="AF656" s="535"/>
      <c r="AG656" s="535"/>
      <c r="AH656" s="535"/>
      <c r="AI656" s="535"/>
      <c r="AJ656" s="535"/>
      <c r="AK656" s="535"/>
      <c r="AL656" s="535"/>
      <c r="AN656" s="594"/>
    </row>
    <row r="657" spans="1:42" s="548" customFormat="1" ht="12.75" customHeight="1">
      <c r="B657" s="535"/>
      <c r="C657" s="535"/>
      <c r="D657" s="658" t="s">
        <v>685</v>
      </c>
      <c r="E657" s="2483" t="s">
        <v>2051</v>
      </c>
      <c r="F657" s="2483"/>
      <c r="G657" s="2483"/>
      <c r="H657" s="2483"/>
      <c r="I657" s="2483"/>
      <c r="J657" s="2483"/>
      <c r="K657" s="2483"/>
      <c r="L657" s="2483"/>
      <c r="M657" s="2483"/>
      <c r="N657" s="2483"/>
      <c r="O657" s="2483"/>
      <c r="P657" s="2483"/>
      <c r="Q657" s="2483"/>
      <c r="R657" s="2483"/>
      <c r="S657" s="2483"/>
      <c r="T657" s="2483"/>
      <c r="U657" s="2483"/>
      <c r="V657" s="2483"/>
      <c r="W657" s="2483"/>
      <c r="X657" s="2483"/>
      <c r="Y657" s="2483"/>
      <c r="Z657" s="2483"/>
      <c r="AA657" s="2483"/>
      <c r="AB657" s="2483"/>
      <c r="AC657" s="2483"/>
      <c r="AD657" s="2483"/>
      <c r="AE657" s="535"/>
      <c r="AF657" s="2466" t="s">
        <v>1344</v>
      </c>
      <c r="AG657" s="2466"/>
      <c r="AH657" s="2466"/>
      <c r="AI657" s="2466"/>
      <c r="AJ657" s="2466"/>
      <c r="AK657" s="2466"/>
      <c r="AL657" s="2466"/>
      <c r="AN657" s="594"/>
    </row>
    <row r="658" spans="1:42" s="548" customFormat="1" ht="12.75" customHeight="1">
      <c r="B658" s="535"/>
      <c r="C658" s="535"/>
      <c r="D658" s="658"/>
      <c r="E658" s="2483"/>
      <c r="F658" s="2483"/>
      <c r="G658" s="2483"/>
      <c r="H658" s="2483"/>
      <c r="I658" s="2483"/>
      <c r="J658" s="2483"/>
      <c r="K658" s="2483"/>
      <c r="L658" s="2483"/>
      <c r="M658" s="2483"/>
      <c r="N658" s="2483"/>
      <c r="O658" s="2483"/>
      <c r="P658" s="2483"/>
      <c r="Q658" s="2483"/>
      <c r="R658" s="2483"/>
      <c r="S658" s="2483"/>
      <c r="T658" s="2483"/>
      <c r="U658" s="2483"/>
      <c r="V658" s="2483"/>
      <c r="W658" s="2483"/>
      <c r="X658" s="2483"/>
      <c r="Y658" s="2483"/>
      <c r="Z658" s="2483"/>
      <c r="AA658" s="2483"/>
      <c r="AB658" s="2483"/>
      <c r="AC658" s="2483"/>
      <c r="AD658" s="2483"/>
      <c r="AE658" s="591"/>
      <c r="AF658" s="591"/>
      <c r="AG658" s="591"/>
      <c r="AH658" s="591"/>
      <c r="AI658" s="591"/>
      <c r="AJ658" s="591"/>
      <c r="AK658" s="591"/>
      <c r="AL658" s="591"/>
      <c r="AN658" s="594"/>
    </row>
    <row r="659" spans="1:42" s="548" customFormat="1" ht="12.75" customHeight="1">
      <c r="B659" s="613"/>
      <c r="C659" s="935"/>
      <c r="D659" s="658"/>
      <c r="E659" s="613"/>
      <c r="F659" s="613"/>
      <c r="G659" s="613"/>
      <c r="H659" s="613"/>
      <c r="I659" s="613"/>
      <c r="J659" s="613"/>
      <c r="K659" s="613"/>
      <c r="L659" s="613"/>
      <c r="M659" s="613"/>
      <c r="N659" s="613"/>
      <c r="O659" s="613"/>
      <c r="P659" s="613"/>
      <c r="Q659" s="613"/>
      <c r="R659" s="613"/>
      <c r="S659" s="613"/>
      <c r="T659" s="613"/>
      <c r="U659" s="613"/>
      <c r="V659" s="613"/>
      <c r="W659" s="613"/>
      <c r="X659" s="613"/>
      <c r="Y659" s="613"/>
      <c r="Z659" s="613"/>
      <c r="AA659" s="613"/>
      <c r="AB659" s="613"/>
      <c r="AC659" s="535"/>
      <c r="AD659" s="535"/>
      <c r="AE659" s="613"/>
      <c r="AF659" s="535"/>
      <c r="AG659" s="535"/>
      <c r="AH659" s="535"/>
      <c r="AI659" s="535"/>
      <c r="AJ659" s="535"/>
      <c r="AK659" s="535"/>
      <c r="AL659" s="535"/>
      <c r="AN659" s="594"/>
    </row>
    <row r="660" spans="1:42" s="548" customFormat="1" ht="12.75" customHeight="1">
      <c r="B660" s="535"/>
      <c r="C660" s="926"/>
      <c r="D660" s="658" t="s">
        <v>507</v>
      </c>
      <c r="E660" s="613" t="s">
        <v>1403</v>
      </c>
      <c r="F660" s="613"/>
      <c r="G660" s="613"/>
      <c r="H660" s="613"/>
      <c r="I660" s="613"/>
      <c r="J660" s="613"/>
      <c r="K660" s="613"/>
      <c r="L660" s="613"/>
      <c r="M660" s="613"/>
      <c r="N660" s="613"/>
      <c r="O660" s="613"/>
      <c r="P660" s="613"/>
      <c r="Q660" s="613"/>
      <c r="R660" s="613"/>
      <c r="S660" s="613"/>
      <c r="T660" s="613"/>
      <c r="U660" s="613"/>
      <c r="V660" s="613"/>
      <c r="W660" s="613"/>
      <c r="X660" s="613"/>
      <c r="Y660" s="613"/>
      <c r="Z660" s="613"/>
      <c r="AA660" s="613"/>
      <c r="AB660" s="613"/>
      <c r="AC660" s="535"/>
      <c r="AD660" s="535"/>
      <c r="AE660" s="535"/>
      <c r="AF660" s="2466" t="s">
        <v>1398</v>
      </c>
      <c r="AG660" s="2466"/>
      <c r="AH660" s="2466"/>
      <c r="AI660" s="2466"/>
      <c r="AJ660" s="2466"/>
      <c r="AK660" s="2466"/>
      <c r="AL660" s="2466"/>
      <c r="AN660" s="594"/>
    </row>
    <row r="661" spans="1:42" s="548" customFormat="1" ht="12.75" customHeight="1">
      <c r="B661" s="535"/>
      <c r="C661" s="926"/>
      <c r="D661" s="658"/>
      <c r="E661" s="613" t="s">
        <v>1404</v>
      </c>
      <c r="F661" s="613"/>
      <c r="G661" s="613"/>
      <c r="H661" s="613"/>
      <c r="I661" s="613"/>
      <c r="J661" s="613"/>
      <c r="K661" s="613"/>
      <c r="L661" s="613"/>
      <c r="M661" s="613"/>
      <c r="N661" s="613"/>
      <c r="O661" s="613"/>
      <c r="P661" s="613"/>
      <c r="Q661" s="613"/>
      <c r="R661" s="613"/>
      <c r="S661" s="613"/>
      <c r="T661" s="613"/>
      <c r="U661" s="613"/>
      <c r="V661" s="613"/>
      <c r="W661" s="613"/>
      <c r="X661" s="613"/>
      <c r="Y661" s="613"/>
      <c r="Z661" s="613"/>
      <c r="AA661" s="613"/>
      <c r="AB661" s="613"/>
      <c r="AC661" s="535"/>
      <c r="AD661" s="535"/>
      <c r="AE661" s="591"/>
      <c r="AF661" s="591"/>
      <c r="AG661" s="591"/>
      <c r="AH661" s="591"/>
      <c r="AI661" s="591"/>
      <c r="AJ661" s="591"/>
      <c r="AK661" s="591"/>
      <c r="AL661" s="591"/>
      <c r="AN661" s="594"/>
    </row>
    <row r="662" spans="1:42" s="548" customFormat="1" ht="12.75" customHeight="1">
      <c r="B662" s="535"/>
      <c r="C662" s="926"/>
      <c r="D662" s="535"/>
      <c r="E662" s="613"/>
      <c r="F662" s="613"/>
      <c r="G662" s="613"/>
      <c r="H662" s="613"/>
      <c r="I662" s="613"/>
      <c r="J662" s="613"/>
      <c r="K662" s="613"/>
      <c r="L662" s="613"/>
      <c r="M662" s="613"/>
      <c r="N662" s="613"/>
      <c r="O662" s="613"/>
      <c r="P662" s="613"/>
      <c r="Q662" s="613"/>
      <c r="R662" s="613"/>
      <c r="S662" s="613"/>
      <c r="T662" s="613"/>
      <c r="U662" s="613"/>
      <c r="V662" s="613"/>
      <c r="W662" s="613"/>
      <c r="X662" s="613"/>
      <c r="Y662" s="613"/>
      <c r="Z662" s="613"/>
      <c r="AA662" s="613"/>
      <c r="AB662" s="613"/>
      <c r="AC662" s="535"/>
      <c r="AD662" s="535"/>
      <c r="AE662" s="535"/>
      <c r="AF662" s="535"/>
      <c r="AG662" s="535"/>
      <c r="AH662" s="535"/>
      <c r="AI662" s="535"/>
      <c r="AJ662" s="535"/>
      <c r="AK662" s="535"/>
      <c r="AL662" s="535"/>
      <c r="AN662" s="594"/>
      <c r="AP662" s="675"/>
    </row>
    <row r="663" spans="1:42" s="548" customFormat="1" ht="12.75" customHeight="1">
      <c r="B663" s="535"/>
      <c r="C663" s="926"/>
      <c r="D663" s="535" t="s">
        <v>1390</v>
      </c>
      <c r="E663" s="931"/>
      <c r="F663" s="931"/>
      <c r="G663" s="931"/>
      <c r="H663" s="2546" t="s">
        <v>685</v>
      </c>
      <c r="I663" s="2546"/>
      <c r="J663" s="613"/>
      <c r="K663" s="613"/>
      <c r="L663" s="613"/>
      <c r="M663" s="613"/>
      <c r="N663" s="613"/>
      <c r="O663" s="613"/>
      <c r="P663" s="613"/>
      <c r="Q663" s="613"/>
      <c r="R663" s="613"/>
      <c r="S663" s="613"/>
      <c r="T663" s="613"/>
      <c r="U663" s="613"/>
      <c r="V663" s="613"/>
      <c r="W663" s="535"/>
      <c r="X663" s="535"/>
      <c r="Y663" s="535"/>
      <c r="Z663" s="535"/>
      <c r="AA663" s="535"/>
      <c r="AB663" s="535"/>
      <c r="AC663" s="535"/>
      <c r="AD663" s="535"/>
      <c r="AE663" s="535"/>
      <c r="AF663" s="535"/>
      <c r="AG663" s="535"/>
      <c r="AH663" s="535"/>
      <c r="AI663" s="535"/>
      <c r="AJ663" s="535"/>
      <c r="AK663" s="535"/>
      <c r="AL663" s="535"/>
      <c r="AN663" s="594"/>
    </row>
    <row r="664" spans="1:42" s="548" customFormat="1" ht="12.75" customHeight="1">
      <c r="B664" s="535"/>
      <c r="C664" s="926"/>
      <c r="D664" s="535"/>
      <c r="E664" s="931"/>
      <c r="F664" s="931"/>
      <c r="G664" s="613"/>
      <c r="H664" s="613"/>
      <c r="I664" s="613"/>
      <c r="J664" s="613"/>
      <c r="K664" s="613"/>
      <c r="L664" s="613"/>
      <c r="M664" s="613"/>
      <c r="N664" s="613"/>
      <c r="O664" s="613"/>
      <c r="P664" s="613"/>
      <c r="Q664" s="613"/>
      <c r="R664" s="613"/>
      <c r="S664" s="613"/>
      <c r="T664" s="613"/>
      <c r="U664" s="613"/>
      <c r="V664" s="613"/>
      <c r="W664" s="613"/>
      <c r="X664" s="613"/>
      <c r="Y664" s="613"/>
      <c r="Z664" s="931"/>
      <c r="AA664" s="931"/>
      <c r="AB664" s="931"/>
      <c r="AC664" s="535"/>
      <c r="AD664" s="535"/>
      <c r="AE664" s="535"/>
      <c r="AF664" s="535"/>
      <c r="AG664" s="535"/>
      <c r="AH664" s="535"/>
      <c r="AI664" s="535"/>
      <c r="AJ664" s="613"/>
      <c r="AK664" s="613"/>
      <c r="AL664" s="613"/>
      <c r="AM664" s="549"/>
      <c r="AN664" s="594"/>
    </row>
    <row r="665" spans="1:42" s="548" customFormat="1" ht="12.75" customHeight="1">
      <c r="A665" s="603"/>
      <c r="B665" s="598"/>
      <c r="C665" s="939"/>
      <c r="D665" s="598"/>
      <c r="E665" s="934"/>
      <c r="F665" s="934"/>
      <c r="G665" s="660"/>
      <c r="H665" s="660"/>
      <c r="I665" s="660"/>
      <c r="J665" s="660"/>
      <c r="K665" s="660"/>
      <c r="L665" s="660"/>
      <c r="M665" s="660"/>
      <c r="N665" s="660"/>
      <c r="O665" s="660"/>
      <c r="P665" s="660"/>
      <c r="Q665" s="660"/>
      <c r="R665" s="660"/>
      <c r="S665" s="660"/>
      <c r="T665" s="660"/>
      <c r="U665" s="660"/>
      <c r="V665" s="660"/>
      <c r="W665" s="660"/>
      <c r="X665" s="660"/>
      <c r="Y665" s="934"/>
      <c r="Z665" s="934"/>
      <c r="AA665" s="934"/>
      <c r="AB665" s="598"/>
      <c r="AC665" s="598"/>
      <c r="AD665" s="598"/>
      <c r="AE665" s="598"/>
      <c r="AF665" s="598"/>
      <c r="AG665" s="598"/>
      <c r="AH665" s="598"/>
      <c r="AI665" s="562" t="s">
        <v>1405</v>
      </c>
      <c r="AJ665" s="2491">
        <f>VLOOKUP(H663,AT618:AU620,2,FALSE)</f>
        <v>3</v>
      </c>
      <c r="AK665" s="2493"/>
      <c r="AL665" s="592"/>
      <c r="AN665" s="594"/>
    </row>
    <row r="666" spans="1:42" s="548" customFormat="1" ht="12.75" customHeight="1">
      <c r="B666" s="535"/>
      <c r="C666" s="926"/>
      <c r="D666" s="535"/>
      <c r="E666" s="535"/>
      <c r="F666" s="535"/>
      <c r="G666" s="535"/>
      <c r="H666" s="535"/>
      <c r="I666" s="535"/>
      <c r="J666" s="535"/>
      <c r="K666" s="535"/>
      <c r="L666" s="535"/>
      <c r="M666" s="535"/>
      <c r="N666" s="535"/>
      <c r="O666" s="535"/>
      <c r="P666" s="535"/>
      <c r="Q666" s="535"/>
      <c r="R666" s="535"/>
      <c r="S666" s="535"/>
      <c r="T666" s="535"/>
      <c r="U666" s="535"/>
      <c r="V666" s="535"/>
      <c r="W666" s="535"/>
      <c r="X666" s="535"/>
      <c r="Y666" s="535"/>
      <c r="Z666" s="535"/>
      <c r="AA666" s="535"/>
      <c r="AB666" s="535"/>
      <c r="AC666" s="535"/>
      <c r="AD666" s="535"/>
      <c r="AE666" s="535"/>
      <c r="AF666" s="535"/>
      <c r="AG666" s="535"/>
      <c r="AH666" s="535"/>
      <c r="AI666" s="535"/>
      <c r="AJ666" s="535"/>
      <c r="AK666" s="535"/>
      <c r="AL666" s="535"/>
      <c r="AN666" s="594"/>
    </row>
    <row r="667" spans="1:42" s="548" customFormat="1" ht="12.75" customHeight="1">
      <c r="B667" s="535"/>
      <c r="C667" s="538" t="s">
        <v>1406</v>
      </c>
      <c r="D667" s="535"/>
      <c r="E667" s="535"/>
      <c r="F667" s="535"/>
      <c r="G667" s="535"/>
      <c r="H667" s="535"/>
      <c r="I667" s="535"/>
      <c r="J667" s="535"/>
      <c r="K667" s="535"/>
      <c r="L667" s="535"/>
      <c r="M667" s="535"/>
      <c r="N667" s="535"/>
      <c r="O667" s="535"/>
      <c r="P667" s="535"/>
      <c r="Q667" s="535"/>
      <c r="R667" s="535"/>
      <c r="S667" s="535"/>
      <c r="T667" s="535"/>
      <c r="U667" s="535"/>
      <c r="V667" s="535"/>
      <c r="W667" s="535"/>
      <c r="X667" s="535"/>
      <c r="Y667" s="535"/>
      <c r="Z667" s="535"/>
      <c r="AA667" s="535"/>
      <c r="AB667" s="535"/>
      <c r="AC667" s="535"/>
      <c r="AD667" s="535"/>
      <c r="AE667" s="535"/>
      <c r="AF667" s="535"/>
      <c r="AG667" s="535"/>
      <c r="AH667" s="535"/>
      <c r="AI667" s="535"/>
      <c r="AJ667" s="535"/>
      <c r="AK667" s="535"/>
      <c r="AL667" s="535"/>
      <c r="AN667" s="594"/>
    </row>
    <row r="668" spans="1:42" s="548" customFormat="1" ht="12.75" customHeight="1">
      <c r="B668" s="535"/>
      <c r="C668" s="538"/>
      <c r="D668" s="677" t="s">
        <v>1407</v>
      </c>
      <c r="E668" s="535"/>
      <c r="F668" s="535"/>
      <c r="G668" s="535"/>
      <c r="H668" s="535"/>
      <c r="I668" s="535"/>
      <c r="J668" s="535"/>
      <c r="K668" s="535"/>
      <c r="L668" s="535"/>
      <c r="M668" s="535"/>
      <c r="N668" s="535"/>
      <c r="O668" s="535"/>
      <c r="P668" s="535"/>
      <c r="Q668" s="535"/>
      <c r="R668" s="535"/>
      <c r="S668" s="535"/>
      <c r="T668" s="535"/>
      <c r="U668" s="535"/>
      <c r="V668" s="535"/>
      <c r="W668" s="535"/>
      <c r="X668" s="535"/>
      <c r="Y668" s="535"/>
      <c r="Z668" s="535"/>
      <c r="AA668" s="535"/>
      <c r="AB668" s="535"/>
      <c r="AC668" s="535"/>
      <c r="AD668" s="535"/>
      <c r="AE668" s="535"/>
      <c r="AF668" s="535"/>
      <c r="AG668" s="535"/>
      <c r="AH668" s="535"/>
      <c r="AI668" s="535"/>
      <c r="AJ668" s="535"/>
      <c r="AK668" s="535"/>
      <c r="AL668" s="535"/>
      <c r="AN668" s="594"/>
    </row>
    <row r="669" spans="1:42" s="548" customFormat="1" ht="12.75" customHeight="1">
      <c r="B669" s="535"/>
      <c r="C669" s="538"/>
      <c r="D669" s="535"/>
      <c r="E669" s="535"/>
      <c r="F669" s="535"/>
      <c r="G669" s="535"/>
      <c r="H669" s="535"/>
      <c r="I669" s="535"/>
      <c r="J669" s="535"/>
      <c r="K669" s="535"/>
      <c r="L669" s="535"/>
      <c r="M669" s="535"/>
      <c r="N669" s="535"/>
      <c r="O669" s="535"/>
      <c r="P669" s="535"/>
      <c r="Q669" s="535"/>
      <c r="R669" s="535"/>
      <c r="S669" s="535"/>
      <c r="T669" s="535"/>
      <c r="U669" s="535"/>
      <c r="V669" s="535"/>
      <c r="W669" s="535"/>
      <c r="X669" s="535"/>
      <c r="Y669" s="535"/>
      <c r="Z669" s="535"/>
      <c r="AA669" s="535"/>
      <c r="AB669" s="535"/>
      <c r="AC669" s="535"/>
      <c r="AD669" s="535"/>
      <c r="AE669" s="535"/>
      <c r="AF669" s="535"/>
      <c r="AG669" s="535"/>
      <c r="AH669" s="535"/>
      <c r="AI669" s="535"/>
      <c r="AJ669" s="535"/>
      <c r="AK669" s="535"/>
      <c r="AL669" s="535"/>
      <c r="AN669" s="594"/>
    </row>
    <row r="670" spans="1:42" s="548" customFormat="1" ht="12.75" customHeight="1">
      <c r="B670" s="535"/>
      <c r="C670" s="538"/>
      <c r="D670" s="658" t="s">
        <v>685</v>
      </c>
      <c r="E670" s="2483" t="s">
        <v>1408</v>
      </c>
      <c r="F670" s="2483"/>
      <c r="G670" s="2483"/>
      <c r="H670" s="2483"/>
      <c r="I670" s="2483"/>
      <c r="J670" s="2483"/>
      <c r="K670" s="2483"/>
      <c r="L670" s="2483"/>
      <c r="M670" s="2483"/>
      <c r="N670" s="2483"/>
      <c r="O670" s="2483"/>
      <c r="P670" s="2483"/>
      <c r="Q670" s="2483"/>
      <c r="R670" s="2483"/>
      <c r="S670" s="2483"/>
      <c r="T670" s="2483"/>
      <c r="U670" s="2483"/>
      <c r="V670" s="2483"/>
      <c r="W670" s="2483"/>
      <c r="X670" s="2483"/>
      <c r="Y670" s="2483"/>
      <c r="Z670" s="2483"/>
      <c r="AA670" s="2483"/>
      <c r="AB670" s="2483"/>
      <c r="AC670" s="2483"/>
      <c r="AD670" s="535"/>
      <c r="AE670" s="535"/>
      <c r="AF670" s="2466" t="s">
        <v>1369</v>
      </c>
      <c r="AG670" s="2466"/>
      <c r="AH670" s="2466"/>
      <c r="AI670" s="2466"/>
      <c r="AJ670" s="2466"/>
      <c r="AK670" s="2466"/>
      <c r="AL670" s="2466"/>
      <c r="AN670" s="594"/>
    </row>
    <row r="671" spans="1:42" s="548" customFormat="1" ht="12.75" customHeight="1">
      <c r="B671" s="535"/>
      <c r="C671" s="538"/>
      <c r="D671" s="535"/>
      <c r="E671" s="2483"/>
      <c r="F671" s="2483"/>
      <c r="G671" s="2483"/>
      <c r="H671" s="2483"/>
      <c r="I671" s="2483"/>
      <c r="J671" s="2483"/>
      <c r="K671" s="2483"/>
      <c r="L671" s="2483"/>
      <c r="M671" s="2483"/>
      <c r="N671" s="2483"/>
      <c r="O671" s="2483"/>
      <c r="P671" s="2483"/>
      <c r="Q671" s="2483"/>
      <c r="R671" s="2483"/>
      <c r="S671" s="2483"/>
      <c r="T671" s="2483"/>
      <c r="U671" s="2483"/>
      <c r="V671" s="2483"/>
      <c r="W671" s="2483"/>
      <c r="X671" s="2483"/>
      <c r="Y671" s="2483"/>
      <c r="Z671" s="2483"/>
      <c r="AA671" s="2483"/>
      <c r="AB671" s="2483"/>
      <c r="AC671" s="2483"/>
      <c r="AD671" s="535"/>
      <c r="AE671" s="535"/>
      <c r="AF671" s="535"/>
      <c r="AG671" s="535"/>
      <c r="AH671" s="535"/>
      <c r="AI671" s="535"/>
      <c r="AJ671" s="535"/>
      <c r="AK671" s="535"/>
      <c r="AL671" s="535"/>
      <c r="AN671" s="594"/>
    </row>
    <row r="672" spans="1:42" s="548" customFormat="1" ht="12.75" customHeight="1">
      <c r="B672" s="535"/>
      <c r="C672" s="538"/>
      <c r="D672" s="658"/>
      <c r="E672" s="2483"/>
      <c r="F672" s="2483"/>
      <c r="G672" s="2483"/>
      <c r="H672" s="2483"/>
      <c r="I672" s="2483"/>
      <c r="J672" s="2483"/>
      <c r="K672" s="2483"/>
      <c r="L672" s="2483"/>
      <c r="M672" s="2483"/>
      <c r="N672" s="2483"/>
      <c r="O672" s="2483"/>
      <c r="P672" s="2483"/>
      <c r="Q672" s="2483"/>
      <c r="R672" s="2483"/>
      <c r="S672" s="2483"/>
      <c r="T672" s="2483"/>
      <c r="U672" s="2483"/>
      <c r="V672" s="2483"/>
      <c r="W672" s="2483"/>
      <c r="X672" s="2483"/>
      <c r="Y672" s="2483"/>
      <c r="Z672" s="2483"/>
      <c r="AA672" s="2483"/>
      <c r="AB672" s="2483"/>
      <c r="AC672" s="2483"/>
      <c r="AD672" s="535"/>
      <c r="AE672" s="535"/>
      <c r="AF672" s="535"/>
      <c r="AG672" s="535"/>
      <c r="AH672" s="535"/>
      <c r="AI672" s="535"/>
      <c r="AJ672" s="535"/>
      <c r="AK672" s="535"/>
      <c r="AL672" s="535"/>
      <c r="AN672" s="594"/>
    </row>
    <row r="673" spans="1:42" s="548" customFormat="1" ht="15" customHeight="1">
      <c r="B673" s="535"/>
      <c r="C673" s="538"/>
      <c r="D673" s="535"/>
      <c r="E673" s="941"/>
      <c r="F673" s="941"/>
      <c r="G673" s="941"/>
      <c r="H673" s="941"/>
      <c r="I673" s="941"/>
      <c r="J673" s="941"/>
      <c r="K673" s="941"/>
      <c r="L673" s="941"/>
      <c r="M673" s="941"/>
      <c r="N673" s="941"/>
      <c r="O673" s="941"/>
      <c r="P673" s="941"/>
      <c r="Q673" s="941"/>
      <c r="R673" s="941"/>
      <c r="S673" s="941"/>
      <c r="T673" s="941"/>
      <c r="U673" s="941"/>
      <c r="V673" s="941"/>
      <c r="W673" s="941"/>
      <c r="X673" s="941"/>
      <c r="Y673" s="941"/>
      <c r="Z673" s="941"/>
      <c r="AA673" s="941"/>
      <c r="AB673" s="941"/>
      <c r="AC673" s="535"/>
      <c r="AD673" s="535"/>
      <c r="AE673" s="535"/>
      <c r="AF673" s="535"/>
      <c r="AG673" s="535"/>
      <c r="AH673" s="535"/>
      <c r="AI673" s="535"/>
      <c r="AJ673" s="535"/>
      <c r="AK673" s="535"/>
      <c r="AL673" s="535"/>
      <c r="AN673" s="594"/>
    </row>
    <row r="674" spans="1:42" s="548" customFormat="1" ht="12.75" customHeight="1">
      <c r="B674" s="535"/>
      <c r="C674" s="538"/>
      <c r="D674" s="658" t="s">
        <v>507</v>
      </c>
      <c r="E674" s="2483" t="s">
        <v>1409</v>
      </c>
      <c r="F674" s="2483"/>
      <c r="G674" s="2483"/>
      <c r="H674" s="2483"/>
      <c r="I674" s="2483"/>
      <c r="J674" s="2483"/>
      <c r="K674" s="2483"/>
      <c r="L674" s="2483"/>
      <c r="M674" s="2483"/>
      <c r="N674" s="2483"/>
      <c r="O674" s="2483"/>
      <c r="P674" s="2483"/>
      <c r="Q674" s="2483"/>
      <c r="R674" s="2483"/>
      <c r="S674" s="2483"/>
      <c r="T674" s="2483"/>
      <c r="U674" s="2483"/>
      <c r="V674" s="2483"/>
      <c r="W674" s="2483"/>
      <c r="X674" s="2483"/>
      <c r="Y674" s="2483"/>
      <c r="Z674" s="2483"/>
      <c r="AA674" s="2483"/>
      <c r="AB674" s="2483"/>
      <c r="AC674" s="2483"/>
      <c r="AD674" s="535"/>
      <c r="AE674" s="535"/>
      <c r="AF674" s="2466" t="s">
        <v>1389</v>
      </c>
      <c r="AG674" s="2466"/>
      <c r="AH674" s="2466"/>
      <c r="AI674" s="2466"/>
      <c r="AJ674" s="2466"/>
      <c r="AK674" s="2466"/>
      <c r="AL674" s="2466"/>
      <c r="AN674" s="594"/>
    </row>
    <row r="675" spans="1:42" s="548" customFormat="1" ht="12.75" customHeight="1">
      <c r="B675" s="535"/>
      <c r="C675" s="538"/>
      <c r="D675" s="535"/>
      <c r="E675" s="2483"/>
      <c r="F675" s="2483"/>
      <c r="G675" s="2483"/>
      <c r="H675" s="2483"/>
      <c r="I675" s="2483"/>
      <c r="J675" s="2483"/>
      <c r="K675" s="2483"/>
      <c r="L675" s="2483"/>
      <c r="M675" s="2483"/>
      <c r="N675" s="2483"/>
      <c r="O675" s="2483"/>
      <c r="P675" s="2483"/>
      <c r="Q675" s="2483"/>
      <c r="R675" s="2483"/>
      <c r="S675" s="2483"/>
      <c r="T675" s="2483"/>
      <c r="U675" s="2483"/>
      <c r="V675" s="2483"/>
      <c r="W675" s="2483"/>
      <c r="X675" s="2483"/>
      <c r="Y675" s="2483"/>
      <c r="Z675" s="2483"/>
      <c r="AA675" s="2483"/>
      <c r="AB675" s="2483"/>
      <c r="AC675" s="2483"/>
      <c r="AD675" s="535"/>
      <c r="AE675" s="535"/>
      <c r="AF675" s="535"/>
      <c r="AG675" s="535"/>
      <c r="AH675" s="535"/>
      <c r="AI675" s="535"/>
      <c r="AJ675" s="535"/>
      <c r="AK675" s="535"/>
      <c r="AL675" s="535"/>
      <c r="AN675" s="594"/>
    </row>
    <row r="676" spans="1:42" s="548" customFormat="1" ht="15" customHeight="1">
      <c r="B676" s="535"/>
      <c r="C676" s="538"/>
      <c r="D676" s="658"/>
      <c r="E676" s="2483"/>
      <c r="F676" s="2483"/>
      <c r="G676" s="2483"/>
      <c r="H676" s="2483"/>
      <c r="I676" s="2483"/>
      <c r="J676" s="2483"/>
      <c r="K676" s="2483"/>
      <c r="L676" s="2483"/>
      <c r="M676" s="2483"/>
      <c r="N676" s="2483"/>
      <c r="O676" s="2483"/>
      <c r="P676" s="2483"/>
      <c r="Q676" s="2483"/>
      <c r="R676" s="2483"/>
      <c r="S676" s="2483"/>
      <c r="T676" s="2483"/>
      <c r="U676" s="2483"/>
      <c r="V676" s="2483"/>
      <c r="W676" s="2483"/>
      <c r="X676" s="2483"/>
      <c r="Y676" s="2483"/>
      <c r="Z676" s="2483"/>
      <c r="AA676" s="2483"/>
      <c r="AB676" s="2483"/>
      <c r="AC676" s="2483"/>
      <c r="AD676" s="535"/>
      <c r="AE676" s="535"/>
      <c r="AF676" s="535"/>
      <c r="AG676" s="535"/>
      <c r="AH676" s="535"/>
      <c r="AI676" s="535"/>
      <c r="AJ676" s="535"/>
      <c r="AK676" s="535"/>
      <c r="AL676" s="535"/>
      <c r="AN676" s="594"/>
    </row>
    <row r="677" spans="1:42" s="548" customFormat="1" ht="12.75" customHeight="1">
      <c r="B677" s="535"/>
      <c r="C677" s="538"/>
      <c r="D677" s="535"/>
      <c r="E677" s="941"/>
      <c r="F677" s="941"/>
      <c r="G677" s="941"/>
      <c r="H677" s="941"/>
      <c r="I677" s="941"/>
      <c r="J677" s="941"/>
      <c r="K677" s="941"/>
      <c r="L677" s="941"/>
      <c r="M677" s="941"/>
      <c r="N677" s="941"/>
      <c r="O677" s="941"/>
      <c r="P677" s="941"/>
      <c r="Q677" s="941"/>
      <c r="R677" s="941"/>
      <c r="S677" s="941"/>
      <c r="T677" s="941"/>
      <c r="U677" s="941"/>
      <c r="V677" s="941"/>
      <c r="W677" s="941"/>
      <c r="X677" s="941"/>
      <c r="Y677" s="941"/>
      <c r="Z677" s="941"/>
      <c r="AA677" s="941"/>
      <c r="AB677" s="941"/>
      <c r="AC677" s="535"/>
      <c r="AD677" s="535"/>
      <c r="AE677" s="535"/>
      <c r="AF677" s="535"/>
      <c r="AG677" s="535"/>
      <c r="AH677" s="535"/>
      <c r="AI677" s="535"/>
      <c r="AJ677" s="535"/>
      <c r="AK677" s="535"/>
      <c r="AL677" s="535"/>
      <c r="AN677" s="594"/>
    </row>
    <row r="678" spans="1:42" s="548" customFormat="1" ht="12.75" customHeight="1">
      <c r="B678" s="535"/>
      <c r="C678" s="538"/>
      <c r="D678" s="658" t="s">
        <v>277</v>
      </c>
      <c r="E678" s="2483" t="s">
        <v>1410</v>
      </c>
      <c r="F678" s="2483"/>
      <c r="G678" s="2483"/>
      <c r="H678" s="2483"/>
      <c r="I678" s="2483"/>
      <c r="J678" s="2483"/>
      <c r="K678" s="2483"/>
      <c r="L678" s="2483"/>
      <c r="M678" s="2483"/>
      <c r="N678" s="2483"/>
      <c r="O678" s="2483"/>
      <c r="P678" s="2483"/>
      <c r="Q678" s="2483"/>
      <c r="R678" s="2483"/>
      <c r="S678" s="2483"/>
      <c r="T678" s="2483"/>
      <c r="U678" s="2483"/>
      <c r="V678" s="2483"/>
      <c r="W678" s="2483"/>
      <c r="X678" s="2483"/>
      <c r="Y678" s="2483"/>
      <c r="Z678" s="2483"/>
      <c r="AA678" s="2483"/>
      <c r="AB678" s="2483"/>
      <c r="AC678" s="2483"/>
      <c r="AD678" s="535"/>
      <c r="AE678" s="535"/>
      <c r="AF678" s="2466" t="s">
        <v>1344</v>
      </c>
      <c r="AG678" s="2466"/>
      <c r="AH678" s="2466"/>
      <c r="AI678" s="2466"/>
      <c r="AJ678" s="2466"/>
      <c r="AK678" s="2466"/>
      <c r="AL678" s="2466"/>
      <c r="AN678" s="594"/>
    </row>
    <row r="679" spans="1:42" s="548" customFormat="1" ht="12.75" customHeight="1">
      <c r="B679" s="535"/>
      <c r="C679" s="926"/>
      <c r="D679" s="535"/>
      <c r="E679" s="2483"/>
      <c r="F679" s="2483"/>
      <c r="G679" s="2483"/>
      <c r="H679" s="2483"/>
      <c r="I679" s="2483"/>
      <c r="J679" s="2483"/>
      <c r="K679" s="2483"/>
      <c r="L679" s="2483"/>
      <c r="M679" s="2483"/>
      <c r="N679" s="2483"/>
      <c r="O679" s="2483"/>
      <c r="P679" s="2483"/>
      <c r="Q679" s="2483"/>
      <c r="R679" s="2483"/>
      <c r="S679" s="2483"/>
      <c r="T679" s="2483"/>
      <c r="U679" s="2483"/>
      <c r="V679" s="2483"/>
      <c r="W679" s="2483"/>
      <c r="X679" s="2483"/>
      <c r="Y679" s="2483"/>
      <c r="Z679" s="2483"/>
      <c r="AA679" s="2483"/>
      <c r="AB679" s="2483"/>
      <c r="AC679" s="2483"/>
      <c r="AD679" s="535"/>
      <c r="AE679" s="2466"/>
      <c r="AF679" s="2466"/>
      <c r="AG679" s="2466"/>
      <c r="AH679" s="2466"/>
      <c r="AI679" s="2466"/>
      <c r="AJ679" s="2466"/>
      <c r="AK679" s="2466"/>
      <c r="AL679" s="591"/>
      <c r="AN679" s="594"/>
      <c r="AO679" s="548" t="s">
        <v>589</v>
      </c>
      <c r="AP679" s="668">
        <v>0</v>
      </c>
    </row>
    <row r="680" spans="1:42" s="548" customFormat="1" ht="12.75" customHeight="1">
      <c r="A680" s="674"/>
      <c r="B680" s="535"/>
      <c r="C680" s="535"/>
      <c r="D680" s="658"/>
      <c r="E680" s="2483"/>
      <c r="F680" s="2483"/>
      <c r="G680" s="2483"/>
      <c r="H680" s="2483"/>
      <c r="I680" s="2483"/>
      <c r="J680" s="2483"/>
      <c r="K680" s="2483"/>
      <c r="L680" s="2483"/>
      <c r="M680" s="2483"/>
      <c r="N680" s="2483"/>
      <c r="O680" s="2483"/>
      <c r="P680" s="2483"/>
      <c r="Q680" s="2483"/>
      <c r="R680" s="2483"/>
      <c r="S680" s="2483"/>
      <c r="T680" s="2483"/>
      <c r="U680" s="2483"/>
      <c r="V680" s="2483"/>
      <c r="W680" s="2483"/>
      <c r="X680" s="2483"/>
      <c r="Y680" s="2483"/>
      <c r="Z680" s="2483"/>
      <c r="AA680" s="2483"/>
      <c r="AB680" s="2483"/>
      <c r="AC680" s="2483"/>
      <c r="AD680" s="535"/>
      <c r="AE680" s="535"/>
      <c r="AF680" s="535"/>
      <c r="AG680" s="535"/>
      <c r="AH680" s="535"/>
      <c r="AI680" s="535"/>
      <c r="AJ680" s="535"/>
      <c r="AK680" s="535"/>
      <c r="AL680" s="535"/>
      <c r="AN680" s="594"/>
      <c r="AO680" s="608" t="s">
        <v>685</v>
      </c>
      <c r="AP680" s="548">
        <v>3</v>
      </c>
    </row>
    <row r="681" spans="1:42" s="548" customFormat="1" ht="12.75" customHeight="1">
      <c r="B681" s="535"/>
      <c r="C681" s="926"/>
      <c r="D681" s="658"/>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c r="AA681" s="572"/>
      <c r="AB681" s="572"/>
      <c r="AC681" s="535"/>
      <c r="AD681" s="535"/>
      <c r="AE681" s="535"/>
      <c r="AF681" s="535"/>
      <c r="AG681" s="535"/>
      <c r="AH681" s="535"/>
      <c r="AI681" s="535"/>
      <c r="AJ681" s="535"/>
      <c r="AK681" s="535"/>
      <c r="AL681" s="535"/>
      <c r="AN681" s="594"/>
      <c r="AO681" s="608" t="s">
        <v>507</v>
      </c>
      <c r="AP681" s="548">
        <v>2</v>
      </c>
    </row>
    <row r="682" spans="1:42" s="548" customFormat="1" ht="12.75" customHeight="1">
      <c r="A682" s="665"/>
      <c r="B682" s="535"/>
      <c r="C682" s="942"/>
      <c r="D682" s="658" t="s">
        <v>1387</v>
      </c>
      <c r="E682" s="2483" t="s">
        <v>1411</v>
      </c>
      <c r="F682" s="2483"/>
      <c r="G682" s="2483"/>
      <c r="H682" s="2483"/>
      <c r="I682" s="2483"/>
      <c r="J682" s="2483"/>
      <c r="K682" s="2483"/>
      <c r="L682" s="2483"/>
      <c r="M682" s="2483"/>
      <c r="N682" s="2483"/>
      <c r="O682" s="2483"/>
      <c r="P682" s="2483"/>
      <c r="Q682" s="2483"/>
      <c r="R682" s="2483"/>
      <c r="S682" s="2483"/>
      <c r="T682" s="2483"/>
      <c r="U682" s="2483"/>
      <c r="V682" s="2483"/>
      <c r="W682" s="2483"/>
      <c r="X682" s="2483"/>
      <c r="Y682" s="2483"/>
      <c r="Z682" s="2483"/>
      <c r="AA682" s="2483"/>
      <c r="AB682" s="2483"/>
      <c r="AC682" s="2483"/>
      <c r="AD682" s="535"/>
      <c r="AE682" s="535"/>
      <c r="AF682" s="2466" t="s">
        <v>1389</v>
      </c>
      <c r="AG682" s="2466"/>
      <c r="AH682" s="2466"/>
      <c r="AI682" s="2466"/>
      <c r="AJ682" s="2466"/>
      <c r="AK682" s="2466"/>
      <c r="AL682" s="2466"/>
      <c r="AN682" s="594"/>
    </row>
    <row r="683" spans="1:42" s="548" customFormat="1" ht="12.75" customHeight="1">
      <c r="A683" s="665"/>
      <c r="B683" s="535"/>
      <c r="C683" s="942"/>
      <c r="D683" s="658"/>
      <c r="E683" s="2483"/>
      <c r="F683" s="2483"/>
      <c r="G683" s="2483"/>
      <c r="H683" s="2483"/>
      <c r="I683" s="2483"/>
      <c r="J683" s="2483"/>
      <c r="K683" s="2483"/>
      <c r="L683" s="2483"/>
      <c r="M683" s="2483"/>
      <c r="N683" s="2483"/>
      <c r="O683" s="2483"/>
      <c r="P683" s="2483"/>
      <c r="Q683" s="2483"/>
      <c r="R683" s="2483"/>
      <c r="S683" s="2483"/>
      <c r="T683" s="2483"/>
      <c r="U683" s="2483"/>
      <c r="V683" s="2483"/>
      <c r="W683" s="2483"/>
      <c r="X683" s="2483"/>
      <c r="Y683" s="2483"/>
      <c r="Z683" s="2483"/>
      <c r="AA683" s="2483"/>
      <c r="AB683" s="2483"/>
      <c r="AC683" s="2483"/>
      <c r="AD683" s="535"/>
      <c r="AE683" s="591"/>
      <c r="AF683" s="591"/>
      <c r="AG683" s="591"/>
      <c r="AH683" s="591"/>
      <c r="AI683" s="591"/>
      <c r="AJ683" s="591"/>
      <c r="AK683" s="591"/>
      <c r="AL683" s="591"/>
      <c r="AM683" s="593"/>
      <c r="AN683" s="594"/>
    </row>
    <row r="684" spans="1:42" s="548" customFormat="1" ht="12.75" customHeight="1">
      <c r="A684" s="665"/>
      <c r="B684" s="535"/>
      <c r="C684" s="942"/>
      <c r="D684" s="658"/>
      <c r="E684" s="2483"/>
      <c r="F684" s="2483"/>
      <c r="G684" s="2483"/>
      <c r="H684" s="2483"/>
      <c r="I684" s="2483"/>
      <c r="J684" s="2483"/>
      <c r="K684" s="2483"/>
      <c r="L684" s="2483"/>
      <c r="M684" s="2483"/>
      <c r="N684" s="2483"/>
      <c r="O684" s="2483"/>
      <c r="P684" s="2483"/>
      <c r="Q684" s="2483"/>
      <c r="R684" s="2483"/>
      <c r="S684" s="2483"/>
      <c r="T684" s="2483"/>
      <c r="U684" s="2483"/>
      <c r="V684" s="2483"/>
      <c r="W684" s="2483"/>
      <c r="X684" s="2483"/>
      <c r="Y684" s="2483"/>
      <c r="Z684" s="2483"/>
      <c r="AA684" s="2483"/>
      <c r="AB684" s="2483"/>
      <c r="AC684" s="2483"/>
      <c r="AD684" s="535"/>
      <c r="AE684" s="591"/>
      <c r="AF684" s="591"/>
      <c r="AG684" s="591"/>
      <c r="AH684" s="591"/>
      <c r="AI684" s="591"/>
      <c r="AJ684" s="591"/>
      <c r="AK684" s="591"/>
      <c r="AL684" s="591"/>
      <c r="AM684" s="593"/>
      <c r="AN684" s="594"/>
    </row>
    <row r="685" spans="1:42" s="548" customFormat="1" ht="12.75" customHeight="1">
      <c r="B685" s="535"/>
      <c r="C685" s="926"/>
      <c r="D685" s="658"/>
      <c r="E685" s="639"/>
      <c r="F685" s="639"/>
      <c r="G685" s="639"/>
      <c r="H685" s="639"/>
      <c r="I685" s="639"/>
      <c r="J685" s="639"/>
      <c r="K685" s="639"/>
      <c r="L685" s="639"/>
      <c r="M685" s="639"/>
      <c r="N685" s="639"/>
      <c r="O685" s="639"/>
      <c r="P685" s="639"/>
      <c r="Q685" s="639"/>
      <c r="R685" s="639"/>
      <c r="S685" s="639"/>
      <c r="T685" s="639"/>
      <c r="U685" s="639"/>
      <c r="V685" s="639"/>
      <c r="W685" s="639"/>
      <c r="X685" s="639"/>
      <c r="Y685" s="639"/>
      <c r="Z685" s="639"/>
      <c r="AA685" s="639"/>
      <c r="AB685" s="639"/>
      <c r="AC685" s="538"/>
      <c r="AD685" s="538"/>
      <c r="AE685" s="535"/>
      <c r="AF685" s="535"/>
      <c r="AG685" s="535"/>
      <c r="AH685" s="535"/>
      <c r="AI685" s="535"/>
      <c r="AJ685" s="535"/>
      <c r="AK685" s="535"/>
      <c r="AL685" s="591"/>
      <c r="AM685" s="593"/>
      <c r="AN685" s="594"/>
    </row>
    <row r="686" spans="1:42" s="548" customFormat="1" ht="12.75" customHeight="1">
      <c r="B686" s="535"/>
      <c r="C686" s="926"/>
      <c r="D686" s="658" t="s">
        <v>1388</v>
      </c>
      <c r="E686" s="2483" t="s">
        <v>1412</v>
      </c>
      <c r="F686" s="2483"/>
      <c r="G686" s="2483"/>
      <c r="H686" s="2483"/>
      <c r="I686" s="2483"/>
      <c r="J686" s="2483"/>
      <c r="K686" s="2483"/>
      <c r="L686" s="2483"/>
      <c r="M686" s="2483"/>
      <c r="N686" s="2483"/>
      <c r="O686" s="2483"/>
      <c r="P686" s="2483"/>
      <c r="Q686" s="2483"/>
      <c r="R686" s="2483"/>
      <c r="S686" s="2483"/>
      <c r="T686" s="2483"/>
      <c r="U686" s="2483"/>
      <c r="V686" s="2483"/>
      <c r="W686" s="2483"/>
      <c r="X686" s="2483"/>
      <c r="Y686" s="2483"/>
      <c r="Z686" s="2483"/>
      <c r="AA686" s="2483"/>
      <c r="AB686" s="2483"/>
      <c r="AC686" s="2483"/>
      <c r="AD686" s="535"/>
      <c r="AE686" s="535"/>
      <c r="AF686" s="2466" t="s">
        <v>1344</v>
      </c>
      <c r="AG686" s="2466"/>
      <c r="AH686" s="2466"/>
      <c r="AI686" s="2466"/>
      <c r="AJ686" s="2466"/>
      <c r="AK686" s="2466"/>
      <c r="AL686" s="2466"/>
      <c r="AM686" s="593"/>
      <c r="AN686" s="594"/>
    </row>
    <row r="687" spans="1:42" s="548" customFormat="1" ht="12.75" customHeight="1">
      <c r="B687" s="535"/>
      <c r="C687" s="926"/>
      <c r="D687" s="658"/>
      <c r="E687" s="2483"/>
      <c r="F687" s="2483"/>
      <c r="G687" s="2483"/>
      <c r="H687" s="2483"/>
      <c r="I687" s="2483"/>
      <c r="J687" s="2483"/>
      <c r="K687" s="2483"/>
      <c r="L687" s="2483"/>
      <c r="M687" s="2483"/>
      <c r="N687" s="2483"/>
      <c r="O687" s="2483"/>
      <c r="P687" s="2483"/>
      <c r="Q687" s="2483"/>
      <c r="R687" s="2483"/>
      <c r="S687" s="2483"/>
      <c r="T687" s="2483"/>
      <c r="U687" s="2483"/>
      <c r="V687" s="2483"/>
      <c r="W687" s="2483"/>
      <c r="X687" s="2483"/>
      <c r="Y687" s="2483"/>
      <c r="Z687" s="2483"/>
      <c r="AA687" s="2483"/>
      <c r="AB687" s="2483"/>
      <c r="AC687" s="2483"/>
      <c r="AD687" s="535"/>
      <c r="AE687" s="535"/>
      <c r="AF687" s="535"/>
      <c r="AG687" s="535"/>
      <c r="AH687" s="535"/>
      <c r="AI687" s="535"/>
      <c r="AJ687" s="535"/>
      <c r="AK687" s="535"/>
      <c r="AL687" s="535"/>
      <c r="AM687" s="593"/>
      <c r="AN687" s="594"/>
    </row>
    <row r="688" spans="1:42" s="548" customFormat="1" ht="12.75" customHeight="1">
      <c r="B688" s="535"/>
      <c r="C688" s="926"/>
      <c r="D688" s="658"/>
      <c r="E688" s="2483"/>
      <c r="F688" s="2483"/>
      <c r="G688" s="2483"/>
      <c r="H688" s="2483"/>
      <c r="I688" s="2483"/>
      <c r="J688" s="2483"/>
      <c r="K688" s="2483"/>
      <c r="L688" s="2483"/>
      <c r="M688" s="2483"/>
      <c r="N688" s="2483"/>
      <c r="O688" s="2483"/>
      <c r="P688" s="2483"/>
      <c r="Q688" s="2483"/>
      <c r="R688" s="2483"/>
      <c r="S688" s="2483"/>
      <c r="T688" s="2483"/>
      <c r="U688" s="2483"/>
      <c r="V688" s="2483"/>
      <c r="W688" s="2483"/>
      <c r="X688" s="2483"/>
      <c r="Y688" s="2483"/>
      <c r="Z688" s="2483"/>
      <c r="AA688" s="2483"/>
      <c r="AB688" s="2483"/>
      <c r="AC688" s="2483"/>
      <c r="AD688" s="535"/>
      <c r="AE688" s="535"/>
      <c r="AF688" s="535"/>
      <c r="AG688" s="535"/>
      <c r="AH688" s="535"/>
      <c r="AI688" s="535"/>
      <c r="AJ688" s="535"/>
      <c r="AK688" s="535"/>
      <c r="AL688" s="535"/>
      <c r="AM688" s="593"/>
      <c r="AN688" s="594"/>
    </row>
    <row r="689" spans="1:50" s="548" customFormat="1" ht="12.75" customHeight="1">
      <c r="B689" s="535"/>
      <c r="C689" s="926"/>
      <c r="D689" s="658"/>
      <c r="E689" s="535"/>
      <c r="F689" s="535"/>
      <c r="G689" s="535"/>
      <c r="H689" s="535"/>
      <c r="I689" s="535"/>
      <c r="J689" s="535"/>
      <c r="K689" s="535"/>
      <c r="L689" s="535"/>
      <c r="M689" s="535"/>
      <c r="N689" s="535"/>
      <c r="O689" s="535"/>
      <c r="P689" s="535"/>
      <c r="Q689" s="535"/>
      <c r="R689" s="535"/>
      <c r="S689" s="535"/>
      <c r="T689" s="535"/>
      <c r="U689" s="535"/>
      <c r="V689" s="535"/>
      <c r="W689" s="535"/>
      <c r="X689" s="535"/>
      <c r="Y689" s="535"/>
      <c r="Z689" s="535"/>
      <c r="AA689" s="535"/>
      <c r="AB689" s="535"/>
      <c r="AC689" s="535"/>
      <c r="AD689" s="535"/>
      <c r="AE689" s="535"/>
      <c r="AF689" s="535"/>
      <c r="AG689" s="535"/>
      <c r="AH689" s="535"/>
      <c r="AI689" s="535"/>
      <c r="AJ689" s="535"/>
      <c r="AK689" s="535"/>
      <c r="AL689" s="535"/>
      <c r="AM689" s="593"/>
      <c r="AN689" s="594"/>
    </row>
    <row r="690" spans="1:50" s="548" customFormat="1" ht="12.75" customHeight="1">
      <c r="A690" s="674"/>
      <c r="B690" s="535"/>
      <c r="C690" s="926"/>
      <c r="D690" s="658" t="s">
        <v>1399</v>
      </c>
      <c r="E690" s="2483" t="s">
        <v>1413</v>
      </c>
      <c r="F690" s="2483"/>
      <c r="G690" s="2483"/>
      <c r="H690" s="2483"/>
      <c r="I690" s="2483"/>
      <c r="J690" s="2483"/>
      <c r="K690" s="2483"/>
      <c r="L690" s="2483"/>
      <c r="M690" s="2483"/>
      <c r="N690" s="2483"/>
      <c r="O690" s="2483"/>
      <c r="P690" s="2483"/>
      <c r="Q690" s="2483"/>
      <c r="R690" s="2483"/>
      <c r="S690" s="2483"/>
      <c r="T690" s="2483"/>
      <c r="U690" s="2483"/>
      <c r="V690" s="2483"/>
      <c r="W690" s="2483"/>
      <c r="X690" s="2483"/>
      <c r="Y690" s="2483"/>
      <c r="Z690" s="2483"/>
      <c r="AA690" s="2483"/>
      <c r="AB690" s="2483"/>
      <c r="AC690" s="2483"/>
      <c r="AD690" s="535"/>
      <c r="AE690" s="535"/>
      <c r="AF690" s="2466" t="s">
        <v>1398</v>
      </c>
      <c r="AG690" s="2466"/>
      <c r="AH690" s="2466"/>
      <c r="AI690" s="2466"/>
      <c r="AJ690" s="2466"/>
      <c r="AK690" s="2466"/>
      <c r="AL690" s="2466"/>
      <c r="AM690" s="593"/>
      <c r="AN690" s="594"/>
    </row>
    <row r="691" spans="1:50" s="548" customFormat="1" ht="12.75" customHeight="1">
      <c r="A691" s="674"/>
      <c r="B691" s="535"/>
      <c r="C691" s="926"/>
      <c r="D691" s="658"/>
      <c r="E691" s="2483"/>
      <c r="F691" s="2483"/>
      <c r="G691" s="2483"/>
      <c r="H691" s="2483"/>
      <c r="I691" s="2483"/>
      <c r="J691" s="2483"/>
      <c r="K691" s="2483"/>
      <c r="L691" s="2483"/>
      <c r="M691" s="2483"/>
      <c r="N691" s="2483"/>
      <c r="O691" s="2483"/>
      <c r="P691" s="2483"/>
      <c r="Q691" s="2483"/>
      <c r="R691" s="2483"/>
      <c r="S691" s="2483"/>
      <c r="T691" s="2483"/>
      <c r="U691" s="2483"/>
      <c r="V691" s="2483"/>
      <c r="W691" s="2483"/>
      <c r="X691" s="2483"/>
      <c r="Y691" s="2483"/>
      <c r="Z691" s="2483"/>
      <c r="AA691" s="2483"/>
      <c r="AB691" s="2483"/>
      <c r="AC691" s="2483"/>
      <c r="AD691" s="535"/>
      <c r="AE691" s="535"/>
      <c r="AF691" s="591"/>
      <c r="AG691" s="591"/>
      <c r="AH691" s="591"/>
      <c r="AI691" s="591"/>
      <c r="AJ691" s="591"/>
      <c r="AK691" s="591"/>
      <c r="AL691" s="591"/>
      <c r="AM691" s="593"/>
      <c r="AN691" s="594"/>
    </row>
    <row r="692" spans="1:50" s="548" customFormat="1" ht="12.75" customHeight="1">
      <c r="A692" s="674"/>
      <c r="B692" s="535"/>
      <c r="C692" s="926"/>
      <c r="D692" s="658"/>
      <c r="E692" s="2483"/>
      <c r="F692" s="2483"/>
      <c r="G692" s="2483"/>
      <c r="H692" s="2483"/>
      <c r="I692" s="2483"/>
      <c r="J692" s="2483"/>
      <c r="K692" s="2483"/>
      <c r="L692" s="2483"/>
      <c r="M692" s="2483"/>
      <c r="N692" s="2483"/>
      <c r="O692" s="2483"/>
      <c r="P692" s="2483"/>
      <c r="Q692" s="2483"/>
      <c r="R692" s="2483"/>
      <c r="S692" s="2483"/>
      <c r="T692" s="2483"/>
      <c r="U692" s="2483"/>
      <c r="V692" s="2483"/>
      <c r="W692" s="2483"/>
      <c r="X692" s="2483"/>
      <c r="Y692" s="2483"/>
      <c r="Z692" s="2483"/>
      <c r="AA692" s="2483"/>
      <c r="AB692" s="2483"/>
      <c r="AC692" s="2483"/>
      <c r="AD692" s="535"/>
      <c r="AE692" s="591"/>
      <c r="AF692" s="591"/>
      <c r="AG692" s="591"/>
      <c r="AH692" s="591"/>
      <c r="AI692" s="591"/>
      <c r="AJ692" s="591"/>
      <c r="AK692" s="591"/>
      <c r="AL692" s="591"/>
      <c r="AM692" s="593"/>
      <c r="AN692" s="594"/>
    </row>
    <row r="693" spans="1:50" s="548" customFormat="1" ht="12.75" customHeight="1">
      <c r="A693" s="674"/>
      <c r="B693" s="535"/>
      <c r="C693" s="926"/>
      <c r="D693" s="658"/>
      <c r="E693" s="639"/>
      <c r="F693" s="639"/>
      <c r="G693" s="639"/>
      <c r="H693" s="639"/>
      <c r="I693" s="639"/>
      <c r="J693" s="639"/>
      <c r="K693" s="639"/>
      <c r="L693" s="639"/>
      <c r="M693" s="639"/>
      <c r="N693" s="639"/>
      <c r="O693" s="639"/>
      <c r="P693" s="639"/>
      <c r="Q693" s="639"/>
      <c r="R693" s="639"/>
      <c r="S693" s="639"/>
      <c r="T693" s="639"/>
      <c r="U693" s="639"/>
      <c r="V693" s="639"/>
      <c r="W693" s="639"/>
      <c r="X693" s="639"/>
      <c r="Y693" s="639"/>
      <c r="Z693" s="639"/>
      <c r="AA693" s="639"/>
      <c r="AB693" s="639"/>
      <c r="AC693" s="639"/>
      <c r="AD693" s="535"/>
      <c r="AE693" s="591"/>
      <c r="AF693" s="535"/>
      <c r="AG693" s="535"/>
      <c r="AH693" s="535"/>
      <c r="AI693" s="535"/>
      <c r="AJ693" s="535"/>
      <c r="AK693" s="535"/>
      <c r="AL693" s="535"/>
      <c r="AM693" s="593"/>
      <c r="AN693" s="594"/>
      <c r="AO693" s="548" t="s">
        <v>589</v>
      </c>
      <c r="AP693" s="634">
        <v>0</v>
      </c>
    </row>
    <row r="694" spans="1:50" s="548" customFormat="1" ht="12.75" customHeight="1">
      <c r="A694" s="674"/>
      <c r="B694" s="535"/>
      <c r="C694" s="926"/>
      <c r="D694" s="658" t="s">
        <v>1401</v>
      </c>
      <c r="E694" s="2483" t="s">
        <v>1414</v>
      </c>
      <c r="F694" s="2483"/>
      <c r="G694" s="2483"/>
      <c r="H694" s="2483"/>
      <c r="I694" s="2483"/>
      <c r="J694" s="2483"/>
      <c r="K694" s="2483"/>
      <c r="L694" s="2483"/>
      <c r="M694" s="2483"/>
      <c r="N694" s="2483"/>
      <c r="O694" s="2483"/>
      <c r="P694" s="2483"/>
      <c r="Q694" s="2483"/>
      <c r="R694" s="2483"/>
      <c r="S694" s="2483"/>
      <c r="T694" s="2483"/>
      <c r="U694" s="2483"/>
      <c r="V694" s="2483"/>
      <c r="W694" s="2483"/>
      <c r="X694" s="2483"/>
      <c r="Y694" s="2483"/>
      <c r="Z694" s="2483"/>
      <c r="AA694" s="2483"/>
      <c r="AB694" s="2483"/>
      <c r="AC694" s="2483"/>
      <c r="AD694" s="535"/>
      <c r="AE694" s="535"/>
      <c r="AF694" s="2466" t="s">
        <v>1415</v>
      </c>
      <c r="AG694" s="2466"/>
      <c r="AH694" s="2466"/>
      <c r="AI694" s="2466"/>
      <c r="AJ694" s="2466"/>
      <c r="AK694" s="2466"/>
      <c r="AL694" s="2466"/>
      <c r="AM694" s="593"/>
      <c r="AN694" s="594"/>
      <c r="AO694" s="608" t="s">
        <v>685</v>
      </c>
      <c r="AP694" s="548">
        <v>3</v>
      </c>
    </row>
    <row r="695" spans="1:50" s="548" customFormat="1" ht="12.75" customHeight="1">
      <c r="A695" s="674"/>
      <c r="B695" s="535"/>
      <c r="C695" s="926"/>
      <c r="D695" s="658"/>
      <c r="E695" s="2483"/>
      <c r="F695" s="2483"/>
      <c r="G695" s="2483"/>
      <c r="H695" s="2483"/>
      <c r="I695" s="2483"/>
      <c r="J695" s="2483"/>
      <c r="K695" s="2483"/>
      <c r="L695" s="2483"/>
      <c r="M695" s="2483"/>
      <c r="N695" s="2483"/>
      <c r="O695" s="2483"/>
      <c r="P695" s="2483"/>
      <c r="Q695" s="2483"/>
      <c r="R695" s="2483"/>
      <c r="S695" s="2483"/>
      <c r="T695" s="2483"/>
      <c r="U695" s="2483"/>
      <c r="V695" s="2483"/>
      <c r="W695" s="2483"/>
      <c r="X695" s="2483"/>
      <c r="Y695" s="2483"/>
      <c r="Z695" s="2483"/>
      <c r="AA695" s="2483"/>
      <c r="AB695" s="2483"/>
      <c r="AC695" s="2483"/>
      <c r="AD695" s="535"/>
      <c r="AE695" s="535"/>
      <c r="AF695" s="591"/>
      <c r="AG695" s="591"/>
      <c r="AH695" s="591"/>
      <c r="AI695" s="591"/>
      <c r="AJ695" s="591"/>
      <c r="AK695" s="591"/>
      <c r="AL695" s="591"/>
      <c r="AM695" s="593"/>
      <c r="AN695" s="594"/>
      <c r="AO695" s="608" t="s">
        <v>507</v>
      </c>
      <c r="AP695" s="548">
        <v>2</v>
      </c>
    </row>
    <row r="696" spans="1:50" s="548" customFormat="1" ht="12.75" customHeight="1">
      <c r="A696" s="674"/>
      <c r="B696" s="535"/>
      <c r="C696" s="926"/>
      <c r="D696" s="658"/>
      <c r="E696" s="2483"/>
      <c r="F696" s="2483"/>
      <c r="G696" s="2483"/>
      <c r="H696" s="2483"/>
      <c r="I696" s="2483"/>
      <c r="J696" s="2483"/>
      <c r="K696" s="2483"/>
      <c r="L696" s="2483"/>
      <c r="M696" s="2483"/>
      <c r="N696" s="2483"/>
      <c r="O696" s="2483"/>
      <c r="P696" s="2483"/>
      <c r="Q696" s="2483"/>
      <c r="R696" s="2483"/>
      <c r="S696" s="2483"/>
      <c r="T696" s="2483"/>
      <c r="U696" s="2483"/>
      <c r="V696" s="2483"/>
      <c r="W696" s="2483"/>
      <c r="X696" s="2483"/>
      <c r="Y696" s="2483"/>
      <c r="Z696" s="2483"/>
      <c r="AA696" s="2483"/>
      <c r="AB696" s="2483"/>
      <c r="AC696" s="2483"/>
      <c r="AD696" s="535"/>
      <c r="AE696" s="591"/>
      <c r="AF696" s="591"/>
      <c r="AG696" s="591"/>
      <c r="AH696" s="591"/>
      <c r="AI696" s="591"/>
      <c r="AJ696" s="591"/>
      <c r="AK696" s="591"/>
      <c r="AL696" s="591"/>
      <c r="AM696" s="593"/>
      <c r="AN696" s="594"/>
    </row>
    <row r="697" spans="1:50" s="548" customFormat="1" ht="12.75" customHeight="1">
      <c r="A697" s="665"/>
      <c r="B697" s="535"/>
      <c r="C697" s="942"/>
      <c r="D697" s="658"/>
      <c r="E697" s="640"/>
      <c r="F697" s="640"/>
      <c r="G697" s="640"/>
      <c r="H697" s="640"/>
      <c r="I697" s="640"/>
      <c r="J697" s="640"/>
      <c r="K697" s="640"/>
      <c r="L697" s="640"/>
      <c r="M697" s="640"/>
      <c r="N697" s="640"/>
      <c r="O697" s="640"/>
      <c r="P697" s="640"/>
      <c r="Q697" s="640"/>
      <c r="R697" s="640"/>
      <c r="S697" s="640"/>
      <c r="T697" s="640"/>
      <c r="U697" s="640"/>
      <c r="V697" s="640"/>
      <c r="W697" s="640"/>
      <c r="X697" s="640"/>
      <c r="Y697" s="640"/>
      <c r="Z697" s="640"/>
      <c r="AA697" s="640"/>
      <c r="AB697" s="640"/>
      <c r="AC697" s="640"/>
      <c r="AD697" s="535"/>
      <c r="AE697" s="591"/>
      <c r="AF697" s="591"/>
      <c r="AG697" s="591"/>
      <c r="AH697" s="591"/>
      <c r="AI697" s="591"/>
      <c r="AJ697" s="591"/>
      <c r="AK697" s="591"/>
      <c r="AL697" s="591"/>
      <c r="AM697" s="593"/>
      <c r="AN697" s="594"/>
    </row>
    <row r="698" spans="1:50" s="548" customFormat="1" ht="12.75" customHeight="1">
      <c r="A698" s="674"/>
      <c r="B698" s="535"/>
      <c r="C698" s="926"/>
      <c r="D698" s="535" t="s">
        <v>1390</v>
      </c>
      <c r="E698" s="931"/>
      <c r="F698" s="931"/>
      <c r="G698" s="931"/>
      <c r="H698" s="2546" t="s">
        <v>1399</v>
      </c>
      <c r="I698" s="2546"/>
      <c r="J698" s="613"/>
      <c r="K698" s="613"/>
      <c r="L698" s="535"/>
      <c r="M698" s="535"/>
      <c r="N698" s="535"/>
      <c r="O698" s="535"/>
      <c r="P698" s="535"/>
      <c r="Q698" s="535"/>
      <c r="R698" s="535"/>
      <c r="S698" s="535"/>
      <c r="T698" s="535"/>
      <c r="U698" s="535"/>
      <c r="V698" s="535"/>
      <c r="W698" s="535"/>
      <c r="X698" s="535"/>
      <c r="Y698" s="535"/>
      <c r="Z698" s="535"/>
      <c r="AA698" s="535"/>
      <c r="AB698" s="535"/>
      <c r="AC698" s="535"/>
      <c r="AD698" s="535"/>
      <c r="AE698" s="535"/>
      <c r="AF698" s="535"/>
      <c r="AG698" s="535"/>
      <c r="AH698" s="535"/>
      <c r="AI698" s="535"/>
      <c r="AJ698" s="535"/>
      <c r="AK698" s="535"/>
      <c r="AL698" s="535"/>
      <c r="AN698" s="594"/>
    </row>
    <row r="699" spans="1:50" s="548" customFormat="1" ht="12.75" customHeight="1">
      <c r="A699" s="674"/>
      <c r="B699" s="535"/>
      <c r="C699" s="926"/>
      <c r="D699" s="535"/>
      <c r="E699" s="931"/>
      <c r="F699" s="931"/>
      <c r="G699" s="613"/>
      <c r="H699" s="613"/>
      <c r="I699" s="613"/>
      <c r="J699" s="613"/>
      <c r="K699" s="613"/>
      <c r="L699" s="613"/>
      <c r="M699" s="613"/>
      <c r="N699" s="613"/>
      <c r="O699" s="613"/>
      <c r="P699" s="613"/>
      <c r="Q699" s="613"/>
      <c r="R699" s="613"/>
      <c r="S699" s="613"/>
      <c r="T699" s="613"/>
      <c r="U699" s="613"/>
      <c r="V699" s="613"/>
      <c r="W699" s="613"/>
      <c r="X699" s="613"/>
      <c r="Y699" s="613"/>
      <c r="Z699" s="931"/>
      <c r="AA699" s="931"/>
      <c r="AB699" s="931"/>
      <c r="AC699" s="535"/>
      <c r="AD699" s="535"/>
      <c r="AE699" s="535"/>
      <c r="AF699" s="535"/>
      <c r="AG699" s="613"/>
      <c r="AH699" s="613"/>
      <c r="AI699" s="613"/>
      <c r="AJ699" s="613"/>
      <c r="AK699" s="613"/>
      <c r="AL699" s="613"/>
      <c r="AM699" s="549"/>
      <c r="AN699" s="594"/>
    </row>
    <row r="700" spans="1:50" s="548" customFormat="1" ht="12.75" customHeight="1">
      <c r="A700" s="678"/>
      <c r="B700" s="598"/>
      <c r="C700" s="939"/>
      <c r="D700" s="598"/>
      <c r="E700" s="934"/>
      <c r="F700" s="660"/>
      <c r="G700" s="660"/>
      <c r="H700" s="660"/>
      <c r="I700" s="660"/>
      <c r="J700" s="660"/>
      <c r="K700" s="660"/>
      <c r="L700" s="660"/>
      <c r="M700" s="660"/>
      <c r="N700" s="660"/>
      <c r="O700" s="660"/>
      <c r="P700" s="660"/>
      <c r="Q700" s="660"/>
      <c r="R700" s="660"/>
      <c r="S700" s="660"/>
      <c r="T700" s="660"/>
      <c r="U700" s="660"/>
      <c r="V700" s="660"/>
      <c r="W700" s="660"/>
      <c r="X700" s="660"/>
      <c r="Y700" s="934"/>
      <c r="Z700" s="934"/>
      <c r="AA700" s="934"/>
      <c r="AB700" s="598"/>
      <c r="AC700" s="598"/>
      <c r="AD700" s="598"/>
      <c r="AE700" s="598"/>
      <c r="AF700" s="598"/>
      <c r="AG700" s="598"/>
      <c r="AH700" s="598"/>
      <c r="AI700" s="562" t="s">
        <v>1416</v>
      </c>
      <c r="AJ700" s="2491">
        <f>VLOOKUP($H$698,$AO$646:$AP$653,2,FALSE)</f>
        <v>2</v>
      </c>
      <c r="AK700" s="2493"/>
      <c r="AL700" s="592"/>
      <c r="AN700" s="594"/>
    </row>
    <row r="701" spans="1:50" s="548" customFormat="1" ht="12.75" customHeight="1">
      <c r="A701" s="674"/>
      <c r="B701" s="535"/>
      <c r="C701" s="926"/>
      <c r="D701" s="535"/>
      <c r="E701" s="613"/>
      <c r="F701" s="613"/>
      <c r="G701" s="613"/>
      <c r="H701" s="613"/>
      <c r="I701" s="613"/>
      <c r="J701" s="613"/>
      <c r="K701" s="613"/>
      <c r="L701" s="613"/>
      <c r="M701" s="613"/>
      <c r="N701" s="613"/>
      <c r="O701" s="613"/>
      <c r="P701" s="613"/>
      <c r="Q701" s="613"/>
      <c r="R701" s="613"/>
      <c r="S701" s="613"/>
      <c r="T701" s="613"/>
      <c r="U701" s="613"/>
      <c r="V701" s="613"/>
      <c r="W701" s="613"/>
      <c r="X701" s="613"/>
      <c r="Y701" s="613"/>
      <c r="Z701" s="613"/>
      <c r="AA701" s="613"/>
      <c r="AB701" s="613"/>
      <c r="AC701" s="613"/>
      <c r="AD701" s="637"/>
      <c r="AE701" s="535"/>
      <c r="AF701" s="535"/>
      <c r="AG701" s="535"/>
      <c r="AH701" s="535"/>
      <c r="AI701" s="535"/>
      <c r="AJ701" s="535"/>
      <c r="AK701" s="535"/>
      <c r="AL701" s="535"/>
      <c r="AN701" s="594"/>
    </row>
    <row r="702" spans="1:50" s="548" customFormat="1" ht="12.75" customHeight="1">
      <c r="A702" s="674"/>
      <c r="B702" s="535"/>
      <c r="C702" s="538" t="s">
        <v>2089</v>
      </c>
      <c r="D702" s="707"/>
      <c r="E702" s="613"/>
      <c r="F702" s="613"/>
      <c r="G702" s="613"/>
      <c r="H702" s="613"/>
      <c r="I702" s="613"/>
      <c r="J702" s="613"/>
      <c r="K702" s="613"/>
      <c r="L702" s="613"/>
      <c r="M702" s="613"/>
      <c r="N702" s="613"/>
      <c r="O702" s="613"/>
      <c r="P702" s="613"/>
      <c r="Q702" s="613"/>
      <c r="R702" s="613"/>
      <c r="S702" s="613"/>
      <c r="T702" s="613"/>
      <c r="U702" s="613"/>
      <c r="V702" s="613"/>
      <c r="W702" s="613"/>
      <c r="X702" s="613"/>
      <c r="Y702" s="613"/>
      <c r="Z702" s="613"/>
      <c r="AA702" s="613"/>
      <c r="AB702" s="613"/>
      <c r="AC702" s="613"/>
      <c r="AD702" s="637"/>
      <c r="AE702" s="535"/>
      <c r="AF702" s="535"/>
      <c r="AG702" s="535"/>
      <c r="AH702" s="535"/>
      <c r="AI702" s="535"/>
      <c r="AJ702" s="535"/>
      <c r="AK702" s="535"/>
      <c r="AL702" s="535"/>
      <c r="AN702" s="594"/>
      <c r="AW702" s="22" t="s">
        <v>2135</v>
      </c>
      <c r="AX702" s="548">
        <f>Application!Q212</f>
        <v>10</v>
      </c>
    </row>
    <row r="703" spans="1:50" s="548" customFormat="1" ht="12.75" customHeight="1">
      <c r="A703" s="674"/>
      <c r="B703" s="535"/>
      <c r="C703" s="943"/>
      <c r="D703" s="535"/>
      <c r="E703" s="535"/>
      <c r="F703" s="535"/>
      <c r="G703" s="535"/>
      <c r="H703" s="535"/>
      <c r="I703" s="535"/>
      <c r="J703" s="535"/>
      <c r="K703" s="535"/>
      <c r="L703" s="535"/>
      <c r="M703" s="535"/>
      <c r="N703" s="535"/>
      <c r="O703" s="535"/>
      <c r="P703" s="535"/>
      <c r="Q703" s="535"/>
      <c r="R703" s="535"/>
      <c r="S703" s="535"/>
      <c r="T703" s="535"/>
      <c r="U703" s="535"/>
      <c r="V703" s="535"/>
      <c r="W703" s="535"/>
      <c r="X703" s="535"/>
      <c r="Y703" s="535"/>
      <c r="Z703" s="535"/>
      <c r="AA703" s="535"/>
      <c r="AB703" s="535"/>
      <c r="AC703" s="535"/>
      <c r="AD703" s="535"/>
      <c r="AE703" s="535"/>
      <c r="AF703" s="535"/>
      <c r="AG703" s="535"/>
      <c r="AH703" s="535"/>
      <c r="AI703" s="535"/>
      <c r="AJ703" s="535"/>
      <c r="AK703" s="535"/>
      <c r="AL703" s="535"/>
      <c r="AN703" s="594"/>
      <c r="AW703" s="22" t="s">
        <v>2136</v>
      </c>
      <c r="AX703" s="1145">
        <f>Application!G761</f>
        <v>122</v>
      </c>
    </row>
    <row r="704" spans="1:50" s="548" customFormat="1" ht="12.75" customHeight="1">
      <c r="A704" s="674"/>
      <c r="B704" s="535"/>
      <c r="C704" s="943"/>
      <c r="D704" s="658" t="s">
        <v>685</v>
      </c>
      <c r="E704" s="2553" t="s">
        <v>2142</v>
      </c>
      <c r="F704" s="2553"/>
      <c r="G704" s="2553"/>
      <c r="H704" s="2553"/>
      <c r="I704" s="2553"/>
      <c r="J704" s="2553"/>
      <c r="K704" s="2553"/>
      <c r="L704" s="2553"/>
      <c r="M704" s="2553"/>
      <c r="N704" s="2553"/>
      <c r="O704" s="2553"/>
      <c r="P704" s="2553"/>
      <c r="Q704" s="2553"/>
      <c r="R704" s="2553"/>
      <c r="S704" s="2553"/>
      <c r="T704" s="2553"/>
      <c r="U704" s="2553"/>
      <c r="V704" s="2553"/>
      <c r="W704" s="2553"/>
      <c r="X704" s="2553"/>
      <c r="Y704" s="2553"/>
      <c r="Z704" s="2553"/>
      <c r="AA704" s="2553"/>
      <c r="AB704" s="2553"/>
      <c r="AC704" s="535"/>
      <c r="AD704" s="535"/>
      <c r="AE704" s="535"/>
      <c r="AF704" s="2466" t="s">
        <v>1344</v>
      </c>
      <c r="AG704" s="2466"/>
      <c r="AH704" s="2466"/>
      <c r="AI704" s="2466"/>
      <c r="AJ704" s="2466"/>
      <c r="AK704" s="2466"/>
      <c r="AL704" s="2466"/>
      <c r="AN704" s="594"/>
      <c r="AW704" s="22" t="s">
        <v>2137</v>
      </c>
      <c r="AX704" s="548">
        <f>Application!DE761</f>
        <v>33</v>
      </c>
    </row>
    <row r="705" spans="1:51" s="548" customFormat="1" ht="12.75" customHeight="1">
      <c r="A705" s="674"/>
      <c r="B705" s="535"/>
      <c r="C705" s="943"/>
      <c r="D705" s="658"/>
      <c r="E705" s="2553"/>
      <c r="F705" s="2553"/>
      <c r="G705" s="2553"/>
      <c r="H705" s="2553"/>
      <c r="I705" s="2553"/>
      <c r="J705" s="2553"/>
      <c r="K705" s="2553"/>
      <c r="L705" s="2553"/>
      <c r="M705" s="2553"/>
      <c r="N705" s="2553"/>
      <c r="O705" s="2553"/>
      <c r="P705" s="2553"/>
      <c r="Q705" s="2553"/>
      <c r="R705" s="2553"/>
      <c r="S705" s="2553"/>
      <c r="T705" s="2553"/>
      <c r="U705" s="2553"/>
      <c r="V705" s="2553"/>
      <c r="W705" s="2553"/>
      <c r="X705" s="2553"/>
      <c r="Y705" s="2553"/>
      <c r="Z705" s="2553"/>
      <c r="AA705" s="2553"/>
      <c r="AB705" s="2553"/>
      <c r="AC705" s="535"/>
      <c r="AD705" s="535"/>
      <c r="AE705" s="535"/>
      <c r="AF705" s="535"/>
      <c r="AG705" s="535"/>
      <c r="AH705" s="535"/>
      <c r="AI705" s="535"/>
      <c r="AJ705" s="535"/>
      <c r="AK705" s="535"/>
      <c r="AL705" s="535"/>
      <c r="AN705" s="594"/>
      <c r="AW705" s="22" t="s">
        <v>2138</v>
      </c>
      <c r="AX705" s="548">
        <f>Application!DJ761</f>
        <v>0</v>
      </c>
    </row>
    <row r="706" spans="1:51" s="548" customFormat="1" ht="12.75" customHeight="1">
      <c r="A706" s="674"/>
      <c r="B706" s="535"/>
      <c r="C706" s="943"/>
      <c r="D706" s="658"/>
      <c r="E706" s="535"/>
      <c r="F706" s="535"/>
      <c r="G706" s="535"/>
      <c r="H706" s="535"/>
      <c r="I706" s="535"/>
      <c r="J706" s="535"/>
      <c r="K706" s="535"/>
      <c r="L706" s="535"/>
      <c r="M706" s="535"/>
      <c r="N706" s="535"/>
      <c r="O706" s="535"/>
      <c r="P706" s="535"/>
      <c r="Q706" s="535"/>
      <c r="R706" s="535"/>
      <c r="S706" s="535"/>
      <c r="T706" s="535"/>
      <c r="U706" s="535"/>
      <c r="V706" s="535"/>
      <c r="W706" s="535"/>
      <c r="X706" s="535"/>
      <c r="Y706" s="535"/>
      <c r="Z706" s="535"/>
      <c r="AA706" s="535"/>
      <c r="AB706" s="535"/>
      <c r="AC706" s="535"/>
      <c r="AD706" s="535"/>
      <c r="AE706" s="535"/>
      <c r="AF706" s="535"/>
      <c r="AG706" s="535"/>
      <c r="AH706" s="535"/>
      <c r="AI706" s="535"/>
      <c r="AJ706" s="535"/>
      <c r="AK706" s="535"/>
      <c r="AL706" s="535"/>
      <c r="AN706" s="594"/>
      <c r="AW706" s="22" t="s">
        <v>2139</v>
      </c>
      <c r="AX706" s="548">
        <f>Application!DO761</f>
        <v>0</v>
      </c>
    </row>
    <row r="707" spans="1:51" s="548" customFormat="1" ht="12.75" customHeight="1">
      <c r="B707" s="535"/>
      <c r="C707" s="926"/>
      <c r="D707" s="658" t="s">
        <v>507</v>
      </c>
      <c r="E707" s="2483" t="s">
        <v>2087</v>
      </c>
      <c r="F707" s="2483"/>
      <c r="G707" s="2483"/>
      <c r="H707" s="2483"/>
      <c r="I707" s="2483"/>
      <c r="J707" s="2483"/>
      <c r="K707" s="2483"/>
      <c r="L707" s="2483"/>
      <c r="M707" s="2483"/>
      <c r="N707" s="2483"/>
      <c r="O707" s="2483"/>
      <c r="P707" s="2483"/>
      <c r="Q707" s="2483"/>
      <c r="R707" s="2483"/>
      <c r="S707" s="2483"/>
      <c r="T707" s="2483"/>
      <c r="U707" s="2483"/>
      <c r="V707" s="2483"/>
      <c r="W707" s="2483"/>
      <c r="X707" s="2483"/>
      <c r="Y707" s="2483"/>
      <c r="Z707" s="2483"/>
      <c r="AA707" s="2483"/>
      <c r="AB707" s="2483"/>
      <c r="AC707" s="535"/>
      <c r="AD707" s="535"/>
      <c r="AE707" s="535"/>
      <c r="AF707" s="2466" t="s">
        <v>1344</v>
      </c>
      <c r="AG707" s="2466"/>
      <c r="AH707" s="2466"/>
      <c r="AI707" s="2466"/>
      <c r="AJ707" s="2466"/>
      <c r="AK707" s="2466"/>
      <c r="AL707" s="2466"/>
      <c r="AN707" s="594"/>
      <c r="AW707" s="22" t="s">
        <v>2140</v>
      </c>
      <c r="AX707" s="548">
        <f>AX704+AX705+AX706</f>
        <v>33</v>
      </c>
    </row>
    <row r="708" spans="1:51" s="548" customFormat="1" ht="12.75" customHeight="1">
      <c r="B708" s="535"/>
      <c r="C708" s="935"/>
      <c r="D708" s="658"/>
      <c r="E708" s="2483"/>
      <c r="F708" s="2483"/>
      <c r="G708" s="2483"/>
      <c r="H708" s="2483"/>
      <c r="I708" s="2483"/>
      <c r="J708" s="2483"/>
      <c r="K708" s="2483"/>
      <c r="L708" s="2483"/>
      <c r="M708" s="2483"/>
      <c r="N708" s="2483"/>
      <c r="O708" s="2483"/>
      <c r="P708" s="2483"/>
      <c r="Q708" s="2483"/>
      <c r="R708" s="2483"/>
      <c r="S708" s="2483"/>
      <c r="T708" s="2483"/>
      <c r="U708" s="2483"/>
      <c r="V708" s="2483"/>
      <c r="W708" s="2483"/>
      <c r="X708" s="2483"/>
      <c r="Y708" s="2483"/>
      <c r="Z708" s="2483"/>
      <c r="AA708" s="2483"/>
      <c r="AB708" s="2483"/>
      <c r="AC708" s="535"/>
      <c r="AD708" s="535"/>
      <c r="AE708" s="613"/>
      <c r="AF708" s="535"/>
      <c r="AG708" s="535"/>
      <c r="AH708" s="535"/>
      <c r="AI708" s="535"/>
      <c r="AJ708" s="535"/>
      <c r="AK708" s="535"/>
      <c r="AL708" s="535"/>
      <c r="AN708" s="594"/>
      <c r="AO708" s="2552" t="b">
        <f>IF(Application!D211="Special Needs",IF(AY708&gt;=0.25,TRUE,FALSE),IF(AX708&gt;=0.25,TRUE,FALSE))</f>
        <v>1</v>
      </c>
      <c r="AP708" s="2552"/>
      <c r="AW708" s="22" t="s">
        <v>2141</v>
      </c>
      <c r="AX708" s="548">
        <f>IFERROR(AX707/AX703,0)</f>
        <v>0.27049180327868855</v>
      </c>
      <c r="AY708" s="548">
        <f>IFERROR(AX707/(AX703-AX702),0)</f>
        <v>0.29464285714285715</v>
      </c>
    </row>
    <row r="709" spans="1:51" s="548" customFormat="1" ht="12.75" customHeight="1">
      <c r="B709" s="535"/>
      <c r="C709" s="935"/>
      <c r="E709" s="2483"/>
      <c r="F709" s="2483"/>
      <c r="G709" s="2483"/>
      <c r="H709" s="2483"/>
      <c r="I709" s="2483"/>
      <c r="J709" s="2483"/>
      <c r="K709" s="2483"/>
      <c r="L709" s="2483"/>
      <c r="M709" s="2483"/>
      <c r="N709" s="2483"/>
      <c r="O709" s="2483"/>
      <c r="P709" s="2483"/>
      <c r="Q709" s="2483"/>
      <c r="R709" s="2483"/>
      <c r="S709" s="2483"/>
      <c r="T709" s="2483"/>
      <c r="U709" s="2483"/>
      <c r="V709" s="2483"/>
      <c r="W709" s="2483"/>
      <c r="X709" s="2483"/>
      <c r="Y709" s="2483"/>
      <c r="Z709" s="2483"/>
      <c r="AA709" s="2483"/>
      <c r="AB709" s="2483"/>
      <c r="AC709" s="535"/>
      <c r="AD709" s="535"/>
      <c r="AE709" s="613"/>
      <c r="AF709" s="613"/>
      <c r="AG709" s="613"/>
      <c r="AH709" s="613"/>
      <c r="AI709" s="613"/>
      <c r="AJ709" s="613"/>
      <c r="AK709" s="613"/>
      <c r="AL709" s="613"/>
      <c r="AN709" s="594"/>
      <c r="AW709" s="14"/>
    </row>
    <row r="710" spans="1:51" s="548" customFormat="1" ht="28.5" customHeight="1">
      <c r="B710" s="535"/>
      <c r="C710" s="935"/>
      <c r="D710" s="535"/>
      <c r="E710" s="2483"/>
      <c r="F710" s="2483"/>
      <c r="G710" s="2483"/>
      <c r="H710" s="2483"/>
      <c r="I710" s="2483"/>
      <c r="J710" s="2483"/>
      <c r="K710" s="2483"/>
      <c r="L710" s="2483"/>
      <c r="M710" s="2483"/>
      <c r="N710" s="2483"/>
      <c r="O710" s="2483"/>
      <c r="P710" s="2483"/>
      <c r="Q710" s="2483"/>
      <c r="R710" s="2483"/>
      <c r="S710" s="2483"/>
      <c r="T710" s="2483"/>
      <c r="U710" s="2483"/>
      <c r="V710" s="2483"/>
      <c r="W710" s="2483"/>
      <c r="X710" s="2483"/>
      <c r="Y710" s="2483"/>
      <c r="Z710" s="2483"/>
      <c r="AA710" s="2483"/>
      <c r="AB710" s="2483"/>
      <c r="AC710" s="535"/>
      <c r="AD710" s="535"/>
      <c r="AE710" s="613"/>
      <c r="AF710" s="613"/>
      <c r="AG710" s="613"/>
      <c r="AH710" s="613"/>
      <c r="AI710" s="613"/>
      <c r="AJ710" s="613"/>
      <c r="AK710" s="613"/>
      <c r="AL710" s="613"/>
      <c r="AN710" s="594"/>
      <c r="AO710" s="548" t="s">
        <v>589</v>
      </c>
      <c r="AP710" s="668">
        <v>0</v>
      </c>
    </row>
    <row r="711" spans="1:51" s="548" customFormat="1" ht="12.75" customHeight="1">
      <c r="B711" s="535"/>
      <c r="C711" s="935"/>
      <c r="E711" s="572"/>
      <c r="F711" s="572"/>
      <c r="G711" s="572"/>
      <c r="H711" s="572"/>
      <c r="I711" s="572"/>
      <c r="J711" s="572"/>
      <c r="K711" s="572"/>
      <c r="L711" s="572"/>
      <c r="M711" s="572"/>
      <c r="N711" s="572"/>
      <c r="O711" s="572"/>
      <c r="P711" s="572"/>
      <c r="Q711" s="572"/>
      <c r="R711" s="572"/>
      <c r="S711" s="572"/>
      <c r="T711" s="572"/>
      <c r="U711" s="572"/>
      <c r="V711" s="572"/>
      <c r="W711" s="572"/>
      <c r="X711" s="572"/>
      <c r="Y711" s="572"/>
      <c r="Z711" s="572"/>
      <c r="AA711" s="572"/>
      <c r="AB711" s="572"/>
      <c r="AC711" s="535"/>
      <c r="AD711" s="535"/>
      <c r="AE711" s="613"/>
      <c r="AF711" s="613"/>
      <c r="AG711" s="613"/>
      <c r="AH711" s="613"/>
      <c r="AI711" s="613"/>
      <c r="AJ711" s="613"/>
      <c r="AK711" s="613"/>
      <c r="AL711" s="613"/>
      <c r="AN711" s="594"/>
      <c r="AO711" s="608" t="s">
        <v>685</v>
      </c>
      <c r="AP711" s="548">
        <v>2</v>
      </c>
    </row>
    <row r="712" spans="1:51" s="548" customFormat="1" ht="12.75" customHeight="1">
      <c r="B712" s="535"/>
      <c r="C712" s="926"/>
      <c r="D712" s="658" t="s">
        <v>277</v>
      </c>
      <c r="E712" s="2483" t="s">
        <v>2088</v>
      </c>
      <c r="F712" s="2483"/>
      <c r="G712" s="2483"/>
      <c r="H712" s="2483"/>
      <c r="I712" s="2483"/>
      <c r="J712" s="2483"/>
      <c r="K712" s="2483"/>
      <c r="L712" s="2483"/>
      <c r="M712" s="2483"/>
      <c r="N712" s="2483"/>
      <c r="O712" s="2483"/>
      <c r="P712" s="2483"/>
      <c r="Q712" s="2483"/>
      <c r="R712" s="2483"/>
      <c r="S712" s="2483"/>
      <c r="T712" s="2483"/>
      <c r="U712" s="2483"/>
      <c r="V712" s="2483"/>
      <c r="W712" s="2483"/>
      <c r="X712" s="2483"/>
      <c r="Y712" s="2483"/>
      <c r="Z712" s="2483"/>
      <c r="AA712" s="2483"/>
      <c r="AB712" s="2483"/>
      <c r="AC712" s="535"/>
      <c r="AD712" s="535"/>
      <c r="AE712" s="535"/>
      <c r="AF712" s="2466" t="s">
        <v>1398</v>
      </c>
      <c r="AG712" s="2466"/>
      <c r="AH712" s="2466"/>
      <c r="AI712" s="2466"/>
      <c r="AJ712" s="2466"/>
      <c r="AK712" s="2466"/>
      <c r="AL712" s="2466"/>
      <c r="AN712" s="594"/>
      <c r="AO712" s="608" t="s">
        <v>507</v>
      </c>
      <c r="AP712" s="548">
        <v>1</v>
      </c>
    </row>
    <row r="713" spans="1:51" s="548" customFormat="1" ht="12" customHeight="1">
      <c r="B713" s="535"/>
      <c r="C713" s="926"/>
      <c r="E713" s="2483"/>
      <c r="F713" s="2483"/>
      <c r="G713" s="2483"/>
      <c r="H713" s="2483"/>
      <c r="I713" s="2483"/>
      <c r="J713" s="2483"/>
      <c r="K713" s="2483"/>
      <c r="L713" s="2483"/>
      <c r="M713" s="2483"/>
      <c r="N713" s="2483"/>
      <c r="O713" s="2483"/>
      <c r="P713" s="2483"/>
      <c r="Q713" s="2483"/>
      <c r="R713" s="2483"/>
      <c r="S713" s="2483"/>
      <c r="T713" s="2483"/>
      <c r="U713" s="2483"/>
      <c r="V713" s="2483"/>
      <c r="W713" s="2483"/>
      <c r="X713" s="2483"/>
      <c r="Y713" s="2483"/>
      <c r="Z713" s="2483"/>
      <c r="AA713" s="2483"/>
      <c r="AB713" s="2483"/>
      <c r="AC713" s="535"/>
      <c r="AD713" s="535"/>
      <c r="AE713" s="613"/>
      <c r="AF713" s="535"/>
      <c r="AG713" s="535"/>
      <c r="AH713" s="535"/>
      <c r="AI713" s="535"/>
      <c r="AJ713" s="535"/>
      <c r="AK713" s="535"/>
      <c r="AL713" s="535"/>
      <c r="AN713" s="594"/>
    </row>
    <row r="714" spans="1:51" s="548" customFormat="1" ht="12" customHeight="1">
      <c r="B714" s="535"/>
      <c r="C714" s="926"/>
      <c r="D714" s="535"/>
      <c r="E714" s="2483"/>
      <c r="F714" s="2483"/>
      <c r="G714" s="2483"/>
      <c r="H714" s="2483"/>
      <c r="I714" s="2483"/>
      <c r="J714" s="2483"/>
      <c r="K714" s="2483"/>
      <c r="L714" s="2483"/>
      <c r="M714" s="2483"/>
      <c r="N714" s="2483"/>
      <c r="O714" s="2483"/>
      <c r="P714" s="2483"/>
      <c r="Q714" s="2483"/>
      <c r="R714" s="2483"/>
      <c r="S714" s="2483"/>
      <c r="T714" s="2483"/>
      <c r="U714" s="2483"/>
      <c r="V714" s="2483"/>
      <c r="W714" s="2483"/>
      <c r="X714" s="2483"/>
      <c r="Y714" s="2483"/>
      <c r="Z714" s="2483"/>
      <c r="AA714" s="2483"/>
      <c r="AB714" s="2483"/>
      <c r="AC714" s="535"/>
      <c r="AD714" s="535"/>
      <c r="AE714" s="613"/>
      <c r="AF714" s="535"/>
      <c r="AG714" s="535"/>
      <c r="AH714" s="535"/>
      <c r="AI714" s="535"/>
      <c r="AJ714" s="535"/>
      <c r="AK714" s="535"/>
      <c r="AL714" s="535"/>
      <c r="AN714" s="594"/>
    </row>
    <row r="715" spans="1:51" s="548" customFormat="1" ht="12" customHeight="1">
      <c r="B715" s="535"/>
      <c r="C715" s="926"/>
      <c r="D715" s="535"/>
      <c r="E715" s="2483"/>
      <c r="F715" s="2483"/>
      <c r="G715" s="2483"/>
      <c r="H715" s="2483"/>
      <c r="I715" s="2483"/>
      <c r="J715" s="2483"/>
      <c r="K715" s="2483"/>
      <c r="L715" s="2483"/>
      <c r="M715" s="2483"/>
      <c r="N715" s="2483"/>
      <c r="O715" s="2483"/>
      <c r="P715" s="2483"/>
      <c r="Q715" s="2483"/>
      <c r="R715" s="2483"/>
      <c r="S715" s="2483"/>
      <c r="T715" s="2483"/>
      <c r="U715" s="2483"/>
      <c r="V715" s="2483"/>
      <c r="W715" s="2483"/>
      <c r="X715" s="2483"/>
      <c r="Y715" s="2483"/>
      <c r="Z715" s="2483"/>
      <c r="AA715" s="2483"/>
      <c r="AB715" s="2483"/>
      <c r="AC715" s="535"/>
      <c r="AD715" s="535"/>
      <c r="AE715" s="613"/>
      <c r="AF715" s="535"/>
      <c r="AG715" s="535"/>
      <c r="AH715" s="535"/>
      <c r="AI715" s="535"/>
      <c r="AJ715" s="535"/>
      <c r="AK715" s="535"/>
      <c r="AL715" s="535"/>
      <c r="AN715" s="594"/>
    </row>
    <row r="716" spans="1:51" s="567" customFormat="1" ht="12.95" customHeight="1">
      <c r="A716" s="548"/>
      <c r="B716" s="535"/>
      <c r="C716" s="926"/>
      <c r="D716" s="535"/>
      <c r="E716" s="2483"/>
      <c r="F716" s="2483"/>
      <c r="G716" s="2483"/>
      <c r="H716" s="2483"/>
      <c r="I716" s="2483"/>
      <c r="J716" s="2483"/>
      <c r="K716" s="2483"/>
      <c r="L716" s="2483"/>
      <c r="M716" s="2483"/>
      <c r="N716" s="2483"/>
      <c r="O716" s="2483"/>
      <c r="P716" s="2483"/>
      <c r="Q716" s="2483"/>
      <c r="R716" s="2483"/>
      <c r="S716" s="2483"/>
      <c r="T716" s="2483"/>
      <c r="U716" s="2483"/>
      <c r="V716" s="2483"/>
      <c r="W716" s="2483"/>
      <c r="X716" s="2483"/>
      <c r="Y716" s="2483"/>
      <c r="Z716" s="2483"/>
      <c r="AA716" s="2483"/>
      <c r="AB716" s="2483"/>
      <c r="AC716" s="535"/>
      <c r="AD716" s="535"/>
      <c r="AE716" s="613"/>
      <c r="AF716" s="613"/>
      <c r="AG716" s="613"/>
      <c r="AH716" s="613"/>
      <c r="AI716" s="613"/>
      <c r="AJ716" s="535"/>
      <c r="AK716" s="535"/>
      <c r="AL716" s="535"/>
      <c r="AM716" s="548"/>
      <c r="AN716" s="679"/>
      <c r="AO716" s="548" t="s">
        <v>589</v>
      </c>
      <c r="AP716" s="668">
        <v>0</v>
      </c>
    </row>
    <row r="717" spans="1:51" s="567" customFormat="1" ht="12" customHeight="1">
      <c r="A717" s="548"/>
      <c r="B717" s="535"/>
      <c r="C717" s="926"/>
      <c r="D717" s="535"/>
      <c r="E717" s="640"/>
      <c r="F717" s="640"/>
      <c r="G717" s="640"/>
      <c r="H717" s="640"/>
      <c r="I717" s="640"/>
      <c r="J717" s="640"/>
      <c r="K717" s="640"/>
      <c r="L717" s="640"/>
      <c r="M717" s="640"/>
      <c r="N717" s="640"/>
      <c r="O717" s="640"/>
      <c r="P717" s="640"/>
      <c r="Q717" s="640"/>
      <c r="R717" s="640"/>
      <c r="S717" s="640"/>
      <c r="T717" s="640"/>
      <c r="U717" s="640"/>
      <c r="V717" s="640"/>
      <c r="W717" s="640"/>
      <c r="X717" s="640"/>
      <c r="Y717" s="640"/>
      <c r="Z717" s="640"/>
      <c r="AA717" s="640"/>
      <c r="AB717" s="640"/>
      <c r="AC717" s="535"/>
      <c r="AD717" s="535"/>
      <c r="AE717" s="613"/>
      <c r="AF717" s="613"/>
      <c r="AG717" s="613"/>
      <c r="AH717" s="613"/>
      <c r="AI717" s="613"/>
      <c r="AJ717" s="535"/>
      <c r="AK717" s="535"/>
      <c r="AL717" s="535"/>
      <c r="AM717" s="548"/>
      <c r="AN717" s="679"/>
      <c r="AO717" s="608" t="s">
        <v>685</v>
      </c>
      <c r="AP717" s="548">
        <v>3</v>
      </c>
    </row>
    <row r="718" spans="1:51" s="567" customFormat="1" ht="12.75" customHeight="1">
      <c r="A718" s="548"/>
      <c r="B718" s="535"/>
      <c r="C718" s="926"/>
      <c r="D718" s="535"/>
      <c r="E718" s="2483" t="s">
        <v>1680</v>
      </c>
      <c r="F718" s="2483"/>
      <c r="G718" s="2483"/>
      <c r="H718" s="2483"/>
      <c r="I718" s="2483"/>
      <c r="J718" s="2483"/>
      <c r="K718" s="2483"/>
      <c r="L718" s="2483"/>
      <c r="M718" s="2483"/>
      <c r="N718" s="2483"/>
      <c r="O718" s="2483"/>
      <c r="P718" s="2483"/>
      <c r="Q718" s="2483"/>
      <c r="R718" s="2483"/>
      <c r="S718" s="2483"/>
      <c r="T718" s="2483"/>
      <c r="U718" s="2483"/>
      <c r="V718" s="2483"/>
      <c r="W718" s="2483"/>
      <c r="X718" s="2483"/>
      <c r="Y718" s="2483"/>
      <c r="Z718" s="2483"/>
      <c r="AA718" s="2483"/>
      <c r="AB718" s="2483"/>
      <c r="AC718" s="535"/>
      <c r="AD718" s="535"/>
      <c r="AE718" s="613"/>
      <c r="AF718" s="613"/>
      <c r="AG718" s="613"/>
      <c r="AH718" s="613"/>
      <c r="AI718" s="613"/>
      <c r="AJ718" s="535"/>
      <c r="AK718" s="535"/>
      <c r="AL718" s="535"/>
      <c r="AM718" s="548"/>
      <c r="AN718" s="679"/>
      <c r="AO718" s="608" t="s">
        <v>507</v>
      </c>
      <c r="AP718" s="548">
        <f>3*$AO$708</f>
        <v>3</v>
      </c>
    </row>
    <row r="719" spans="1:51" s="567" customFormat="1" ht="12.75" customHeight="1">
      <c r="A719" s="548"/>
      <c r="B719" s="535"/>
      <c r="C719" s="926"/>
      <c r="D719" s="535"/>
      <c r="E719" s="2483"/>
      <c r="F719" s="2483"/>
      <c r="G719" s="2483"/>
      <c r="H719" s="2483"/>
      <c r="I719" s="2483"/>
      <c r="J719" s="2483"/>
      <c r="K719" s="2483"/>
      <c r="L719" s="2483"/>
      <c r="M719" s="2483"/>
      <c r="N719" s="2483"/>
      <c r="O719" s="2483"/>
      <c r="P719" s="2483"/>
      <c r="Q719" s="2483"/>
      <c r="R719" s="2483"/>
      <c r="S719" s="2483"/>
      <c r="T719" s="2483"/>
      <c r="U719" s="2483"/>
      <c r="V719" s="2483"/>
      <c r="W719" s="2483"/>
      <c r="X719" s="2483"/>
      <c r="Y719" s="2483"/>
      <c r="Z719" s="2483"/>
      <c r="AA719" s="2483"/>
      <c r="AB719" s="2483"/>
      <c r="AC719" s="535"/>
      <c r="AD719" s="535"/>
      <c r="AE719" s="613"/>
      <c r="AF719" s="613"/>
      <c r="AG719" s="613"/>
      <c r="AH719" s="613"/>
      <c r="AI719" s="613"/>
      <c r="AJ719" s="535"/>
      <c r="AK719" s="535"/>
      <c r="AL719" s="535"/>
      <c r="AM719" s="548"/>
      <c r="AN719" s="679"/>
      <c r="AO719" s="608" t="s">
        <v>277</v>
      </c>
      <c r="AP719" s="548">
        <f>2*$AO$708</f>
        <v>2</v>
      </c>
    </row>
    <row r="720" spans="1:51" s="567" customFormat="1" ht="12.75" customHeight="1">
      <c r="A720" s="548"/>
      <c r="B720" s="535"/>
      <c r="C720" s="926"/>
      <c r="D720" s="535"/>
      <c r="E720" s="2483"/>
      <c r="F720" s="2483"/>
      <c r="G720" s="2483"/>
      <c r="H720" s="2483"/>
      <c r="I720" s="2483"/>
      <c r="J720" s="2483"/>
      <c r="K720" s="2483"/>
      <c r="L720" s="2483"/>
      <c r="M720" s="2483"/>
      <c r="N720" s="2483"/>
      <c r="O720" s="2483"/>
      <c r="P720" s="2483"/>
      <c r="Q720" s="2483"/>
      <c r="R720" s="2483"/>
      <c r="S720" s="2483"/>
      <c r="T720" s="2483"/>
      <c r="U720" s="2483"/>
      <c r="V720" s="2483"/>
      <c r="W720" s="2483"/>
      <c r="X720" s="2483"/>
      <c r="Y720" s="2483"/>
      <c r="Z720" s="2483"/>
      <c r="AA720" s="2483"/>
      <c r="AB720" s="2483"/>
      <c r="AC720" s="535"/>
      <c r="AD720" s="535"/>
      <c r="AE720" s="613"/>
      <c r="AF720" s="613"/>
      <c r="AG720" s="613"/>
      <c r="AH720" s="613"/>
      <c r="AI720" s="613"/>
      <c r="AJ720" s="535"/>
      <c r="AK720" s="535"/>
      <c r="AL720" s="535"/>
      <c r="AM720" s="548"/>
      <c r="AN720" s="679"/>
    </row>
    <row r="721" spans="1:43" s="567" customFormat="1" ht="12.75" customHeight="1">
      <c r="A721" s="548"/>
      <c r="B721" s="535"/>
      <c r="C721" s="926"/>
      <c r="D721" s="535"/>
      <c r="E721" s="640"/>
      <c r="F721" s="640"/>
      <c r="G721" s="640"/>
      <c r="H721" s="640"/>
      <c r="I721" s="640"/>
      <c r="J721" s="640"/>
      <c r="K721" s="640"/>
      <c r="L721" s="640"/>
      <c r="M721" s="640"/>
      <c r="N721" s="640"/>
      <c r="O721" s="640"/>
      <c r="P721" s="640"/>
      <c r="Q721" s="640"/>
      <c r="R721" s="640"/>
      <c r="S721" s="640"/>
      <c r="T721" s="640"/>
      <c r="U721" s="640"/>
      <c r="V721" s="640"/>
      <c r="W721" s="640"/>
      <c r="X721" s="640"/>
      <c r="Y721" s="640"/>
      <c r="Z721" s="640"/>
      <c r="AA721" s="640"/>
      <c r="AB721" s="640"/>
      <c r="AC721" s="535"/>
      <c r="AD721" s="535"/>
      <c r="AE721" s="613"/>
      <c r="AF721" s="613"/>
      <c r="AG721" s="613"/>
      <c r="AH721" s="613"/>
      <c r="AI721" s="613"/>
      <c r="AJ721" s="535"/>
      <c r="AK721" s="535"/>
      <c r="AL721" s="535"/>
      <c r="AM721" s="548"/>
      <c r="AN721" s="679"/>
    </row>
    <row r="722" spans="1:43" s="567" customFormat="1" ht="12.75" customHeight="1">
      <c r="A722" s="548"/>
      <c r="B722" s="535"/>
      <c r="C722" s="926"/>
      <c r="D722" s="535" t="s">
        <v>1390</v>
      </c>
      <c r="E722" s="931"/>
      <c r="F722" s="931"/>
      <c r="G722" s="931"/>
      <c r="H722" s="2546" t="s">
        <v>685</v>
      </c>
      <c r="I722" s="2546"/>
      <c r="J722" s="640"/>
      <c r="K722" s="640"/>
      <c r="L722" s="640"/>
      <c r="M722" s="640"/>
      <c r="N722" s="640"/>
      <c r="O722" s="640"/>
      <c r="P722" s="640"/>
      <c r="Q722" s="640"/>
      <c r="R722" s="640"/>
      <c r="S722" s="640"/>
      <c r="T722" s="640"/>
      <c r="U722" s="640"/>
      <c r="V722" s="640"/>
      <c r="W722" s="640"/>
      <c r="X722" s="640"/>
      <c r="Y722" s="640"/>
      <c r="Z722" s="640"/>
      <c r="AA722" s="640"/>
      <c r="AB722" s="640"/>
      <c r="AC722" s="535"/>
      <c r="AD722" s="535"/>
      <c r="AE722" s="613"/>
      <c r="AF722" s="613"/>
      <c r="AG722" s="613"/>
      <c r="AH722" s="613"/>
      <c r="AI722" s="613"/>
      <c r="AJ722" s="535"/>
      <c r="AK722" s="535"/>
      <c r="AL722" s="535"/>
      <c r="AM722" s="548"/>
      <c r="AN722" s="679"/>
      <c r="AP722" s="567" t="s">
        <v>1417</v>
      </c>
    </row>
    <row r="723" spans="1:43" s="567" customFormat="1">
      <c r="A723" s="548"/>
      <c r="B723" s="535"/>
      <c r="C723" s="926"/>
      <c r="D723" s="535"/>
      <c r="E723" s="640"/>
      <c r="F723" s="640"/>
      <c r="G723" s="640"/>
      <c r="H723" s="640"/>
      <c r="I723" s="640"/>
      <c r="J723" s="640"/>
      <c r="K723" s="640"/>
      <c r="L723" s="640"/>
      <c r="M723" s="640"/>
      <c r="N723" s="640"/>
      <c r="O723" s="640"/>
      <c r="P723" s="640"/>
      <c r="Q723" s="640"/>
      <c r="R723" s="640"/>
      <c r="S723" s="640"/>
      <c r="T723" s="640"/>
      <c r="U723" s="640"/>
      <c r="V723" s="640"/>
      <c r="W723" s="640"/>
      <c r="X723" s="640"/>
      <c r="Y723" s="640"/>
      <c r="Z723" s="640"/>
      <c r="AA723" s="640"/>
      <c r="AB723" s="640"/>
      <c r="AC723" s="535"/>
      <c r="AD723" s="535"/>
      <c r="AE723" s="613"/>
      <c r="AF723" s="613"/>
      <c r="AG723" s="613"/>
      <c r="AH723" s="613"/>
      <c r="AI723" s="613"/>
      <c r="AJ723" s="535"/>
      <c r="AK723" s="535"/>
      <c r="AL723" s="535"/>
      <c r="AM723" s="548"/>
      <c r="AN723" s="679"/>
      <c r="AP723" s="567" t="s">
        <v>1395</v>
      </c>
    </row>
    <row r="724" spans="1:43" s="567" customFormat="1" ht="12.75" customHeight="1">
      <c r="A724" s="603"/>
      <c r="B724" s="598"/>
      <c r="C724" s="939"/>
      <c r="D724" s="598"/>
      <c r="E724" s="598"/>
      <c r="F724" s="598"/>
      <c r="G724" s="598"/>
      <c r="H724" s="598"/>
      <c r="I724" s="598"/>
      <c r="J724" s="944"/>
      <c r="K724" s="944"/>
      <c r="L724" s="660"/>
      <c r="M724" s="660"/>
      <c r="N724" s="660"/>
      <c r="O724" s="660"/>
      <c r="P724" s="660"/>
      <c r="Q724" s="660"/>
      <c r="R724" s="660"/>
      <c r="S724" s="660"/>
      <c r="T724" s="660"/>
      <c r="U724" s="660"/>
      <c r="V724" s="660"/>
      <c r="W724" s="660"/>
      <c r="X724" s="660"/>
      <c r="Y724" s="934"/>
      <c r="Z724" s="934"/>
      <c r="AA724" s="934"/>
      <c r="AB724" s="598"/>
      <c r="AC724" s="598"/>
      <c r="AD724" s="598"/>
      <c r="AE724" s="598"/>
      <c r="AF724" s="598"/>
      <c r="AG724" s="598"/>
      <c r="AH724" s="598"/>
      <c r="AI724" s="562" t="s">
        <v>2090</v>
      </c>
      <c r="AJ724" s="2491">
        <f>VLOOKUP($H$722,$AO$716:$AP$719,2,FALSE)</f>
        <v>3</v>
      </c>
      <c r="AK724" s="2493"/>
      <c r="AL724" s="592"/>
      <c r="AM724" s="548"/>
      <c r="AN724" s="679"/>
      <c r="AP724" s="567" t="s">
        <v>1402</v>
      </c>
    </row>
    <row r="725" spans="1:43" s="567" customFormat="1">
      <c r="A725" s="548"/>
      <c r="B725" s="535"/>
      <c r="C725" s="535"/>
      <c r="D725" s="535"/>
      <c r="E725" s="535"/>
      <c r="F725" s="535"/>
      <c r="G725" s="535"/>
      <c r="H725" s="535"/>
      <c r="I725" s="535"/>
      <c r="J725" s="535"/>
      <c r="K725" s="535"/>
      <c r="L725" s="535"/>
      <c r="M725" s="535"/>
      <c r="N725" s="535"/>
      <c r="O725" s="535"/>
      <c r="P725" s="535"/>
      <c r="Q725" s="535"/>
      <c r="R725" s="535"/>
      <c r="S725" s="535"/>
      <c r="T725" s="535"/>
      <c r="U725" s="535"/>
      <c r="V725" s="535"/>
      <c r="W725" s="535"/>
      <c r="X725" s="535"/>
      <c r="Y725" s="535"/>
      <c r="Z725" s="535"/>
      <c r="AA725" s="535"/>
      <c r="AB725" s="535"/>
      <c r="AC725" s="535"/>
      <c r="AD725" s="535"/>
      <c r="AE725" s="613"/>
      <c r="AF725" s="613"/>
      <c r="AG725" s="613"/>
      <c r="AH725" s="613"/>
      <c r="AI725" s="613"/>
      <c r="AJ725" s="535"/>
      <c r="AK725" s="535"/>
      <c r="AL725" s="535"/>
      <c r="AM725" s="548"/>
      <c r="AN725" s="679"/>
      <c r="AP725" s="567" t="s">
        <v>1418</v>
      </c>
    </row>
    <row r="726" spans="1:43" s="567" customFormat="1" ht="12.75" customHeight="1">
      <c r="A726" s="548"/>
      <c r="B726" s="535"/>
      <c r="C726" s="538" t="s">
        <v>1419</v>
      </c>
      <c r="D726" s="707"/>
      <c r="E726" s="535"/>
      <c r="F726" s="535"/>
      <c r="G726" s="535"/>
      <c r="H726" s="535"/>
      <c r="I726" s="535"/>
      <c r="J726" s="535"/>
      <c r="K726" s="535"/>
      <c r="L726" s="535"/>
      <c r="M726" s="535"/>
      <c r="N726" s="535"/>
      <c r="O726" s="535"/>
      <c r="P726" s="535"/>
      <c r="Q726" s="535"/>
      <c r="R726" s="535"/>
      <c r="S726" s="535"/>
      <c r="T726" s="535"/>
      <c r="U726" s="535"/>
      <c r="V726" s="535"/>
      <c r="W726" s="535"/>
      <c r="X726" s="535"/>
      <c r="Y726" s="535"/>
      <c r="Z726" s="535"/>
      <c r="AA726" s="535"/>
      <c r="AB726" s="535"/>
      <c r="AC726" s="535"/>
      <c r="AD726" s="535"/>
      <c r="AE726" s="613"/>
      <c r="AF726" s="613"/>
      <c r="AG726" s="613"/>
      <c r="AH726" s="613"/>
      <c r="AI726" s="613"/>
      <c r="AJ726" s="535"/>
      <c r="AK726" s="535"/>
      <c r="AL726" s="535"/>
      <c r="AM726" s="548"/>
      <c r="AN726" s="679"/>
      <c r="AP726" s="567" t="s">
        <v>1420</v>
      </c>
    </row>
    <row r="727" spans="1:43" s="567" customFormat="1" ht="12.75" customHeight="1">
      <c r="A727" s="548"/>
      <c r="B727" s="535"/>
      <c r="C727" s="926"/>
      <c r="D727" s="535"/>
      <c r="E727" s="535"/>
      <c r="F727" s="535"/>
      <c r="G727" s="535"/>
      <c r="H727" s="535"/>
      <c r="I727" s="535"/>
      <c r="J727" s="535"/>
      <c r="K727" s="535"/>
      <c r="L727" s="535"/>
      <c r="M727" s="535"/>
      <c r="N727" s="535"/>
      <c r="O727" s="535"/>
      <c r="P727" s="535"/>
      <c r="Q727" s="535"/>
      <c r="R727" s="535"/>
      <c r="S727" s="535"/>
      <c r="T727" s="535"/>
      <c r="U727" s="535"/>
      <c r="V727" s="535"/>
      <c r="W727" s="535"/>
      <c r="X727" s="535"/>
      <c r="Y727" s="535"/>
      <c r="Z727" s="535"/>
      <c r="AA727" s="535"/>
      <c r="AB727" s="535"/>
      <c r="AC727" s="535"/>
      <c r="AD727" s="535"/>
      <c r="AE727" s="613"/>
      <c r="AF727" s="613"/>
      <c r="AG727" s="613"/>
      <c r="AH727" s="613"/>
      <c r="AI727" s="613"/>
      <c r="AJ727" s="535"/>
      <c r="AK727" s="535"/>
      <c r="AL727" s="535"/>
      <c r="AM727" s="548"/>
      <c r="AN727" s="679"/>
      <c r="AP727" s="567" t="s">
        <v>1421</v>
      </c>
    </row>
    <row r="728" spans="1:43" s="567" customFormat="1" ht="12.75" customHeight="1">
      <c r="A728" s="634"/>
      <c r="B728" s="535"/>
      <c r="C728" s="926"/>
      <c r="D728" s="658" t="s">
        <v>685</v>
      </c>
      <c r="E728" s="2554" t="s">
        <v>1682</v>
      </c>
      <c r="F728" s="2554"/>
      <c r="G728" s="2554"/>
      <c r="H728" s="2554"/>
      <c r="I728" s="2554"/>
      <c r="J728" s="2554"/>
      <c r="K728" s="2554"/>
      <c r="L728" s="2554"/>
      <c r="M728" s="2554"/>
      <c r="N728" s="2554"/>
      <c r="O728" s="2554"/>
      <c r="P728" s="2554"/>
      <c r="Q728" s="2554"/>
      <c r="R728" s="2554"/>
      <c r="S728" s="2554"/>
      <c r="T728" s="2554"/>
      <c r="U728" s="2554"/>
      <c r="V728" s="2554"/>
      <c r="W728" s="2554"/>
      <c r="X728" s="2554"/>
      <c r="Y728" s="2554"/>
      <c r="Z728" s="2554"/>
      <c r="AA728" s="2554"/>
      <c r="AB728" s="2554"/>
      <c r="AC728" s="535"/>
      <c r="AD728" s="535"/>
      <c r="AE728" s="535"/>
      <c r="AF728" s="2466" t="s">
        <v>1344</v>
      </c>
      <c r="AG728" s="2466"/>
      <c r="AH728" s="2466"/>
      <c r="AI728" s="2466"/>
      <c r="AJ728" s="2466"/>
      <c r="AK728" s="2466"/>
      <c r="AL728" s="2466"/>
      <c r="AM728" s="548"/>
      <c r="AN728" s="679"/>
      <c r="AP728" s="567" t="s">
        <v>1422</v>
      </c>
    </row>
    <row r="729" spans="1:43" s="567" customFormat="1" ht="11.85" customHeight="1">
      <c r="A729" s="548"/>
      <c r="B729" s="535"/>
      <c r="C729" s="928"/>
      <c r="D729" s="658"/>
      <c r="E729" s="2554"/>
      <c r="F729" s="2554"/>
      <c r="G729" s="2554"/>
      <c r="H729" s="2554"/>
      <c r="I729" s="2554"/>
      <c r="J729" s="2554"/>
      <c r="K729" s="2554"/>
      <c r="L729" s="2554"/>
      <c r="M729" s="2554"/>
      <c r="N729" s="2554"/>
      <c r="O729" s="2554"/>
      <c r="P729" s="2554"/>
      <c r="Q729" s="2554"/>
      <c r="R729" s="2554"/>
      <c r="S729" s="2554"/>
      <c r="T729" s="2554"/>
      <c r="U729" s="2554"/>
      <c r="V729" s="2554"/>
      <c r="W729" s="2554"/>
      <c r="X729" s="2554"/>
      <c r="Y729" s="2554"/>
      <c r="Z729" s="2554"/>
      <c r="AA729" s="2554"/>
      <c r="AB729" s="2554"/>
      <c r="AC729" s="535"/>
      <c r="AD729" s="535"/>
      <c r="AE729" s="535"/>
      <c r="AF729" s="535"/>
      <c r="AG729" s="535"/>
      <c r="AH729" s="535"/>
      <c r="AI729" s="535"/>
      <c r="AJ729" s="535"/>
      <c r="AK729" s="535"/>
      <c r="AL729" s="535"/>
      <c r="AM729" s="548"/>
      <c r="AN729" s="679"/>
      <c r="AP729" s="567" t="s">
        <v>1423</v>
      </c>
    </row>
    <row r="730" spans="1:43" s="567" customFormat="1" ht="13.9" customHeight="1">
      <c r="A730" s="548"/>
      <c r="B730" s="607"/>
      <c r="C730" s="926"/>
      <c r="D730" s="658"/>
      <c r="E730" s="2554"/>
      <c r="F730" s="2554"/>
      <c r="G730" s="2554"/>
      <c r="H730" s="2554"/>
      <c r="I730" s="2554"/>
      <c r="J730" s="2554"/>
      <c r="K730" s="2554"/>
      <c r="L730" s="2554"/>
      <c r="M730" s="2554"/>
      <c r="N730" s="2554"/>
      <c r="O730" s="2554"/>
      <c r="P730" s="2554"/>
      <c r="Q730" s="2554"/>
      <c r="R730" s="2554"/>
      <c r="S730" s="2554"/>
      <c r="T730" s="2554"/>
      <c r="U730" s="2554"/>
      <c r="V730" s="2554"/>
      <c r="W730" s="2554"/>
      <c r="X730" s="2554"/>
      <c r="Y730" s="2554"/>
      <c r="Z730" s="2554"/>
      <c r="AA730" s="2554"/>
      <c r="AB730" s="2554"/>
      <c r="AC730" s="535"/>
      <c r="AD730" s="535"/>
      <c r="AE730" s="613"/>
      <c r="AF730" s="535"/>
      <c r="AG730" s="535"/>
      <c r="AH730" s="535"/>
      <c r="AI730" s="535"/>
      <c r="AJ730" s="535"/>
      <c r="AK730" s="535"/>
      <c r="AL730" s="535"/>
      <c r="AM730" s="548"/>
      <c r="AN730" s="679"/>
      <c r="AP730" s="567" t="s">
        <v>1424</v>
      </c>
    </row>
    <row r="731" spans="1:43" s="567" customFormat="1" ht="13.9" customHeight="1">
      <c r="A731" s="548"/>
      <c r="B731" s="607"/>
      <c r="C731" s="926"/>
      <c r="D731" s="658"/>
      <c r="E731" s="931"/>
      <c r="F731" s="931"/>
      <c r="G731" s="931"/>
      <c r="H731" s="931"/>
      <c r="I731" s="931"/>
      <c r="J731" s="931"/>
      <c r="K731" s="931"/>
      <c r="L731" s="931"/>
      <c r="M731" s="931"/>
      <c r="N731" s="931"/>
      <c r="O731" s="931"/>
      <c r="P731" s="931"/>
      <c r="Q731" s="931"/>
      <c r="R731" s="931"/>
      <c r="S731" s="931"/>
      <c r="T731" s="931"/>
      <c r="U731" s="931"/>
      <c r="V731" s="931"/>
      <c r="W731" s="931"/>
      <c r="X731" s="931"/>
      <c r="Y731" s="931"/>
      <c r="Z731" s="931"/>
      <c r="AA731" s="931"/>
      <c r="AB731" s="931"/>
      <c r="AC731" s="535"/>
      <c r="AD731" s="535"/>
      <c r="AE731" s="613"/>
      <c r="AF731" s="535"/>
      <c r="AG731" s="535"/>
      <c r="AH731" s="535"/>
      <c r="AI731" s="535"/>
      <c r="AJ731" s="535"/>
      <c r="AK731" s="535"/>
      <c r="AL731" s="535"/>
      <c r="AM731" s="548"/>
      <c r="AN731" s="679"/>
      <c r="AP731" s="681" t="s">
        <v>1426</v>
      </c>
    </row>
    <row r="732" spans="1:43" s="567" customFormat="1" ht="13.9" customHeight="1">
      <c r="A732" s="548"/>
      <c r="B732" s="535"/>
      <c r="C732" s="926"/>
      <c r="D732" s="658" t="s">
        <v>507</v>
      </c>
      <c r="E732" s="2555" t="s">
        <v>1425</v>
      </c>
      <c r="F732" s="2555"/>
      <c r="G732" s="2555"/>
      <c r="H732" s="2555"/>
      <c r="I732" s="2555"/>
      <c r="J732" s="2555"/>
      <c r="K732" s="2555"/>
      <c r="L732" s="2555"/>
      <c r="M732" s="2555"/>
      <c r="N732" s="2555"/>
      <c r="O732" s="2555"/>
      <c r="P732" s="2555"/>
      <c r="Q732" s="2555"/>
      <c r="R732" s="2555"/>
      <c r="S732" s="2555"/>
      <c r="T732" s="2555"/>
      <c r="U732" s="2555"/>
      <c r="V732" s="2555"/>
      <c r="W732" s="2555"/>
      <c r="X732" s="2555"/>
      <c r="Y732" s="2555"/>
      <c r="Z732" s="2555"/>
      <c r="AA732" s="2555"/>
      <c r="AB732" s="2555"/>
      <c r="AC732" s="535"/>
      <c r="AD732" s="535"/>
      <c r="AE732" s="535"/>
      <c r="AF732" s="2466" t="s">
        <v>1398</v>
      </c>
      <c r="AG732" s="2466"/>
      <c r="AH732" s="2466"/>
      <c r="AI732" s="2466"/>
      <c r="AJ732" s="2466"/>
      <c r="AK732" s="2466"/>
      <c r="AL732" s="2466"/>
      <c r="AM732" s="548"/>
      <c r="AN732" s="680"/>
    </row>
    <row r="733" spans="1:43" s="567" customFormat="1" ht="12.75" customHeight="1">
      <c r="A733" s="548"/>
      <c r="B733" s="535"/>
      <c r="C733" s="928"/>
      <c r="D733" s="535"/>
      <c r="E733" s="2555"/>
      <c r="F733" s="2555"/>
      <c r="G733" s="2555"/>
      <c r="H733" s="2555"/>
      <c r="I733" s="2555"/>
      <c r="J733" s="2555"/>
      <c r="K733" s="2555"/>
      <c r="L733" s="2555"/>
      <c r="M733" s="2555"/>
      <c r="N733" s="2555"/>
      <c r="O733" s="2555"/>
      <c r="P733" s="2555"/>
      <c r="Q733" s="2555"/>
      <c r="R733" s="2555"/>
      <c r="S733" s="2555"/>
      <c r="T733" s="2555"/>
      <c r="U733" s="2555"/>
      <c r="V733" s="2555"/>
      <c r="W733" s="2555"/>
      <c r="X733" s="2555"/>
      <c r="Y733" s="2555"/>
      <c r="Z733" s="2555"/>
      <c r="AA733" s="2555"/>
      <c r="AB733" s="2555"/>
      <c r="AC733" s="535"/>
      <c r="AD733" s="535"/>
      <c r="AE733" s="535"/>
      <c r="AF733" s="535"/>
      <c r="AG733" s="535"/>
      <c r="AH733" s="535"/>
      <c r="AI733" s="535"/>
      <c r="AJ733" s="535"/>
      <c r="AK733" s="535"/>
      <c r="AL733" s="535"/>
      <c r="AM733" s="548"/>
      <c r="AN733" s="679"/>
      <c r="AP733" s="548" t="s">
        <v>589</v>
      </c>
      <c r="AQ733" s="668">
        <v>0</v>
      </c>
    </row>
    <row r="734" spans="1:43" s="567" customFormat="1" ht="13.9" customHeight="1">
      <c r="A734" s="548"/>
      <c r="B734" s="535"/>
      <c r="C734" s="928"/>
      <c r="D734" s="535"/>
      <c r="E734" s="2555"/>
      <c r="F734" s="2555"/>
      <c r="G734" s="2555"/>
      <c r="H734" s="2555"/>
      <c r="I734" s="2555"/>
      <c r="J734" s="2555"/>
      <c r="K734" s="2555"/>
      <c r="L734" s="2555"/>
      <c r="M734" s="2555"/>
      <c r="N734" s="2555"/>
      <c r="O734" s="2555"/>
      <c r="P734" s="2555"/>
      <c r="Q734" s="2555"/>
      <c r="R734" s="2555"/>
      <c r="S734" s="2555"/>
      <c r="T734" s="2555"/>
      <c r="U734" s="2555"/>
      <c r="V734" s="2555"/>
      <c r="W734" s="2555"/>
      <c r="X734" s="2555"/>
      <c r="Y734" s="2555"/>
      <c r="Z734" s="2555"/>
      <c r="AA734" s="2555"/>
      <c r="AB734" s="2555"/>
      <c r="AC734" s="535"/>
      <c r="AD734" s="535"/>
      <c r="AE734" s="535"/>
      <c r="AF734" s="535"/>
      <c r="AG734" s="535"/>
      <c r="AH734" s="535"/>
      <c r="AI734" s="535"/>
      <c r="AJ734" s="535"/>
      <c r="AK734" s="535"/>
      <c r="AL734" s="535"/>
      <c r="AM734" s="548"/>
      <c r="AN734" s="679"/>
      <c r="AP734" s="608" t="s">
        <v>685</v>
      </c>
      <c r="AQ734" s="548">
        <v>3</v>
      </c>
    </row>
    <row r="735" spans="1:43" s="567" customFormat="1" ht="13.9" customHeight="1">
      <c r="A735" s="548"/>
      <c r="B735" s="535"/>
      <c r="C735" s="928"/>
      <c r="D735" s="535"/>
      <c r="E735" s="945"/>
      <c r="F735" s="945"/>
      <c r="G735" s="945"/>
      <c r="H735" s="945"/>
      <c r="I735" s="945"/>
      <c r="J735" s="945"/>
      <c r="K735" s="945"/>
      <c r="L735" s="945"/>
      <c r="M735" s="945"/>
      <c r="N735" s="945"/>
      <c r="O735" s="945"/>
      <c r="P735" s="945"/>
      <c r="Q735" s="945"/>
      <c r="R735" s="945"/>
      <c r="S735" s="945"/>
      <c r="T735" s="945"/>
      <c r="U735" s="945"/>
      <c r="V735" s="945"/>
      <c r="W735" s="945"/>
      <c r="X735" s="945"/>
      <c r="Y735" s="945"/>
      <c r="Z735" s="945"/>
      <c r="AA735" s="945"/>
      <c r="AB735" s="945"/>
      <c r="AC735" s="535"/>
      <c r="AD735" s="535"/>
      <c r="AE735" s="535"/>
      <c r="AF735" s="535"/>
      <c r="AG735" s="535"/>
      <c r="AH735" s="535"/>
      <c r="AI735" s="535"/>
      <c r="AJ735" s="535"/>
      <c r="AK735" s="535"/>
      <c r="AL735" s="535"/>
      <c r="AM735" s="548"/>
      <c r="AN735" s="679"/>
      <c r="AP735" s="608" t="s">
        <v>507</v>
      </c>
      <c r="AQ735" s="548">
        <v>2</v>
      </c>
    </row>
    <row r="736" spans="1:43" s="567" customFormat="1" ht="13.9" customHeight="1">
      <c r="A736" s="548"/>
      <c r="B736" s="535"/>
      <c r="C736" s="928"/>
      <c r="D736" s="535" t="s">
        <v>1390</v>
      </c>
      <c r="E736" s="931"/>
      <c r="F736" s="931"/>
      <c r="G736" s="931"/>
      <c r="H736" s="2546" t="s">
        <v>589</v>
      </c>
      <c r="I736" s="2546"/>
      <c r="J736" s="945"/>
      <c r="K736" s="945"/>
      <c r="L736" s="945"/>
      <c r="M736" s="945"/>
      <c r="N736" s="945"/>
      <c r="O736" s="945"/>
      <c r="P736" s="945"/>
      <c r="Q736" s="945"/>
      <c r="R736" s="945"/>
      <c r="S736" s="945"/>
      <c r="T736" s="945"/>
      <c r="U736" s="945"/>
      <c r="V736" s="945"/>
      <c r="W736" s="945"/>
      <c r="X736" s="945"/>
      <c r="Y736" s="945"/>
      <c r="Z736" s="945"/>
      <c r="AA736" s="945"/>
      <c r="AB736" s="945"/>
      <c r="AC736" s="535"/>
      <c r="AD736" s="535"/>
      <c r="AE736" s="535"/>
      <c r="AF736" s="535"/>
      <c r="AG736" s="535"/>
      <c r="AH736" s="535"/>
      <c r="AI736" s="535"/>
      <c r="AJ736" s="535"/>
      <c r="AK736" s="535"/>
      <c r="AL736" s="535"/>
      <c r="AM736" s="548"/>
      <c r="AN736" s="679"/>
    </row>
    <row r="737" spans="1:81" s="567" customFormat="1" ht="14.25" customHeight="1">
      <c r="A737" s="548"/>
      <c r="B737" s="535"/>
      <c r="C737" s="928"/>
      <c r="D737" s="535"/>
      <c r="E737" s="945"/>
      <c r="F737" s="945"/>
      <c r="G737" s="945"/>
      <c r="H737" s="945"/>
      <c r="I737" s="945"/>
      <c r="J737" s="945"/>
      <c r="K737" s="945"/>
      <c r="L737" s="945"/>
      <c r="M737" s="945"/>
      <c r="N737" s="945"/>
      <c r="O737" s="945"/>
      <c r="P737" s="945"/>
      <c r="Q737" s="945"/>
      <c r="R737" s="945"/>
      <c r="S737" s="945"/>
      <c r="T737" s="945"/>
      <c r="U737" s="945"/>
      <c r="V737" s="945"/>
      <c r="W737" s="945"/>
      <c r="X737" s="945"/>
      <c r="Y737" s="945"/>
      <c r="Z737" s="945"/>
      <c r="AA737" s="945"/>
      <c r="AB737" s="945"/>
      <c r="AC737" s="535"/>
      <c r="AD737" s="535"/>
      <c r="AE737" s="535"/>
      <c r="AF737" s="535"/>
      <c r="AG737" s="535"/>
      <c r="AH737" s="535"/>
      <c r="AI737" s="535"/>
      <c r="AJ737" s="535"/>
      <c r="AK737" s="535"/>
      <c r="AL737" s="535"/>
      <c r="AM737" s="548"/>
      <c r="AN737" s="679"/>
    </row>
    <row r="738" spans="1:81" s="567" customFormat="1" ht="12.75" customHeight="1">
      <c r="A738" s="603"/>
      <c r="B738" s="598"/>
      <c r="C738" s="933"/>
      <c r="D738" s="598"/>
      <c r="E738" s="598"/>
      <c r="F738" s="598"/>
      <c r="G738" s="598"/>
      <c r="H738" s="598"/>
      <c r="I738" s="598"/>
      <c r="J738" s="946"/>
      <c r="K738" s="946"/>
      <c r="L738" s="946"/>
      <c r="M738" s="946"/>
      <c r="N738" s="946"/>
      <c r="O738" s="946"/>
      <c r="P738" s="946"/>
      <c r="Q738" s="946"/>
      <c r="R738" s="946"/>
      <c r="S738" s="946"/>
      <c r="T738" s="946"/>
      <c r="U738" s="660"/>
      <c r="V738" s="660"/>
      <c r="W738" s="660"/>
      <c r="X738" s="660"/>
      <c r="Y738" s="934"/>
      <c r="Z738" s="934"/>
      <c r="AA738" s="934"/>
      <c r="AB738" s="598"/>
      <c r="AC738" s="598"/>
      <c r="AD738" s="598"/>
      <c r="AE738" s="598"/>
      <c r="AF738" s="598"/>
      <c r="AG738" s="598"/>
      <c r="AH738" s="598"/>
      <c r="AI738" s="562" t="s">
        <v>1427</v>
      </c>
      <c r="AJ738" s="2491">
        <f>VLOOKUP($H$736,$AP$733:$AQ$735,2,FALSE)</f>
        <v>0</v>
      </c>
      <c r="AK738" s="2493"/>
      <c r="AL738" s="592"/>
      <c r="AM738" s="548"/>
      <c r="AN738" s="679"/>
      <c r="AP738" s="2491"/>
      <c r="AQ738" s="2493"/>
    </row>
    <row r="739" spans="1:81" s="567" customFormat="1">
      <c r="A739" s="548"/>
      <c r="B739" s="607"/>
      <c r="C739" s="926"/>
      <c r="D739" s="930"/>
      <c r="E739" s="613"/>
      <c r="F739" s="613"/>
      <c r="G739" s="613"/>
      <c r="H739" s="613"/>
      <c r="I739" s="613"/>
      <c r="J739" s="613"/>
      <c r="K739" s="613"/>
      <c r="L739" s="613"/>
      <c r="M739" s="613"/>
      <c r="N739" s="613"/>
      <c r="O739" s="613"/>
      <c r="P739" s="613"/>
      <c r="Q739" s="613"/>
      <c r="R739" s="613"/>
      <c r="S739" s="613"/>
      <c r="T739" s="613"/>
      <c r="U739" s="613"/>
      <c r="V739" s="613"/>
      <c r="W739" s="613"/>
      <c r="X739" s="613"/>
      <c r="Y739" s="613"/>
      <c r="Z739" s="613"/>
      <c r="AA739" s="613"/>
      <c r="AB739" s="613"/>
      <c r="AC739" s="535"/>
      <c r="AD739" s="535"/>
      <c r="AE739" s="535"/>
      <c r="AF739" s="535"/>
      <c r="AG739" s="535"/>
      <c r="AH739" s="535"/>
      <c r="AI739" s="535"/>
      <c r="AJ739" s="535"/>
      <c r="AK739" s="535"/>
      <c r="AL739" s="535"/>
      <c r="AM739" s="548"/>
      <c r="AN739" s="679"/>
      <c r="AT739" s="14"/>
      <c r="AU739" s="14"/>
      <c r="AV739" s="14"/>
      <c r="AW739" s="14"/>
      <c r="AX739" s="14"/>
      <c r="AY739" s="14"/>
      <c r="AZ739" s="14"/>
    </row>
    <row r="740" spans="1:81" s="567" customFormat="1">
      <c r="A740" s="548"/>
      <c r="B740" s="535"/>
      <c r="C740" s="538" t="s">
        <v>1428</v>
      </c>
      <c r="D740" s="947"/>
      <c r="E740" s="613"/>
      <c r="F740" s="613"/>
      <c r="G740" s="613"/>
      <c r="H740" s="613"/>
      <c r="I740" s="613"/>
      <c r="J740" s="613"/>
      <c r="K740" s="613"/>
      <c r="L740" s="613"/>
      <c r="M740" s="613"/>
      <c r="N740" s="613"/>
      <c r="O740" s="613"/>
      <c r="P740" s="613"/>
      <c r="Q740" s="613"/>
      <c r="R740" s="613"/>
      <c r="S740" s="613"/>
      <c r="T740" s="613"/>
      <c r="U740" s="613"/>
      <c r="V740" s="613"/>
      <c r="W740" s="613"/>
      <c r="X740" s="613"/>
      <c r="Y740" s="613"/>
      <c r="Z740" s="613"/>
      <c r="AA740" s="613"/>
      <c r="AB740" s="613"/>
      <c r="AC740" s="535"/>
      <c r="AD740" s="535"/>
      <c r="AE740" s="535"/>
      <c r="AF740" s="535"/>
      <c r="AG740" s="535"/>
      <c r="AH740" s="535"/>
      <c r="AI740" s="535"/>
      <c r="AJ740" s="535"/>
      <c r="AK740" s="535"/>
      <c r="AL740" s="535"/>
      <c r="AM740" s="548"/>
      <c r="AN740" s="679"/>
      <c r="AT740" s="14"/>
      <c r="AU740" s="14"/>
      <c r="AV740" s="14"/>
      <c r="AW740" s="14"/>
      <c r="AX740" s="14"/>
      <c r="AY740" s="14"/>
      <c r="AZ740" s="14"/>
    </row>
    <row r="741" spans="1:81" s="567" customFormat="1">
      <c r="A741" s="548"/>
      <c r="B741" s="607"/>
      <c r="C741" s="926"/>
      <c r="D741" s="930"/>
      <c r="E741" s="613"/>
      <c r="F741" s="613"/>
      <c r="G741" s="613"/>
      <c r="H741" s="613"/>
      <c r="I741" s="613"/>
      <c r="J741" s="613"/>
      <c r="K741" s="613"/>
      <c r="L741" s="613"/>
      <c r="M741" s="613"/>
      <c r="N741" s="613"/>
      <c r="O741" s="613"/>
      <c r="P741" s="613"/>
      <c r="Q741" s="613"/>
      <c r="R741" s="613"/>
      <c r="S741" s="613"/>
      <c r="T741" s="613"/>
      <c r="U741" s="613"/>
      <c r="V741" s="613"/>
      <c r="W741" s="613"/>
      <c r="X741" s="613"/>
      <c r="Y741" s="613"/>
      <c r="Z741" s="613"/>
      <c r="AA741" s="613"/>
      <c r="AB741" s="613"/>
      <c r="AC741" s="535"/>
      <c r="AD741" s="535"/>
      <c r="AE741" s="535"/>
      <c r="AF741" s="535"/>
      <c r="AG741" s="535"/>
      <c r="AH741" s="535"/>
      <c r="AI741" s="535"/>
      <c r="AJ741" s="535"/>
      <c r="AK741" s="535"/>
      <c r="AL741" s="535"/>
      <c r="AM741" s="548"/>
      <c r="AN741" s="679"/>
      <c r="AT741" s="14"/>
      <c r="AU741" s="14"/>
      <c r="AV741" s="14"/>
      <c r="AW741" s="14"/>
      <c r="AX741" s="14"/>
      <c r="AY741" s="14"/>
      <c r="AZ741" s="14"/>
    </row>
    <row r="742" spans="1:81" s="567" customFormat="1">
      <c r="A742" s="548"/>
      <c r="B742" s="535"/>
      <c r="C742" s="926"/>
      <c r="D742" s="658" t="s">
        <v>685</v>
      </c>
      <c r="E742" s="2483" t="s">
        <v>1683</v>
      </c>
      <c r="F742" s="2483"/>
      <c r="G742" s="2483"/>
      <c r="H742" s="2483"/>
      <c r="I742" s="2483"/>
      <c r="J742" s="2483"/>
      <c r="K742" s="2483"/>
      <c r="L742" s="2483"/>
      <c r="M742" s="2483"/>
      <c r="N742" s="2483"/>
      <c r="O742" s="2483"/>
      <c r="P742" s="2483"/>
      <c r="Q742" s="2483"/>
      <c r="R742" s="2483"/>
      <c r="S742" s="2483"/>
      <c r="T742" s="2483"/>
      <c r="U742" s="2483"/>
      <c r="V742" s="2483"/>
      <c r="W742" s="2483"/>
      <c r="X742" s="2483"/>
      <c r="Y742" s="2483"/>
      <c r="Z742" s="2483"/>
      <c r="AA742" s="2483"/>
      <c r="AB742" s="2483"/>
      <c r="AC742" s="535"/>
      <c r="AD742" s="535"/>
      <c r="AE742" s="535"/>
      <c r="AF742" s="2466" t="s">
        <v>1344</v>
      </c>
      <c r="AG742" s="2466"/>
      <c r="AH742" s="2466"/>
      <c r="AI742" s="2466"/>
      <c r="AJ742" s="2466"/>
      <c r="AK742" s="2466"/>
      <c r="AL742" s="2466"/>
      <c r="AM742" s="548"/>
      <c r="AN742" s="679"/>
      <c r="AT742" s="14"/>
      <c r="AU742" s="14"/>
      <c r="AV742" s="14"/>
      <c r="AW742" s="14"/>
      <c r="AX742" s="14"/>
      <c r="AY742" s="14"/>
      <c r="AZ742" s="14"/>
    </row>
    <row r="743" spans="1:81" s="567" customFormat="1">
      <c r="A743" s="548"/>
      <c r="B743" s="535"/>
      <c r="C743" s="928"/>
      <c r="D743" s="658"/>
      <c r="E743" s="2483"/>
      <c r="F743" s="2483"/>
      <c r="G743" s="2483"/>
      <c r="H743" s="2483"/>
      <c r="I743" s="2483"/>
      <c r="J743" s="2483"/>
      <c r="K743" s="2483"/>
      <c r="L743" s="2483"/>
      <c r="M743" s="2483"/>
      <c r="N743" s="2483"/>
      <c r="O743" s="2483"/>
      <c r="P743" s="2483"/>
      <c r="Q743" s="2483"/>
      <c r="R743" s="2483"/>
      <c r="S743" s="2483"/>
      <c r="T743" s="2483"/>
      <c r="U743" s="2483"/>
      <c r="V743" s="2483"/>
      <c r="W743" s="2483"/>
      <c r="X743" s="2483"/>
      <c r="Y743" s="2483"/>
      <c r="Z743" s="2483"/>
      <c r="AA743" s="2483"/>
      <c r="AB743" s="2483"/>
      <c r="AC743" s="535"/>
      <c r="AD743" s="535"/>
      <c r="AE743" s="535"/>
      <c r="AF743" s="535"/>
      <c r="AG743" s="535"/>
      <c r="AH743" s="535"/>
      <c r="AI743" s="535"/>
      <c r="AJ743" s="535"/>
      <c r="AK743" s="535"/>
      <c r="AL743" s="535"/>
      <c r="AM743" s="548"/>
      <c r="AN743" s="679"/>
      <c r="AT743" s="14"/>
      <c r="AU743" s="14"/>
      <c r="AV743" s="14"/>
      <c r="AW743" s="14"/>
      <c r="AX743" s="14"/>
      <c r="AY743" s="14"/>
      <c r="AZ743" s="14"/>
    </row>
    <row r="744" spans="1:81" s="567" customFormat="1">
      <c r="A744" s="548"/>
      <c r="B744" s="607"/>
      <c r="C744" s="926"/>
      <c r="D744" s="658"/>
      <c r="E744" s="613"/>
      <c r="F744" s="613"/>
      <c r="G744" s="613"/>
      <c r="H744" s="613"/>
      <c r="I744" s="613"/>
      <c r="J744" s="613"/>
      <c r="K744" s="613"/>
      <c r="L744" s="613"/>
      <c r="M744" s="613"/>
      <c r="N744" s="613"/>
      <c r="O744" s="613"/>
      <c r="P744" s="613"/>
      <c r="Q744" s="613"/>
      <c r="R744" s="613"/>
      <c r="S744" s="613"/>
      <c r="T744" s="613"/>
      <c r="U744" s="613"/>
      <c r="V744" s="613"/>
      <c r="W744" s="613"/>
      <c r="X744" s="613"/>
      <c r="Y744" s="613"/>
      <c r="Z744" s="613"/>
      <c r="AA744" s="613"/>
      <c r="AB744" s="613"/>
      <c r="AC744" s="535"/>
      <c r="AD744" s="535"/>
      <c r="AE744" s="535"/>
      <c r="AF744" s="535"/>
      <c r="AG744" s="535"/>
      <c r="AH744" s="535"/>
      <c r="AI744" s="535"/>
      <c r="AJ744" s="535"/>
      <c r="AK744" s="535"/>
      <c r="AL744" s="535"/>
      <c r="AM744" s="548"/>
      <c r="AN744" s="679"/>
      <c r="AT744" s="14"/>
      <c r="AU744" s="14"/>
      <c r="AV744" s="14"/>
      <c r="AW744" s="14"/>
      <c r="AX744" s="14"/>
      <c r="AY744" s="14"/>
      <c r="AZ744" s="14"/>
    </row>
    <row r="745" spans="1:81" s="567" customFormat="1" ht="12.75" customHeight="1">
      <c r="A745" s="548"/>
      <c r="B745" s="535"/>
      <c r="C745" s="926"/>
      <c r="D745" s="658" t="s">
        <v>507</v>
      </c>
      <c r="E745" s="2483" t="s">
        <v>1429</v>
      </c>
      <c r="F745" s="2483"/>
      <c r="G745" s="2483"/>
      <c r="H745" s="2483"/>
      <c r="I745" s="2483"/>
      <c r="J745" s="2483"/>
      <c r="K745" s="2483"/>
      <c r="L745" s="2483"/>
      <c r="M745" s="2483"/>
      <c r="N745" s="2483"/>
      <c r="O745" s="2483"/>
      <c r="P745" s="2483"/>
      <c r="Q745" s="2483"/>
      <c r="R745" s="2483"/>
      <c r="S745" s="2483"/>
      <c r="T745" s="2483"/>
      <c r="U745" s="2483"/>
      <c r="V745" s="2483"/>
      <c r="W745" s="2483"/>
      <c r="X745" s="2483"/>
      <c r="Y745" s="2483"/>
      <c r="Z745" s="2483"/>
      <c r="AA745" s="2483"/>
      <c r="AB745" s="2483"/>
      <c r="AC745" s="535"/>
      <c r="AD745" s="535"/>
      <c r="AE745" s="535"/>
      <c r="AF745" s="2466" t="s">
        <v>1398</v>
      </c>
      <c r="AG745" s="2466"/>
      <c r="AH745" s="2466"/>
      <c r="AI745" s="2466"/>
      <c r="AJ745" s="2466"/>
      <c r="AK745" s="2466"/>
      <c r="AL745" s="2466"/>
      <c r="AM745" s="548"/>
      <c r="AN745" s="679"/>
      <c r="AT745" s="14"/>
      <c r="AU745" s="14"/>
      <c r="AV745" s="14"/>
      <c r="AW745" s="14"/>
      <c r="AX745" s="14"/>
      <c r="AY745" s="14"/>
      <c r="AZ745" s="14"/>
    </row>
    <row r="746" spans="1:81" s="567" customFormat="1">
      <c r="A746" s="548"/>
      <c r="B746" s="535"/>
      <c r="C746" s="928"/>
      <c r="D746" s="535"/>
      <c r="E746" s="2483"/>
      <c r="F746" s="2483"/>
      <c r="G746" s="2483"/>
      <c r="H746" s="2483"/>
      <c r="I746" s="2483"/>
      <c r="J746" s="2483"/>
      <c r="K746" s="2483"/>
      <c r="L746" s="2483"/>
      <c r="M746" s="2483"/>
      <c r="N746" s="2483"/>
      <c r="O746" s="2483"/>
      <c r="P746" s="2483"/>
      <c r="Q746" s="2483"/>
      <c r="R746" s="2483"/>
      <c r="S746" s="2483"/>
      <c r="T746" s="2483"/>
      <c r="U746" s="2483"/>
      <c r="V746" s="2483"/>
      <c r="W746" s="2483"/>
      <c r="X746" s="2483"/>
      <c r="Y746" s="2483"/>
      <c r="Z746" s="2483"/>
      <c r="AA746" s="2483"/>
      <c r="AB746" s="2483"/>
      <c r="AC746" s="535"/>
      <c r="AD746" s="535"/>
      <c r="AE746" s="535"/>
      <c r="AF746" s="535"/>
      <c r="AG746" s="535"/>
      <c r="AH746" s="535"/>
      <c r="AI746" s="535"/>
      <c r="AJ746" s="535"/>
      <c r="AK746" s="535"/>
      <c r="AL746" s="535"/>
      <c r="AM746" s="548"/>
      <c r="AN746" s="679"/>
      <c r="AT746" s="14"/>
      <c r="AU746" s="14"/>
      <c r="AV746" s="14"/>
      <c r="AW746" s="14"/>
      <c r="AX746" s="14"/>
      <c r="AY746" s="14"/>
      <c r="AZ746" s="14"/>
    </row>
    <row r="747" spans="1:81" s="567" customFormat="1">
      <c r="A747" s="548"/>
      <c r="B747" s="535"/>
      <c r="C747" s="928"/>
      <c r="D747" s="535"/>
      <c r="E747" s="640"/>
      <c r="F747" s="640"/>
      <c r="G747" s="640"/>
      <c r="H747" s="640"/>
      <c r="I747" s="640"/>
      <c r="J747" s="640"/>
      <c r="K747" s="640"/>
      <c r="L747" s="640"/>
      <c r="M747" s="640"/>
      <c r="N747" s="640"/>
      <c r="O747" s="640"/>
      <c r="P747" s="640"/>
      <c r="Q747" s="640"/>
      <c r="R747" s="640"/>
      <c r="S747" s="640"/>
      <c r="T747" s="640"/>
      <c r="U747" s="640"/>
      <c r="V747" s="640"/>
      <c r="W747" s="640"/>
      <c r="X747" s="640"/>
      <c r="Y747" s="640"/>
      <c r="Z747" s="640"/>
      <c r="AA747" s="640"/>
      <c r="AB747" s="640"/>
      <c r="AC747" s="535"/>
      <c r="AD747" s="535"/>
      <c r="AE747" s="535"/>
      <c r="AF747" s="535"/>
      <c r="AG747" s="535"/>
      <c r="AH747" s="535"/>
      <c r="AI747" s="535"/>
      <c r="AJ747" s="535"/>
      <c r="AK747" s="535"/>
      <c r="AL747" s="535"/>
      <c r="AM747" s="548"/>
      <c r="AN747" s="679"/>
      <c r="AT747" s="14"/>
      <c r="AU747" s="14"/>
      <c r="AV747" s="14"/>
      <c r="AW747" s="14"/>
      <c r="AX747" s="14"/>
      <c r="AY747" s="14"/>
      <c r="AZ747" s="14"/>
    </row>
    <row r="748" spans="1:81" s="567" customFormat="1" ht="12.75" customHeight="1">
      <c r="A748" s="548"/>
      <c r="B748" s="535"/>
      <c r="C748" s="928"/>
      <c r="D748" s="535" t="s">
        <v>1390</v>
      </c>
      <c r="E748" s="931"/>
      <c r="F748" s="931"/>
      <c r="G748" s="931"/>
      <c r="H748" s="2546" t="s">
        <v>589</v>
      </c>
      <c r="I748" s="2546"/>
      <c r="J748" s="640"/>
      <c r="K748" s="640"/>
      <c r="L748" s="640"/>
      <c r="M748" s="640"/>
      <c r="N748" s="640"/>
      <c r="O748" s="640"/>
      <c r="P748" s="640"/>
      <c r="Q748" s="640"/>
      <c r="R748" s="640"/>
      <c r="S748" s="640"/>
      <c r="T748" s="640"/>
      <c r="U748" s="640"/>
      <c r="V748" s="640"/>
      <c r="W748" s="640"/>
      <c r="X748" s="640"/>
      <c r="Y748" s="640"/>
      <c r="Z748" s="640"/>
      <c r="AA748" s="640"/>
      <c r="AB748" s="640"/>
      <c r="AC748" s="535"/>
      <c r="AD748" s="535"/>
      <c r="AE748" s="535"/>
      <c r="AF748" s="535"/>
      <c r="AG748" s="535"/>
      <c r="AH748" s="535"/>
      <c r="AI748" s="535"/>
      <c r="AJ748" s="535"/>
      <c r="AK748" s="535"/>
      <c r="AL748" s="535"/>
      <c r="AM748" s="548"/>
      <c r="AN748" s="679"/>
      <c r="AT748" s="14"/>
      <c r="AU748" s="14"/>
      <c r="AV748" s="14"/>
      <c r="AW748" s="14"/>
      <c r="AX748" s="14"/>
      <c r="AY748" s="14"/>
      <c r="AZ748" s="14"/>
    </row>
    <row r="749" spans="1:81" s="567" customFormat="1">
      <c r="A749" s="548"/>
      <c r="B749" s="535"/>
      <c r="C749" s="928"/>
      <c r="D749" s="535"/>
      <c r="E749" s="640"/>
      <c r="F749" s="640"/>
      <c r="G749" s="640"/>
      <c r="H749" s="640"/>
      <c r="I749" s="640"/>
      <c r="J749" s="640"/>
      <c r="K749" s="640"/>
      <c r="L749" s="640"/>
      <c r="M749" s="640"/>
      <c r="N749" s="640"/>
      <c r="O749" s="640"/>
      <c r="P749" s="640"/>
      <c r="Q749" s="640"/>
      <c r="R749" s="640"/>
      <c r="S749" s="640"/>
      <c r="T749" s="640"/>
      <c r="U749" s="640"/>
      <c r="V749" s="640"/>
      <c r="W749" s="640"/>
      <c r="X749" s="640"/>
      <c r="Y749" s="640"/>
      <c r="Z749" s="640"/>
      <c r="AA749" s="640"/>
      <c r="AB749" s="640"/>
      <c r="AC749" s="535"/>
      <c r="AD749" s="535"/>
      <c r="AE749" s="535"/>
      <c r="AF749" s="535"/>
      <c r="AG749" s="535"/>
      <c r="AH749" s="535"/>
      <c r="AI749" s="535"/>
      <c r="AJ749" s="535"/>
      <c r="AK749" s="535"/>
      <c r="AL749" s="535"/>
      <c r="AM749" s="548"/>
      <c r="AN749" s="679"/>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7" customFormat="1">
      <c r="A750" s="603"/>
      <c r="B750" s="598"/>
      <c r="C750" s="933"/>
      <c r="D750" s="598"/>
      <c r="E750" s="944"/>
      <c r="F750" s="944"/>
      <c r="G750" s="944"/>
      <c r="H750" s="944"/>
      <c r="I750" s="944"/>
      <c r="J750" s="944"/>
      <c r="K750" s="944"/>
      <c r="L750" s="944"/>
      <c r="M750" s="944"/>
      <c r="N750" s="944"/>
      <c r="O750" s="944"/>
      <c r="P750" s="944"/>
      <c r="Q750" s="944"/>
      <c r="R750" s="944"/>
      <c r="S750" s="944"/>
      <c r="T750" s="944"/>
      <c r="U750" s="944"/>
      <c r="V750" s="660"/>
      <c r="W750" s="660"/>
      <c r="X750" s="660"/>
      <c r="Y750" s="934"/>
      <c r="Z750" s="934"/>
      <c r="AA750" s="934"/>
      <c r="AB750" s="598"/>
      <c r="AC750" s="598"/>
      <c r="AD750" s="598"/>
      <c r="AE750" s="598"/>
      <c r="AF750" s="598"/>
      <c r="AG750" s="598"/>
      <c r="AH750" s="598"/>
      <c r="AI750" s="562" t="s">
        <v>1430</v>
      </c>
      <c r="AJ750" s="2491">
        <f>VLOOKUP($H$748,$AO$679:$AP$681,2,FALSE)</f>
        <v>0</v>
      </c>
      <c r="AK750" s="2493"/>
      <c r="AL750" s="592"/>
      <c r="AM750" s="548"/>
      <c r="AN750" s="679"/>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7" customFormat="1" ht="12.75" customHeight="1">
      <c r="A751" s="548"/>
      <c r="B751" s="535"/>
      <c r="C751" s="928"/>
      <c r="D751" s="535"/>
      <c r="E751" s="535"/>
      <c r="F751" s="535"/>
      <c r="G751" s="535"/>
      <c r="H751" s="535"/>
      <c r="I751" s="535"/>
      <c r="J751" s="640"/>
      <c r="K751" s="640"/>
      <c r="L751" s="640"/>
      <c r="M751" s="640"/>
      <c r="N751" s="535"/>
      <c r="O751" s="535"/>
      <c r="P751" s="535"/>
      <c r="Q751" s="535"/>
      <c r="R751" s="535"/>
      <c r="S751" s="535"/>
      <c r="T751" s="535"/>
      <c r="U751" s="535"/>
      <c r="V751" s="535"/>
      <c r="W751" s="535"/>
      <c r="X751" s="535"/>
      <c r="Y751" s="535"/>
      <c r="Z751" s="535"/>
      <c r="AA751" s="535"/>
      <c r="AB751" s="535"/>
      <c r="AC751" s="535"/>
      <c r="AD751" s="535"/>
      <c r="AE751" s="535"/>
      <c r="AF751" s="535"/>
      <c r="AG751" s="535"/>
      <c r="AH751" s="535"/>
      <c r="AI751" s="535"/>
      <c r="AJ751" s="535"/>
      <c r="AK751" s="535"/>
      <c r="AL751" s="535"/>
      <c r="AM751" s="548"/>
      <c r="AN751" s="679"/>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7" customFormat="1" ht="12.75" customHeight="1">
      <c r="A752" s="548"/>
      <c r="B752" s="535"/>
      <c r="C752" s="538" t="s">
        <v>1431</v>
      </c>
      <c r="D752" s="535"/>
      <c r="E752" s="535"/>
      <c r="F752" s="535"/>
      <c r="G752" s="535"/>
      <c r="H752" s="535"/>
      <c r="I752" s="535"/>
      <c r="J752" s="535"/>
      <c r="K752" s="535"/>
      <c r="L752" s="535"/>
      <c r="M752" s="535"/>
      <c r="N752" s="535"/>
      <c r="O752" s="535"/>
      <c r="P752" s="535"/>
      <c r="Q752" s="535"/>
      <c r="R752" s="535"/>
      <c r="S752" s="535"/>
      <c r="T752" s="535"/>
      <c r="U752" s="535"/>
      <c r="V752" s="535"/>
      <c r="W752" s="535"/>
      <c r="X752" s="535"/>
      <c r="Y752" s="535"/>
      <c r="Z752" s="535"/>
      <c r="AA752" s="535"/>
      <c r="AB752" s="535"/>
      <c r="AC752" s="535"/>
      <c r="AD752" s="535"/>
      <c r="AE752" s="535"/>
      <c r="AF752" s="535"/>
      <c r="AG752" s="535"/>
      <c r="AH752" s="535"/>
      <c r="AI752" s="535"/>
      <c r="AJ752" s="535"/>
      <c r="AK752" s="535"/>
      <c r="AL752" s="535"/>
      <c r="AM752" s="548"/>
      <c r="AN752" s="679"/>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7" customFormat="1">
      <c r="A753" s="548"/>
      <c r="B753" s="607"/>
      <c r="C753" s="948"/>
      <c r="D753" s="607"/>
      <c r="E753" s="607"/>
      <c r="F753" s="535"/>
      <c r="G753" s="535"/>
      <c r="H753" s="607"/>
      <c r="I753" s="607"/>
      <c r="J753" s="607"/>
      <c r="K753" s="607"/>
      <c r="L753" s="607"/>
      <c r="M753" s="607"/>
      <c r="N753" s="607"/>
      <c r="O753" s="607"/>
      <c r="P753" s="607"/>
      <c r="Q753" s="607"/>
      <c r="R753" s="607"/>
      <c r="S753" s="607"/>
      <c r="T753" s="535"/>
      <c r="U753" s="535"/>
      <c r="V753" s="535"/>
      <c r="W753" s="535"/>
      <c r="X753" s="592"/>
      <c r="Y753" s="592"/>
      <c r="Z753" s="592"/>
      <c r="AA753" s="592"/>
      <c r="AB753" s="592"/>
      <c r="AC753" s="535"/>
      <c r="AD753" s="535"/>
      <c r="AE753" s="535"/>
      <c r="AF753" s="535"/>
      <c r="AG753" s="535"/>
      <c r="AH753" s="535"/>
      <c r="AI753" s="535"/>
      <c r="AJ753" s="535"/>
      <c r="AK753" s="535"/>
      <c r="AL753" s="535"/>
      <c r="AM753" s="548"/>
      <c r="AN753" s="679"/>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7" customFormat="1">
      <c r="A754" s="548"/>
      <c r="B754" s="535"/>
      <c r="C754" s="926"/>
      <c r="D754" s="658" t="s">
        <v>685</v>
      </c>
      <c r="E754" s="2483" t="s">
        <v>1432</v>
      </c>
      <c r="F754" s="2483"/>
      <c r="G754" s="2483"/>
      <c r="H754" s="2483"/>
      <c r="I754" s="2483"/>
      <c r="J754" s="2483"/>
      <c r="K754" s="2483"/>
      <c r="L754" s="2483"/>
      <c r="M754" s="2483"/>
      <c r="N754" s="2483"/>
      <c r="O754" s="2483"/>
      <c r="P754" s="2483"/>
      <c r="Q754" s="2483"/>
      <c r="R754" s="2483"/>
      <c r="S754" s="2483"/>
      <c r="T754" s="2483"/>
      <c r="U754" s="2483"/>
      <c r="V754" s="2483"/>
      <c r="W754" s="2483"/>
      <c r="X754" s="2483"/>
      <c r="Y754" s="2483"/>
      <c r="Z754" s="2483"/>
      <c r="AA754" s="2483"/>
      <c r="AB754" s="2483"/>
      <c r="AC754" s="535"/>
      <c r="AD754" s="535"/>
      <c r="AE754" s="535"/>
      <c r="AF754" s="2466" t="s">
        <v>1344</v>
      </c>
      <c r="AG754" s="2466"/>
      <c r="AH754" s="2466"/>
      <c r="AI754" s="2466"/>
      <c r="AJ754" s="2466"/>
      <c r="AK754" s="2466"/>
      <c r="AL754" s="2466"/>
      <c r="AM754" s="548"/>
      <c r="AN754" s="679"/>
      <c r="AT754" s="14"/>
      <c r="AU754" s="14"/>
      <c r="AV754" s="14"/>
      <c r="AW754" s="14"/>
      <c r="AX754" s="14"/>
      <c r="AY754" s="14"/>
      <c r="AZ754" s="14"/>
    </row>
    <row r="755" spans="1:81" s="567" customFormat="1">
      <c r="A755" s="548"/>
      <c r="B755" s="535"/>
      <c r="C755" s="926"/>
      <c r="D755" s="658"/>
      <c r="E755" s="2483"/>
      <c r="F755" s="2483"/>
      <c r="G755" s="2483"/>
      <c r="H755" s="2483"/>
      <c r="I755" s="2483"/>
      <c r="J755" s="2483"/>
      <c r="K755" s="2483"/>
      <c r="L755" s="2483"/>
      <c r="M755" s="2483"/>
      <c r="N755" s="2483"/>
      <c r="O755" s="2483"/>
      <c r="P755" s="2483"/>
      <c r="Q755" s="2483"/>
      <c r="R755" s="2483"/>
      <c r="S755" s="2483"/>
      <c r="T755" s="2483"/>
      <c r="U755" s="2483"/>
      <c r="V755" s="2483"/>
      <c r="W755" s="2483"/>
      <c r="X755" s="2483"/>
      <c r="Y755" s="2483"/>
      <c r="Z755" s="2483"/>
      <c r="AA755" s="2483"/>
      <c r="AB755" s="2483"/>
      <c r="AC755" s="535"/>
      <c r="AD755" s="535"/>
      <c r="AE755" s="535"/>
      <c r="AF755" s="591"/>
      <c r="AG755" s="591"/>
      <c r="AH755" s="591"/>
      <c r="AI755" s="591"/>
      <c r="AJ755" s="591"/>
      <c r="AK755" s="591"/>
      <c r="AL755" s="591"/>
      <c r="AM755" s="548"/>
      <c r="AN755" s="679"/>
      <c r="AT755" s="14"/>
      <c r="AU755" s="14"/>
      <c r="AV755" s="14"/>
      <c r="AW755" s="14"/>
      <c r="AX755" s="14"/>
      <c r="AY755" s="14"/>
      <c r="AZ755" s="14"/>
    </row>
    <row r="756" spans="1:81" s="567" customFormat="1">
      <c r="A756" s="548"/>
      <c r="B756" s="535"/>
      <c r="C756" s="928"/>
      <c r="D756" s="658"/>
      <c r="E756" s="2483"/>
      <c r="F756" s="2483"/>
      <c r="G756" s="2483"/>
      <c r="H756" s="2483"/>
      <c r="I756" s="2483"/>
      <c r="J756" s="2483"/>
      <c r="K756" s="2483"/>
      <c r="L756" s="2483"/>
      <c r="M756" s="2483"/>
      <c r="N756" s="2483"/>
      <c r="O756" s="2483"/>
      <c r="P756" s="2483"/>
      <c r="Q756" s="2483"/>
      <c r="R756" s="2483"/>
      <c r="S756" s="2483"/>
      <c r="T756" s="2483"/>
      <c r="U756" s="2483"/>
      <c r="V756" s="2483"/>
      <c r="W756" s="2483"/>
      <c r="X756" s="2483"/>
      <c r="Y756" s="2483"/>
      <c r="Z756" s="2483"/>
      <c r="AA756" s="2483"/>
      <c r="AB756" s="2483"/>
      <c r="AC756" s="535"/>
      <c r="AD756" s="535"/>
      <c r="AE756" s="535"/>
      <c r="AF756" s="535"/>
      <c r="AG756" s="535"/>
      <c r="AH756" s="535"/>
      <c r="AI756" s="535"/>
      <c r="AJ756" s="535"/>
      <c r="AK756" s="535"/>
      <c r="AL756" s="535"/>
      <c r="AM756" s="548"/>
      <c r="AN756" s="679"/>
    </row>
    <row r="757" spans="1:81" s="567" customFormat="1" ht="12.75" customHeight="1">
      <c r="A757" s="548"/>
      <c r="B757" s="535"/>
      <c r="C757" s="928"/>
      <c r="D757" s="658"/>
      <c r="E757" s="2483"/>
      <c r="F757" s="2483"/>
      <c r="G757" s="2483"/>
      <c r="H757" s="2483"/>
      <c r="I757" s="2483"/>
      <c r="J757" s="2483"/>
      <c r="K757" s="2483"/>
      <c r="L757" s="2483"/>
      <c r="M757" s="2483"/>
      <c r="N757" s="2483"/>
      <c r="O757" s="2483"/>
      <c r="P757" s="2483"/>
      <c r="Q757" s="2483"/>
      <c r="R757" s="2483"/>
      <c r="S757" s="2483"/>
      <c r="T757" s="2483"/>
      <c r="U757" s="2483"/>
      <c r="V757" s="2483"/>
      <c r="W757" s="2483"/>
      <c r="X757" s="2483"/>
      <c r="Y757" s="2483"/>
      <c r="Z757" s="2483"/>
      <c r="AA757" s="2483"/>
      <c r="AB757" s="2483"/>
      <c r="AC757" s="535"/>
      <c r="AD757" s="535"/>
      <c r="AE757" s="535"/>
      <c r="AF757" s="535"/>
      <c r="AG757" s="535"/>
      <c r="AH757" s="535"/>
      <c r="AI757" s="535"/>
      <c r="AJ757" s="535"/>
      <c r="AK757" s="535"/>
      <c r="AL757" s="535"/>
      <c r="AM757" s="548"/>
      <c r="AN757" s="533"/>
      <c r="AO757" s="14"/>
    </row>
    <row r="758" spans="1:81" s="567" customFormat="1">
      <c r="A758" s="674"/>
      <c r="B758" s="592"/>
      <c r="C758" s="926"/>
      <c r="D758" s="658"/>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c r="AA758" s="941"/>
      <c r="AB758" s="941"/>
      <c r="AC758" s="535"/>
      <c r="AD758" s="535"/>
      <c r="AE758" s="535"/>
      <c r="AF758" s="535"/>
      <c r="AG758" s="535"/>
      <c r="AH758" s="535"/>
      <c r="AI758" s="535"/>
      <c r="AJ758" s="535"/>
      <c r="AK758" s="535"/>
      <c r="AL758" s="535"/>
      <c r="AM758" s="548"/>
      <c r="AN758" s="679"/>
      <c r="AO758" s="30"/>
      <c r="AP758" s="14"/>
    </row>
    <row r="759" spans="1:81" s="567" customFormat="1">
      <c r="A759" s="548"/>
      <c r="B759" s="535"/>
      <c r="C759" s="926"/>
      <c r="D759" s="658" t="s">
        <v>507</v>
      </c>
      <c r="E759" s="2483" t="s">
        <v>1433</v>
      </c>
      <c r="F759" s="2483"/>
      <c r="G759" s="2483"/>
      <c r="H759" s="2483"/>
      <c r="I759" s="2483"/>
      <c r="J759" s="2483"/>
      <c r="K759" s="2483"/>
      <c r="L759" s="2483"/>
      <c r="M759" s="2483"/>
      <c r="N759" s="2483"/>
      <c r="O759" s="2483"/>
      <c r="P759" s="2483"/>
      <c r="Q759" s="2483"/>
      <c r="R759" s="2483"/>
      <c r="S759" s="2483"/>
      <c r="T759" s="2483"/>
      <c r="U759" s="2483"/>
      <c r="V759" s="2483"/>
      <c r="W759" s="2483"/>
      <c r="X759" s="2483"/>
      <c r="Y759" s="2483"/>
      <c r="Z759" s="2483"/>
      <c r="AA759" s="2483"/>
      <c r="AB759" s="572"/>
      <c r="AC759" s="535"/>
      <c r="AD759" s="535"/>
      <c r="AE759" s="535"/>
      <c r="AF759" s="2466" t="s">
        <v>1398</v>
      </c>
      <c r="AG759" s="2466"/>
      <c r="AH759" s="2466"/>
      <c r="AI759" s="2466"/>
      <c r="AJ759" s="2466"/>
      <c r="AK759" s="2466"/>
      <c r="AL759" s="2466"/>
      <c r="AM759" s="548"/>
      <c r="AN759" s="679"/>
      <c r="AO759" s="30"/>
      <c r="AP759" s="14"/>
    </row>
    <row r="760" spans="1:81" s="567" customFormat="1">
      <c r="A760" s="548"/>
      <c r="B760" s="535"/>
      <c r="C760" s="926"/>
      <c r="D760" s="658"/>
      <c r="E760" s="2483"/>
      <c r="F760" s="2483"/>
      <c r="G760" s="2483"/>
      <c r="H760" s="2483"/>
      <c r="I760" s="2483"/>
      <c r="J760" s="2483"/>
      <c r="K760" s="2483"/>
      <c r="L760" s="2483"/>
      <c r="M760" s="2483"/>
      <c r="N760" s="2483"/>
      <c r="O760" s="2483"/>
      <c r="P760" s="2483"/>
      <c r="Q760" s="2483"/>
      <c r="R760" s="2483"/>
      <c r="S760" s="2483"/>
      <c r="T760" s="2483"/>
      <c r="U760" s="2483"/>
      <c r="V760" s="2483"/>
      <c r="W760" s="2483"/>
      <c r="X760" s="2483"/>
      <c r="Y760" s="2483"/>
      <c r="Z760" s="2483"/>
      <c r="AA760" s="2483"/>
      <c r="AB760" s="572"/>
      <c r="AC760" s="535"/>
      <c r="AD760" s="535"/>
      <c r="AE760" s="535"/>
      <c r="AF760" s="591"/>
      <c r="AG760" s="591"/>
      <c r="AH760" s="591"/>
      <c r="AI760" s="591"/>
      <c r="AJ760" s="591"/>
      <c r="AK760" s="591"/>
      <c r="AL760" s="591"/>
      <c r="AM760" s="548"/>
      <c r="AN760" s="679"/>
      <c r="AO760" s="30"/>
      <c r="AP760" s="14"/>
    </row>
    <row r="761" spans="1:81" s="567" customFormat="1">
      <c r="A761" s="548"/>
      <c r="B761" s="535"/>
      <c r="C761" s="926"/>
      <c r="D761" s="535"/>
      <c r="E761" s="2483"/>
      <c r="F761" s="2483"/>
      <c r="G761" s="2483"/>
      <c r="H761" s="2483"/>
      <c r="I761" s="2483"/>
      <c r="J761" s="2483"/>
      <c r="K761" s="2483"/>
      <c r="L761" s="2483"/>
      <c r="M761" s="2483"/>
      <c r="N761" s="2483"/>
      <c r="O761" s="2483"/>
      <c r="P761" s="2483"/>
      <c r="Q761" s="2483"/>
      <c r="R761" s="2483"/>
      <c r="S761" s="2483"/>
      <c r="T761" s="2483"/>
      <c r="U761" s="2483"/>
      <c r="V761" s="2483"/>
      <c r="W761" s="2483"/>
      <c r="X761" s="2483"/>
      <c r="Y761" s="2483"/>
      <c r="Z761" s="2483"/>
      <c r="AA761" s="2483"/>
      <c r="AB761" s="572"/>
      <c r="AC761" s="591"/>
      <c r="AD761" s="591"/>
      <c r="AE761" s="591"/>
      <c r="AF761" s="591"/>
      <c r="AG761" s="591"/>
      <c r="AH761" s="591"/>
      <c r="AI761" s="591"/>
      <c r="AJ761" s="535"/>
      <c r="AK761" s="535"/>
      <c r="AL761" s="535"/>
      <c r="AM761" s="548"/>
      <c r="AN761" s="679"/>
      <c r="AO761" s="30"/>
      <c r="AP761" s="14"/>
    </row>
    <row r="762" spans="1:81" s="567" customFormat="1">
      <c r="A762" s="548"/>
      <c r="B762" s="535"/>
      <c r="C762" s="926"/>
      <c r="D762" s="535"/>
      <c r="E762" s="2483"/>
      <c r="F762" s="2483"/>
      <c r="G762" s="2483"/>
      <c r="H762" s="2483"/>
      <c r="I762" s="2483"/>
      <c r="J762" s="2483"/>
      <c r="K762" s="2483"/>
      <c r="L762" s="2483"/>
      <c r="M762" s="2483"/>
      <c r="N762" s="2483"/>
      <c r="O762" s="2483"/>
      <c r="P762" s="2483"/>
      <c r="Q762" s="2483"/>
      <c r="R762" s="2483"/>
      <c r="S762" s="2483"/>
      <c r="T762" s="2483"/>
      <c r="U762" s="2483"/>
      <c r="V762" s="2483"/>
      <c r="W762" s="2483"/>
      <c r="X762" s="2483"/>
      <c r="Y762" s="2483"/>
      <c r="Z762" s="2483"/>
      <c r="AA762" s="2483"/>
      <c r="AB762" s="572"/>
      <c r="AC762" s="591"/>
      <c r="AD762" s="591"/>
      <c r="AE762" s="591"/>
      <c r="AF762" s="591"/>
      <c r="AG762" s="591"/>
      <c r="AH762" s="591"/>
      <c r="AI762" s="591"/>
      <c r="AJ762" s="535"/>
      <c r="AK762" s="535"/>
      <c r="AL762" s="535"/>
      <c r="AM762" s="548"/>
      <c r="AN762" s="679"/>
      <c r="AO762" s="30"/>
      <c r="AP762" s="14"/>
    </row>
    <row r="763" spans="1:81" s="567" customFormat="1">
      <c r="A763" s="548"/>
      <c r="B763" s="535"/>
      <c r="C763" s="926"/>
      <c r="D763" s="535"/>
      <c r="E763" s="639"/>
      <c r="F763" s="639"/>
      <c r="G763" s="639"/>
      <c r="H763" s="639"/>
      <c r="I763" s="639"/>
      <c r="J763" s="639"/>
      <c r="K763" s="639"/>
      <c r="L763" s="639"/>
      <c r="M763" s="639"/>
      <c r="N763" s="639"/>
      <c r="O763" s="639"/>
      <c r="P763" s="639"/>
      <c r="Q763" s="639"/>
      <c r="R763" s="639"/>
      <c r="S763" s="639"/>
      <c r="T763" s="639"/>
      <c r="U763" s="639"/>
      <c r="V763" s="639"/>
      <c r="W763" s="639"/>
      <c r="X763" s="639"/>
      <c r="Y763" s="639"/>
      <c r="Z763" s="639"/>
      <c r="AA763" s="639"/>
      <c r="AB763" s="639"/>
      <c r="AC763" s="591"/>
      <c r="AD763" s="591"/>
      <c r="AE763" s="591"/>
      <c r="AF763" s="591"/>
      <c r="AG763" s="591"/>
      <c r="AH763" s="591"/>
      <c r="AI763" s="591"/>
      <c r="AJ763" s="535"/>
      <c r="AK763" s="535"/>
      <c r="AL763" s="535"/>
      <c r="AM763" s="548"/>
      <c r="AN763" s="679"/>
    </row>
    <row r="764" spans="1:81" s="567" customFormat="1" ht="12.75" customHeight="1">
      <c r="A764" s="548"/>
      <c r="B764" s="535"/>
      <c r="C764" s="926"/>
      <c r="D764" s="535" t="s">
        <v>1390</v>
      </c>
      <c r="E764" s="931"/>
      <c r="F764" s="931"/>
      <c r="G764" s="931"/>
      <c r="H764" s="2546" t="s">
        <v>685</v>
      </c>
      <c r="I764" s="2546"/>
      <c r="J764" s="639"/>
      <c r="K764" s="639"/>
      <c r="L764" s="639"/>
      <c r="M764" s="639"/>
      <c r="N764" s="639"/>
      <c r="O764" s="639"/>
      <c r="P764" s="639"/>
      <c r="Q764" s="639"/>
      <c r="R764" s="639"/>
      <c r="S764" s="639"/>
      <c r="T764" s="639"/>
      <c r="U764" s="639"/>
      <c r="V764" s="639"/>
      <c r="W764" s="639"/>
      <c r="X764" s="639"/>
      <c r="Y764" s="639"/>
      <c r="Z764" s="639"/>
      <c r="AA764" s="639"/>
      <c r="AB764" s="639"/>
      <c r="AC764" s="591"/>
      <c r="AD764" s="591"/>
      <c r="AE764" s="591"/>
      <c r="AF764" s="591"/>
      <c r="AG764" s="591"/>
      <c r="AH764" s="591"/>
      <c r="AI764" s="591"/>
      <c r="AJ764" s="535"/>
      <c r="AK764" s="535"/>
      <c r="AL764" s="535"/>
      <c r="AM764" s="548"/>
      <c r="AN764" s="679"/>
    </row>
    <row r="765" spans="1:81" s="567" customFormat="1" ht="12.75" customHeight="1">
      <c r="A765" s="548"/>
      <c r="B765" s="535"/>
      <c r="C765" s="926"/>
      <c r="D765" s="535"/>
      <c r="E765" s="639"/>
      <c r="F765" s="639"/>
      <c r="G765" s="639"/>
      <c r="H765" s="639"/>
      <c r="I765" s="639"/>
      <c r="J765" s="639"/>
      <c r="K765" s="639"/>
      <c r="L765" s="639"/>
      <c r="M765" s="639"/>
      <c r="N765" s="639"/>
      <c r="O765" s="639"/>
      <c r="P765" s="639"/>
      <c r="Q765" s="639"/>
      <c r="R765" s="639"/>
      <c r="S765" s="639"/>
      <c r="T765" s="639"/>
      <c r="U765" s="639"/>
      <c r="V765" s="639"/>
      <c r="W765" s="639"/>
      <c r="X765" s="639"/>
      <c r="Y765" s="639"/>
      <c r="Z765" s="639"/>
      <c r="AA765" s="639"/>
      <c r="AB765" s="639"/>
      <c r="AC765" s="591"/>
      <c r="AD765" s="591"/>
      <c r="AE765" s="591"/>
      <c r="AF765" s="591"/>
      <c r="AG765" s="591"/>
      <c r="AH765" s="591"/>
      <c r="AI765" s="591"/>
      <c r="AJ765" s="535"/>
      <c r="AK765" s="535"/>
      <c r="AL765" s="535"/>
      <c r="AM765" s="548"/>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7" customFormat="1">
      <c r="A766" s="603"/>
      <c r="B766" s="598"/>
      <c r="C766" s="939"/>
      <c r="D766" s="598"/>
      <c r="E766" s="949"/>
      <c r="F766" s="949"/>
      <c r="G766" s="949"/>
      <c r="H766" s="949"/>
      <c r="I766" s="949"/>
      <c r="J766" s="949"/>
      <c r="K766" s="949"/>
      <c r="L766" s="949"/>
      <c r="M766" s="949"/>
      <c r="N766" s="949"/>
      <c r="O766" s="949"/>
      <c r="P766" s="949"/>
      <c r="Q766" s="949"/>
      <c r="R766" s="949"/>
      <c r="S766" s="949"/>
      <c r="T766" s="949"/>
      <c r="U766" s="949"/>
      <c r="V766" s="949"/>
      <c r="W766" s="949"/>
      <c r="X766" s="949"/>
      <c r="Y766" s="949"/>
      <c r="Z766" s="949"/>
      <c r="AA766" s="949"/>
      <c r="AB766" s="682"/>
      <c r="AC766" s="682"/>
      <c r="AD766" s="682"/>
      <c r="AE766" s="682"/>
      <c r="AF766" s="682"/>
      <c r="AG766" s="682"/>
      <c r="AH766" s="598"/>
      <c r="AI766" s="562" t="s">
        <v>1434</v>
      </c>
      <c r="AJ766" s="2491">
        <f>VLOOKUP($H$764,$AO$693:$AP$695,2,FALSE)</f>
        <v>3</v>
      </c>
      <c r="AK766" s="2493"/>
      <c r="AL766" s="592"/>
      <c r="AM766" s="548"/>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7" customFormat="1" ht="12.75" customHeight="1">
      <c r="A767" s="634"/>
      <c r="B767" s="535"/>
      <c r="C767" s="928"/>
      <c r="D767" s="535"/>
      <c r="E767" s="535"/>
      <c r="F767" s="535"/>
      <c r="G767" s="535"/>
      <c r="H767" s="535"/>
      <c r="I767" s="535"/>
      <c r="J767" s="639"/>
      <c r="K767" s="639"/>
      <c r="L767" s="640"/>
      <c r="M767" s="640"/>
      <c r="N767" s="640"/>
      <c r="O767" s="640"/>
      <c r="P767" s="640"/>
      <c r="Q767" s="640"/>
      <c r="R767" s="640"/>
      <c r="S767" s="640"/>
      <c r="T767" s="640"/>
      <c r="U767" s="640"/>
      <c r="V767" s="613"/>
      <c r="W767" s="613"/>
      <c r="X767" s="613"/>
      <c r="Y767" s="613"/>
      <c r="Z767" s="931"/>
      <c r="AA767" s="931"/>
      <c r="AB767" s="931"/>
      <c r="AC767" s="535"/>
      <c r="AD767" s="535"/>
      <c r="AE767" s="535"/>
      <c r="AF767" s="535"/>
      <c r="AG767" s="535"/>
      <c r="AH767" s="535"/>
      <c r="AI767" s="535"/>
      <c r="AJ767" s="535"/>
      <c r="AK767" s="535"/>
      <c r="AL767" s="535"/>
      <c r="AM767" s="548"/>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7" customFormat="1">
      <c r="A768" s="548"/>
      <c r="B768" s="535"/>
      <c r="C768" s="538" t="s">
        <v>1424</v>
      </c>
      <c r="D768" s="613"/>
      <c r="E768" s="535"/>
      <c r="F768" s="535"/>
      <c r="G768" s="535"/>
      <c r="H768" s="535"/>
      <c r="I768" s="535"/>
      <c r="J768" s="535"/>
      <c r="K768" s="535"/>
      <c r="L768" s="535"/>
      <c r="M768" s="535"/>
      <c r="N768" s="535"/>
      <c r="O768" s="535"/>
      <c r="P768" s="535"/>
      <c r="Q768" s="535"/>
      <c r="R768" s="535"/>
      <c r="S768" s="535"/>
      <c r="T768" s="535"/>
      <c r="U768" s="535"/>
      <c r="V768" s="535"/>
      <c r="W768" s="535"/>
      <c r="X768" s="535"/>
      <c r="Y768" s="535"/>
      <c r="Z768" s="535"/>
      <c r="AA768" s="535"/>
      <c r="AB768" s="535"/>
      <c r="AC768" s="535"/>
      <c r="AD768" s="535"/>
      <c r="AE768" s="535"/>
      <c r="AF768" s="535"/>
      <c r="AG768" s="535"/>
      <c r="AH768" s="535"/>
      <c r="AI768" s="535"/>
      <c r="AJ768" s="535"/>
      <c r="AK768" s="535"/>
      <c r="AL768" s="535"/>
      <c r="AM768" s="548"/>
      <c r="AN768" s="533"/>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7" customFormat="1">
      <c r="A769" s="548"/>
      <c r="B769" s="613"/>
      <c r="C769" s="535"/>
      <c r="D769" s="535"/>
      <c r="E769" s="613"/>
      <c r="F769" s="613"/>
      <c r="G769" s="613"/>
      <c r="H769" s="613"/>
      <c r="I769" s="613"/>
      <c r="J769" s="613"/>
      <c r="K769" s="613"/>
      <c r="L769" s="613"/>
      <c r="M769" s="613"/>
      <c r="N769" s="613"/>
      <c r="O769" s="613"/>
      <c r="P769" s="613"/>
      <c r="Q769" s="613"/>
      <c r="R769" s="613"/>
      <c r="S769" s="613"/>
      <c r="T769" s="613"/>
      <c r="U769" s="613"/>
      <c r="V769" s="613"/>
      <c r="W769" s="613"/>
      <c r="X769" s="613"/>
      <c r="Y769" s="613"/>
      <c r="Z769" s="613"/>
      <c r="AA769" s="613"/>
      <c r="AB769" s="613"/>
      <c r="AC769" s="613"/>
      <c r="AD769" s="613"/>
      <c r="AE769" s="613"/>
      <c r="AF769" s="613"/>
      <c r="AG769" s="613"/>
      <c r="AH769" s="613"/>
      <c r="AI769" s="535"/>
      <c r="AJ769" s="535"/>
      <c r="AK769" s="535"/>
      <c r="AL769" s="535"/>
      <c r="AM769" s="548"/>
      <c r="AN769" s="533"/>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7" customFormat="1">
      <c r="A770" s="548"/>
      <c r="B770" s="535"/>
      <c r="C770" s="926"/>
      <c r="D770" s="658" t="s">
        <v>685</v>
      </c>
      <c r="E770" s="2483" t="s">
        <v>1435</v>
      </c>
      <c r="F770" s="2483"/>
      <c r="G770" s="2483"/>
      <c r="H770" s="2483"/>
      <c r="I770" s="2483"/>
      <c r="J770" s="2483"/>
      <c r="K770" s="2483"/>
      <c r="L770" s="2483"/>
      <c r="M770" s="2483"/>
      <c r="N770" s="2483"/>
      <c r="O770" s="2483"/>
      <c r="P770" s="2483"/>
      <c r="Q770" s="2483"/>
      <c r="R770" s="2483"/>
      <c r="S770" s="2483"/>
      <c r="T770" s="2483"/>
      <c r="U770" s="2483"/>
      <c r="V770" s="2483"/>
      <c r="W770" s="2483"/>
      <c r="X770" s="2483"/>
      <c r="Y770" s="2483"/>
      <c r="Z770" s="2483"/>
      <c r="AA770" s="2483"/>
      <c r="AB770" s="2483"/>
      <c r="AC770" s="535"/>
      <c r="AD770" s="535"/>
      <c r="AE770" s="535"/>
      <c r="AF770" s="2466" t="s">
        <v>1398</v>
      </c>
      <c r="AG770" s="2466"/>
      <c r="AH770" s="2466"/>
      <c r="AI770" s="2466"/>
      <c r="AJ770" s="2466"/>
      <c r="AK770" s="2466"/>
      <c r="AL770" s="2466"/>
      <c r="AM770" s="548"/>
      <c r="AN770" s="533"/>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7" customFormat="1">
      <c r="A771" s="548"/>
      <c r="B771" s="535"/>
      <c r="C771" s="928"/>
      <c r="D771" s="658"/>
      <c r="E771" s="2483"/>
      <c r="F771" s="2483"/>
      <c r="G771" s="2483"/>
      <c r="H771" s="2483"/>
      <c r="I771" s="2483"/>
      <c r="J771" s="2483"/>
      <c r="K771" s="2483"/>
      <c r="L771" s="2483"/>
      <c r="M771" s="2483"/>
      <c r="N771" s="2483"/>
      <c r="O771" s="2483"/>
      <c r="P771" s="2483"/>
      <c r="Q771" s="2483"/>
      <c r="R771" s="2483"/>
      <c r="S771" s="2483"/>
      <c r="T771" s="2483"/>
      <c r="U771" s="2483"/>
      <c r="V771" s="2483"/>
      <c r="W771" s="2483"/>
      <c r="X771" s="2483"/>
      <c r="Y771" s="2483"/>
      <c r="Z771" s="2483"/>
      <c r="AA771" s="2483"/>
      <c r="AB771" s="2483"/>
      <c r="AC771" s="535"/>
      <c r="AD771" s="535"/>
      <c r="AE771" s="535"/>
      <c r="AF771" s="535"/>
      <c r="AG771" s="535"/>
      <c r="AH771" s="535"/>
      <c r="AI771" s="535"/>
      <c r="AJ771" s="535"/>
      <c r="AK771" s="535"/>
      <c r="AL771" s="535"/>
      <c r="AM771" s="548"/>
      <c r="AN771" s="533"/>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7" customFormat="1">
      <c r="A772" s="548"/>
      <c r="B772" s="613"/>
      <c r="C772" s="935"/>
      <c r="D772" s="658"/>
      <c r="E772" s="613"/>
      <c r="F772" s="613"/>
      <c r="G772" s="613"/>
      <c r="H772" s="613"/>
      <c r="I772" s="613"/>
      <c r="J772" s="613"/>
      <c r="K772" s="613"/>
      <c r="L772" s="613"/>
      <c r="M772" s="613"/>
      <c r="N772" s="613"/>
      <c r="O772" s="613"/>
      <c r="P772" s="613"/>
      <c r="Q772" s="613"/>
      <c r="R772" s="613"/>
      <c r="S772" s="613"/>
      <c r="T772" s="613"/>
      <c r="U772" s="613"/>
      <c r="V772" s="613"/>
      <c r="W772" s="613"/>
      <c r="X772" s="613"/>
      <c r="Y772" s="613"/>
      <c r="Z772" s="613"/>
      <c r="AA772" s="613"/>
      <c r="AB772" s="613"/>
      <c r="AC772" s="535"/>
      <c r="AD772" s="535"/>
      <c r="AE772" s="613"/>
      <c r="AF772" s="613"/>
      <c r="AG772" s="613"/>
      <c r="AH772" s="613"/>
      <c r="AI772" s="613"/>
      <c r="AJ772" s="613"/>
      <c r="AK772" s="535"/>
      <c r="AL772" s="535"/>
      <c r="AM772" s="548"/>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7" customFormat="1">
      <c r="A773" s="634"/>
      <c r="B773" s="535"/>
      <c r="C773" s="926"/>
      <c r="D773" s="658" t="s">
        <v>507</v>
      </c>
      <c r="E773" s="2483" t="s">
        <v>1436</v>
      </c>
      <c r="F773" s="2483"/>
      <c r="G773" s="2483"/>
      <c r="H773" s="2483"/>
      <c r="I773" s="2483"/>
      <c r="J773" s="2483"/>
      <c r="K773" s="2483"/>
      <c r="L773" s="2483"/>
      <c r="M773" s="2483"/>
      <c r="N773" s="2483"/>
      <c r="O773" s="2483"/>
      <c r="P773" s="2483"/>
      <c r="Q773" s="2483"/>
      <c r="R773" s="2483"/>
      <c r="S773" s="2483"/>
      <c r="T773" s="2483"/>
      <c r="U773" s="2483"/>
      <c r="V773" s="2483"/>
      <c r="W773" s="2483"/>
      <c r="X773" s="2483"/>
      <c r="Y773" s="2483"/>
      <c r="Z773" s="2483"/>
      <c r="AA773" s="2483"/>
      <c r="AB773" s="2483"/>
      <c r="AC773" s="535"/>
      <c r="AD773" s="535"/>
      <c r="AE773" s="535"/>
      <c r="AF773" s="2466" t="s">
        <v>1415</v>
      </c>
      <c r="AG773" s="2466"/>
      <c r="AH773" s="2466"/>
      <c r="AI773" s="2466"/>
      <c r="AJ773" s="2466"/>
      <c r="AK773" s="2466"/>
      <c r="AL773" s="2466"/>
      <c r="AM773" s="548"/>
      <c r="AN773" s="533"/>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7" customFormat="1" ht="12.75" customHeight="1">
      <c r="A774" s="634"/>
      <c r="B774" s="535"/>
      <c r="C774" s="926"/>
      <c r="D774" s="658"/>
      <c r="E774" s="2483"/>
      <c r="F774" s="2483"/>
      <c r="G774" s="2483"/>
      <c r="H774" s="2483"/>
      <c r="I774" s="2483"/>
      <c r="J774" s="2483"/>
      <c r="K774" s="2483"/>
      <c r="L774" s="2483"/>
      <c r="M774" s="2483"/>
      <c r="N774" s="2483"/>
      <c r="O774" s="2483"/>
      <c r="P774" s="2483"/>
      <c r="Q774" s="2483"/>
      <c r="R774" s="2483"/>
      <c r="S774" s="2483"/>
      <c r="T774" s="2483"/>
      <c r="U774" s="2483"/>
      <c r="V774" s="2483"/>
      <c r="W774" s="2483"/>
      <c r="X774" s="2483"/>
      <c r="Y774" s="2483"/>
      <c r="Z774" s="2483"/>
      <c r="AA774" s="2483"/>
      <c r="AB774" s="2483"/>
      <c r="AC774" s="535"/>
      <c r="AD774" s="535"/>
      <c r="AE774" s="591"/>
      <c r="AF774" s="535"/>
      <c r="AG774" s="535"/>
      <c r="AH774" s="535"/>
      <c r="AI774" s="535"/>
      <c r="AJ774" s="535"/>
      <c r="AK774" s="535"/>
      <c r="AL774" s="535"/>
      <c r="AM774" s="548"/>
      <c r="AN774" s="533"/>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7" customFormat="1">
      <c r="A775" s="548"/>
      <c r="B775" s="535"/>
      <c r="C775" s="928"/>
      <c r="D775" s="535"/>
      <c r="E775" s="640"/>
      <c r="F775" s="640"/>
      <c r="G775" s="640"/>
      <c r="H775" s="640"/>
      <c r="I775" s="640"/>
      <c r="J775" s="640"/>
      <c r="K775" s="640"/>
      <c r="L775" s="640"/>
      <c r="M775" s="640"/>
      <c r="N775" s="640"/>
      <c r="O775" s="640"/>
      <c r="P775" s="640"/>
      <c r="Q775" s="640"/>
      <c r="R775" s="640"/>
      <c r="S775" s="640"/>
      <c r="T775" s="640"/>
      <c r="U775" s="640"/>
      <c r="V775" s="640"/>
      <c r="W775" s="640"/>
      <c r="X775" s="640"/>
      <c r="Y775" s="640"/>
      <c r="Z775" s="640"/>
      <c r="AA775" s="640"/>
      <c r="AB775" s="640"/>
      <c r="AC775" s="535"/>
      <c r="AD775" s="535"/>
      <c r="AE775" s="613"/>
      <c r="AF775" s="613"/>
      <c r="AG775" s="613"/>
      <c r="AH775" s="613"/>
      <c r="AI775" s="535"/>
      <c r="AJ775" s="535"/>
      <c r="AK775" s="535"/>
      <c r="AL775" s="535"/>
      <c r="AM775" s="548"/>
      <c r="AN775" s="533"/>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7" customFormat="1" ht="12.75" customHeight="1">
      <c r="A776" s="548"/>
      <c r="B776" s="535"/>
      <c r="C776" s="535"/>
      <c r="D776" s="535" t="s">
        <v>1390</v>
      </c>
      <c r="E776" s="931"/>
      <c r="F776" s="931"/>
      <c r="G776" s="931"/>
      <c r="H776" s="2546" t="s">
        <v>685</v>
      </c>
      <c r="I776" s="2546"/>
      <c r="J776" s="640"/>
      <c r="K776" s="640"/>
      <c r="L776" s="640"/>
      <c r="M776" s="640"/>
      <c r="N776" s="640"/>
      <c r="O776" s="640"/>
      <c r="P776" s="640"/>
      <c r="Q776" s="535"/>
      <c r="R776" s="535"/>
      <c r="S776" s="535"/>
      <c r="T776" s="535"/>
      <c r="U776" s="535"/>
      <c r="V776" s="535"/>
      <c r="W776" s="640"/>
      <c r="X776" s="640"/>
      <c r="Y776" s="640"/>
      <c r="Z776" s="640"/>
      <c r="AA776" s="640"/>
      <c r="AB776" s="640"/>
      <c r="AC776" s="535"/>
      <c r="AD776" s="535"/>
      <c r="AE776" s="613"/>
      <c r="AF776" s="613"/>
      <c r="AG776" s="613"/>
      <c r="AH776" s="613"/>
      <c r="AI776" s="535"/>
      <c r="AJ776" s="535"/>
      <c r="AK776" s="535"/>
      <c r="AL776" s="535"/>
      <c r="AM776" s="548"/>
      <c r="AN776" s="533"/>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7" customFormat="1" ht="12.75" customHeight="1">
      <c r="A777" s="548"/>
      <c r="B777" s="613"/>
      <c r="C777" s="935"/>
      <c r="D777" s="613"/>
      <c r="E777" s="613"/>
      <c r="F777" s="613"/>
      <c r="G777" s="613"/>
      <c r="H777" s="613"/>
      <c r="I777" s="613"/>
      <c r="J777" s="613"/>
      <c r="K777" s="613"/>
      <c r="L777" s="613"/>
      <c r="M777" s="613"/>
      <c r="N777" s="613"/>
      <c r="O777" s="613"/>
      <c r="P777" s="613"/>
      <c r="Q777" s="613"/>
      <c r="R777" s="613"/>
      <c r="S777" s="613"/>
      <c r="T777" s="613"/>
      <c r="U777" s="613"/>
      <c r="V777" s="613"/>
      <c r="W777" s="613"/>
      <c r="X777" s="613"/>
      <c r="Y777" s="613"/>
      <c r="Z777" s="613"/>
      <c r="AA777" s="613"/>
      <c r="AB777" s="613"/>
      <c r="AC777" s="613"/>
      <c r="AD777" s="613"/>
      <c r="AE777" s="613"/>
      <c r="AF777" s="613"/>
      <c r="AG777" s="613"/>
      <c r="AH777" s="613"/>
      <c r="AI777" s="535"/>
      <c r="AJ777" s="535"/>
      <c r="AK777" s="535"/>
      <c r="AL777" s="535"/>
      <c r="AM777" s="548"/>
      <c r="AN777" s="533"/>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7" customFormat="1" ht="13.9" customHeight="1">
      <c r="A778" s="603"/>
      <c r="B778" s="660"/>
      <c r="C778" s="950"/>
      <c r="D778" s="660"/>
      <c r="E778" s="660"/>
      <c r="F778" s="660"/>
      <c r="G778" s="660"/>
      <c r="H778" s="660"/>
      <c r="I778" s="660"/>
      <c r="J778" s="660"/>
      <c r="K778" s="660"/>
      <c r="L778" s="660"/>
      <c r="M778" s="660"/>
      <c r="N778" s="660"/>
      <c r="O778" s="660"/>
      <c r="P778" s="660"/>
      <c r="Q778" s="660"/>
      <c r="R778" s="660"/>
      <c r="S778" s="660"/>
      <c r="T778" s="660"/>
      <c r="U778" s="660"/>
      <c r="V778" s="660"/>
      <c r="W778" s="660"/>
      <c r="X778" s="660"/>
      <c r="Y778" s="660"/>
      <c r="Z778" s="660"/>
      <c r="AA778" s="660"/>
      <c r="AB778" s="660"/>
      <c r="AC778" s="660"/>
      <c r="AD778" s="660"/>
      <c r="AE778" s="660"/>
      <c r="AF778" s="660"/>
      <c r="AG778" s="660"/>
      <c r="AH778" s="598"/>
      <c r="AI778" s="562" t="s">
        <v>1437</v>
      </c>
      <c r="AJ778" s="2491">
        <f>VLOOKUP($H$776,$AO$710:$AP$712,2,FALSE)</f>
        <v>2</v>
      </c>
      <c r="AK778" s="2493"/>
      <c r="AL778" s="592"/>
      <c r="AM778" s="548"/>
      <c r="AN778" s="533"/>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7" customFormat="1">
      <c r="A779" s="548"/>
      <c r="B779" s="613"/>
      <c r="C779" s="935"/>
      <c r="D779" s="613"/>
      <c r="E779" s="613"/>
      <c r="F779" s="613"/>
      <c r="G779" s="613"/>
      <c r="H779" s="613"/>
      <c r="I779" s="613"/>
      <c r="J779" s="613"/>
      <c r="K779" s="613"/>
      <c r="L779" s="613"/>
      <c r="M779" s="613"/>
      <c r="N779" s="613"/>
      <c r="O779" s="613"/>
      <c r="P779" s="613"/>
      <c r="Q779" s="613"/>
      <c r="R779" s="613"/>
      <c r="S779" s="613"/>
      <c r="T779" s="613"/>
      <c r="U779" s="613"/>
      <c r="V779" s="613"/>
      <c r="W779" s="613"/>
      <c r="X779" s="613"/>
      <c r="Y779" s="613"/>
      <c r="Z779" s="613"/>
      <c r="AA779" s="613"/>
      <c r="AB779" s="613"/>
      <c r="AC779" s="613"/>
      <c r="AD779" s="613"/>
      <c r="AE779" s="613"/>
      <c r="AF779" s="613"/>
      <c r="AG779" s="613"/>
      <c r="AH779" s="535"/>
      <c r="AI779" s="542"/>
      <c r="AJ779" s="592"/>
      <c r="AK779" s="592"/>
      <c r="AL779" s="592"/>
      <c r="AM779" s="548"/>
      <c r="AN779" s="533"/>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7" customFormat="1">
      <c r="A780" s="548"/>
      <c r="B780" s="613"/>
      <c r="C780" s="538" t="s">
        <v>1426</v>
      </c>
      <c r="D780" s="613"/>
      <c r="E780" s="613"/>
      <c r="F780" s="613"/>
      <c r="G780" s="613"/>
      <c r="H780" s="613"/>
      <c r="I780" s="613"/>
      <c r="J780" s="613"/>
      <c r="K780" s="613"/>
      <c r="L780" s="613"/>
      <c r="M780" s="613"/>
      <c r="N780" s="613"/>
      <c r="O780" s="613"/>
      <c r="P780" s="613"/>
      <c r="Q780" s="613"/>
      <c r="R780" s="613"/>
      <c r="S780" s="613"/>
      <c r="T780" s="613"/>
      <c r="U780" s="613"/>
      <c r="V780" s="613"/>
      <c r="W780" s="613"/>
      <c r="X780" s="613"/>
      <c r="Y780" s="613"/>
      <c r="Z780" s="613"/>
      <c r="AA780" s="613"/>
      <c r="AB780" s="613"/>
      <c r="AC780" s="613"/>
      <c r="AD780" s="613"/>
      <c r="AE780" s="613"/>
      <c r="AF780" s="613"/>
      <c r="AG780" s="613"/>
      <c r="AH780" s="535"/>
      <c r="AI780" s="542"/>
      <c r="AJ780" s="592"/>
      <c r="AK780" s="592"/>
      <c r="AL780" s="592"/>
      <c r="AM780" s="548"/>
      <c r="AN780" s="533"/>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7" customFormat="1">
      <c r="A781" s="548"/>
      <c r="B781" s="613"/>
      <c r="C781" s="935"/>
      <c r="D781" s="613"/>
      <c r="E781" s="613"/>
      <c r="F781" s="613"/>
      <c r="G781" s="613"/>
      <c r="H781" s="613"/>
      <c r="I781" s="613"/>
      <c r="J781" s="613"/>
      <c r="K781" s="613"/>
      <c r="L781" s="613"/>
      <c r="M781" s="613"/>
      <c r="N781" s="613"/>
      <c r="O781" s="613"/>
      <c r="P781" s="613"/>
      <c r="Q781" s="613"/>
      <c r="R781" s="613"/>
      <c r="S781" s="613"/>
      <c r="T781" s="613"/>
      <c r="U781" s="613"/>
      <c r="V781" s="613"/>
      <c r="W781" s="613"/>
      <c r="X781" s="613"/>
      <c r="Y781" s="613"/>
      <c r="Z781" s="613"/>
      <c r="AA781" s="613"/>
      <c r="AB781" s="613"/>
      <c r="AC781" s="613"/>
      <c r="AD781" s="613"/>
      <c r="AE781" s="613"/>
      <c r="AF781" s="613"/>
      <c r="AG781" s="613"/>
      <c r="AH781" s="535"/>
      <c r="AI781" s="542"/>
      <c r="AJ781" s="592"/>
      <c r="AK781" s="592"/>
      <c r="AL781" s="592"/>
      <c r="AM781" s="548"/>
      <c r="AN781" s="679"/>
    </row>
    <row r="782" spans="1:74" s="567" customFormat="1" ht="13.7" customHeight="1">
      <c r="A782" s="548"/>
      <c r="B782" s="613"/>
      <c r="C782" s="935"/>
      <c r="D782" s="658" t="s">
        <v>685</v>
      </c>
      <c r="E782" s="2483" t="s">
        <v>1679</v>
      </c>
      <c r="F782" s="2483"/>
      <c r="G782" s="2483"/>
      <c r="H782" s="2483"/>
      <c r="I782" s="2483"/>
      <c r="J782" s="2483"/>
      <c r="K782" s="2483"/>
      <c r="L782" s="2483"/>
      <c r="M782" s="2483"/>
      <c r="N782" s="2483"/>
      <c r="O782" s="2483"/>
      <c r="P782" s="2483"/>
      <c r="Q782" s="2483"/>
      <c r="R782" s="2483"/>
      <c r="S782" s="2483"/>
      <c r="T782" s="2483"/>
      <c r="U782" s="2483"/>
      <c r="V782" s="2483"/>
      <c r="W782" s="2483"/>
      <c r="X782" s="2483"/>
      <c r="Y782" s="2483"/>
      <c r="Z782" s="2483"/>
      <c r="AA782" s="2483"/>
      <c r="AB782" s="2483"/>
      <c r="AC782" s="2483"/>
      <c r="AD782" s="2483"/>
      <c r="AE782" s="535"/>
      <c r="AF782" s="2466" t="s">
        <v>1398</v>
      </c>
      <c r="AG782" s="2466"/>
      <c r="AH782" s="2466"/>
      <c r="AI782" s="2466"/>
      <c r="AJ782" s="2466"/>
      <c r="AK782" s="2466"/>
      <c r="AL782" s="2466"/>
      <c r="AM782" s="610"/>
      <c r="AN782" s="679"/>
      <c r="AO782" s="548" t="s">
        <v>589</v>
      </c>
      <c r="AP782" s="668">
        <v>0</v>
      </c>
    </row>
    <row r="783" spans="1:74" s="567" customFormat="1" ht="13.7" customHeight="1">
      <c r="A783" s="548"/>
      <c r="B783" s="613"/>
      <c r="C783" s="935"/>
      <c r="D783" s="658"/>
      <c r="E783" s="2483"/>
      <c r="F783" s="2483"/>
      <c r="G783" s="2483"/>
      <c r="H783" s="2483"/>
      <c r="I783" s="2483"/>
      <c r="J783" s="2483"/>
      <c r="K783" s="2483"/>
      <c r="L783" s="2483"/>
      <c r="M783" s="2483"/>
      <c r="N783" s="2483"/>
      <c r="O783" s="2483"/>
      <c r="P783" s="2483"/>
      <c r="Q783" s="2483"/>
      <c r="R783" s="2483"/>
      <c r="S783" s="2483"/>
      <c r="T783" s="2483"/>
      <c r="U783" s="2483"/>
      <c r="V783" s="2483"/>
      <c r="W783" s="2483"/>
      <c r="X783" s="2483"/>
      <c r="Y783" s="2483"/>
      <c r="Z783" s="2483"/>
      <c r="AA783" s="2483"/>
      <c r="AB783" s="2483"/>
      <c r="AC783" s="2483"/>
      <c r="AD783" s="2483"/>
      <c r="AE783" s="535"/>
      <c r="AF783" s="591"/>
      <c r="AG783" s="591"/>
      <c r="AH783" s="591"/>
      <c r="AI783" s="591"/>
      <c r="AJ783" s="591"/>
      <c r="AK783" s="591"/>
      <c r="AL783" s="591"/>
      <c r="AM783" s="610"/>
      <c r="AN783" s="679"/>
      <c r="AO783" s="608" t="s">
        <v>685</v>
      </c>
      <c r="AP783" s="548">
        <v>2</v>
      </c>
    </row>
    <row r="784" spans="1:74" s="567" customFormat="1">
      <c r="A784" s="548"/>
      <c r="B784" s="613"/>
      <c r="C784" s="935"/>
      <c r="D784" s="658"/>
      <c r="E784" s="2483"/>
      <c r="F784" s="2483"/>
      <c r="G784" s="2483"/>
      <c r="H784" s="2483"/>
      <c r="I784" s="2483"/>
      <c r="J784" s="2483"/>
      <c r="K784" s="2483"/>
      <c r="L784" s="2483"/>
      <c r="M784" s="2483"/>
      <c r="N784" s="2483"/>
      <c r="O784" s="2483"/>
      <c r="P784" s="2483"/>
      <c r="Q784" s="2483"/>
      <c r="R784" s="2483"/>
      <c r="S784" s="2483"/>
      <c r="T784" s="2483"/>
      <c r="U784" s="2483"/>
      <c r="V784" s="2483"/>
      <c r="W784" s="2483"/>
      <c r="X784" s="2483"/>
      <c r="Y784" s="2483"/>
      <c r="Z784" s="2483"/>
      <c r="AA784" s="2483"/>
      <c r="AB784" s="2483"/>
      <c r="AC784" s="2483"/>
      <c r="AD784" s="2483"/>
      <c r="AE784" s="535"/>
      <c r="AF784" s="535"/>
      <c r="AG784" s="535"/>
      <c r="AH784" s="535"/>
      <c r="AI784" s="535"/>
      <c r="AJ784" s="535"/>
      <c r="AK784" s="535"/>
      <c r="AL784" s="591"/>
      <c r="AM784" s="610"/>
      <c r="AN784" s="533"/>
      <c r="AO784" s="608" t="s">
        <v>507</v>
      </c>
      <c r="AP784" s="548">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7" customFormat="1" ht="18.600000000000001" customHeight="1">
      <c r="A785" s="548"/>
      <c r="B785" s="613"/>
      <c r="C785" s="935"/>
      <c r="D785" s="658"/>
      <c r="E785" s="2483"/>
      <c r="F785" s="2483"/>
      <c r="G785" s="2483"/>
      <c r="H785" s="2483"/>
      <c r="I785" s="2483"/>
      <c r="J785" s="2483"/>
      <c r="K785" s="2483"/>
      <c r="L785" s="2483"/>
      <c r="M785" s="2483"/>
      <c r="N785" s="2483"/>
      <c r="O785" s="2483"/>
      <c r="P785" s="2483"/>
      <c r="Q785" s="2483"/>
      <c r="R785" s="2483"/>
      <c r="S785" s="2483"/>
      <c r="T785" s="2483"/>
      <c r="U785" s="2483"/>
      <c r="V785" s="2483"/>
      <c r="W785" s="2483"/>
      <c r="X785" s="2483"/>
      <c r="Y785" s="2483"/>
      <c r="Z785" s="2483"/>
      <c r="AA785" s="2483"/>
      <c r="AB785" s="2483"/>
      <c r="AC785" s="2483"/>
      <c r="AD785" s="2483"/>
      <c r="AE785" s="591"/>
      <c r="AF785" s="591"/>
      <c r="AG785" s="591"/>
      <c r="AH785" s="591"/>
      <c r="AI785" s="591"/>
      <c r="AJ785" s="591"/>
      <c r="AK785" s="591"/>
      <c r="AL785" s="591"/>
      <c r="AM785" s="610"/>
      <c r="AN785" s="533"/>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8" customFormat="1" ht="12.75" customHeight="1">
      <c r="B786" s="613"/>
      <c r="C786" s="935"/>
      <c r="D786" s="658"/>
      <c r="E786" s="903"/>
      <c r="F786" s="903"/>
      <c r="G786" s="903"/>
      <c r="H786" s="903"/>
      <c r="I786" s="903"/>
      <c r="J786" s="903"/>
      <c r="K786" s="903"/>
      <c r="L786" s="903"/>
      <c r="M786" s="903"/>
      <c r="N786" s="903"/>
      <c r="O786" s="903"/>
      <c r="P786" s="903"/>
      <c r="Q786" s="903"/>
      <c r="R786" s="903"/>
      <c r="S786" s="903"/>
      <c r="T786" s="903"/>
      <c r="U786" s="903"/>
      <c r="V786" s="903"/>
      <c r="W786" s="903"/>
      <c r="X786" s="903"/>
      <c r="Y786" s="903"/>
      <c r="Z786" s="903"/>
      <c r="AA786" s="903"/>
      <c r="AB786" s="903"/>
      <c r="AC786" s="903"/>
      <c r="AD786" s="903"/>
      <c r="AE786" s="591"/>
      <c r="AF786" s="535"/>
      <c r="AG786" s="535"/>
      <c r="AH786" s="535"/>
      <c r="AI786" s="535"/>
      <c r="AJ786" s="535"/>
      <c r="AK786" s="535"/>
      <c r="AL786" s="535"/>
      <c r="AM786" s="610"/>
      <c r="AN786" s="594"/>
    </row>
    <row r="787" spans="1:81" s="548" customFormat="1" ht="12.75" customHeight="1">
      <c r="B787" s="613"/>
      <c r="C787" s="935"/>
      <c r="D787" s="658" t="s">
        <v>507</v>
      </c>
      <c r="E787" s="2556" t="s">
        <v>1684</v>
      </c>
      <c r="F787" s="2556"/>
      <c r="G787" s="2556"/>
      <c r="H787" s="2556"/>
      <c r="I787" s="2556"/>
      <c r="J787" s="2556"/>
      <c r="K787" s="2556"/>
      <c r="L787" s="2556"/>
      <c r="M787" s="2556"/>
      <c r="N787" s="2556"/>
      <c r="O787" s="2556"/>
      <c r="P787" s="2556"/>
      <c r="Q787" s="2556"/>
      <c r="R787" s="2556"/>
      <c r="S787" s="2556"/>
      <c r="T787" s="2556"/>
      <c r="U787" s="2556"/>
      <c r="V787" s="2556"/>
      <c r="W787" s="2556"/>
      <c r="X787" s="2556"/>
      <c r="Y787" s="2556"/>
      <c r="Z787" s="2556"/>
      <c r="AA787" s="2556"/>
      <c r="AB787" s="2556"/>
      <c r="AC787" s="2556"/>
      <c r="AD787" s="2556"/>
      <c r="AE787" s="535"/>
      <c r="AF787" s="2466" t="s">
        <v>1344</v>
      </c>
      <c r="AG787" s="2466"/>
      <c r="AH787" s="2466"/>
      <c r="AI787" s="2466"/>
      <c r="AJ787" s="2466"/>
      <c r="AK787" s="2466"/>
      <c r="AL787" s="2466"/>
      <c r="AM787" s="610"/>
      <c r="AN787" s="594"/>
    </row>
    <row r="788" spans="1:81" s="548" customFormat="1" ht="12.75" customHeight="1">
      <c r="B788" s="613"/>
      <c r="C788" s="935"/>
      <c r="D788" s="658"/>
      <c r="E788" s="2556"/>
      <c r="F788" s="2556"/>
      <c r="G788" s="2556"/>
      <c r="H788" s="2556"/>
      <c r="I788" s="2556"/>
      <c r="J788" s="2556"/>
      <c r="K788" s="2556"/>
      <c r="L788" s="2556"/>
      <c r="M788" s="2556"/>
      <c r="N788" s="2556"/>
      <c r="O788" s="2556"/>
      <c r="P788" s="2556"/>
      <c r="Q788" s="2556"/>
      <c r="R788" s="2556"/>
      <c r="S788" s="2556"/>
      <c r="T788" s="2556"/>
      <c r="U788" s="2556"/>
      <c r="V788" s="2556"/>
      <c r="W788" s="2556"/>
      <c r="X788" s="2556"/>
      <c r="Y788" s="2556"/>
      <c r="Z788" s="2556"/>
      <c r="AA788" s="2556"/>
      <c r="AB788" s="2556"/>
      <c r="AC788" s="2556"/>
      <c r="AD788" s="2556"/>
      <c r="AE788" s="591"/>
      <c r="AF788" s="591"/>
      <c r="AG788" s="591"/>
      <c r="AH788" s="591"/>
      <c r="AI788" s="591"/>
      <c r="AJ788" s="591"/>
      <c r="AK788" s="591"/>
      <c r="AL788" s="591"/>
      <c r="AM788" s="610"/>
      <c r="AN788" s="594"/>
    </row>
    <row r="789" spans="1:81" s="548" customFormat="1" ht="12.75" customHeight="1">
      <c r="B789" s="613"/>
      <c r="C789" s="935"/>
      <c r="D789" s="658"/>
      <c r="E789" s="2556"/>
      <c r="F789" s="2556"/>
      <c r="G789" s="2556"/>
      <c r="H789" s="2556"/>
      <c r="I789" s="2556"/>
      <c r="J789" s="2556"/>
      <c r="K789" s="2556"/>
      <c r="L789" s="2556"/>
      <c r="M789" s="2556"/>
      <c r="N789" s="2556"/>
      <c r="O789" s="2556"/>
      <c r="P789" s="2556"/>
      <c r="Q789" s="2556"/>
      <c r="R789" s="2556"/>
      <c r="S789" s="2556"/>
      <c r="T789" s="2556"/>
      <c r="U789" s="2556"/>
      <c r="V789" s="2556"/>
      <c r="W789" s="2556"/>
      <c r="X789" s="2556"/>
      <c r="Y789" s="2556"/>
      <c r="Z789" s="2556"/>
      <c r="AA789" s="2556"/>
      <c r="AB789" s="2556"/>
      <c r="AC789" s="2556"/>
      <c r="AD789" s="2556"/>
      <c r="AE789" s="591"/>
      <c r="AF789" s="591"/>
      <c r="AG789" s="591"/>
      <c r="AH789" s="591"/>
      <c r="AI789" s="591"/>
      <c r="AJ789" s="591"/>
      <c r="AK789" s="591"/>
      <c r="AL789" s="591"/>
      <c r="AM789" s="610"/>
      <c r="AN789" s="594"/>
    </row>
    <row r="790" spans="1:81" s="548" customFormat="1" ht="12.75" customHeight="1">
      <c r="B790" s="613"/>
      <c r="C790" s="935"/>
      <c r="D790" s="658"/>
      <c r="E790" s="2556"/>
      <c r="F790" s="2556"/>
      <c r="G790" s="2556"/>
      <c r="H790" s="2556"/>
      <c r="I790" s="2556"/>
      <c r="J790" s="2556"/>
      <c r="K790" s="2556"/>
      <c r="L790" s="2556"/>
      <c r="M790" s="2556"/>
      <c r="N790" s="2556"/>
      <c r="O790" s="2556"/>
      <c r="P790" s="2556"/>
      <c r="Q790" s="2556"/>
      <c r="R790" s="2556"/>
      <c r="S790" s="2556"/>
      <c r="T790" s="2556"/>
      <c r="U790" s="2556"/>
      <c r="V790" s="2556"/>
      <c r="W790" s="2556"/>
      <c r="X790" s="2556"/>
      <c r="Y790" s="2556"/>
      <c r="Z790" s="2556"/>
      <c r="AA790" s="2556"/>
      <c r="AB790" s="2556"/>
      <c r="AC790" s="2556"/>
      <c r="AD790" s="2556"/>
      <c r="AE790" s="591"/>
      <c r="AF790" s="591"/>
      <c r="AG790" s="591"/>
      <c r="AH790" s="591"/>
      <c r="AI790" s="591"/>
      <c r="AJ790" s="591"/>
      <c r="AK790" s="591"/>
      <c r="AL790" s="591"/>
      <c r="AM790" s="610"/>
      <c r="AN790" s="594"/>
    </row>
    <row r="791" spans="1:81" s="548" customFormat="1" ht="12.75" customHeight="1">
      <c r="A791" s="567"/>
      <c r="B791" s="535"/>
      <c r="C791" s="535"/>
      <c r="D791" s="535"/>
      <c r="E791" s="535"/>
      <c r="F791" s="535"/>
      <c r="G791" s="535"/>
      <c r="H791" s="535"/>
      <c r="I791" s="535"/>
      <c r="J791" s="535"/>
      <c r="K791" s="535"/>
      <c r="L791" s="535"/>
      <c r="M791" s="535"/>
      <c r="N791" s="535"/>
      <c r="O791" s="535"/>
      <c r="P791" s="535"/>
      <c r="Q791" s="535"/>
      <c r="R791" s="535"/>
      <c r="S791" s="535"/>
      <c r="T791" s="535"/>
      <c r="U791" s="535"/>
      <c r="V791" s="535"/>
      <c r="W791" s="535"/>
      <c r="X791" s="535"/>
      <c r="Y791" s="535"/>
      <c r="Z791" s="535"/>
      <c r="AA791" s="535"/>
      <c r="AB791" s="535"/>
      <c r="AC791" s="535"/>
      <c r="AD791" s="535"/>
      <c r="AE791" s="535"/>
      <c r="AF791" s="535"/>
      <c r="AG791" s="535"/>
      <c r="AH791" s="535"/>
      <c r="AI791" s="535"/>
      <c r="AJ791" s="535"/>
      <c r="AK791" s="535"/>
      <c r="AL791" s="535"/>
      <c r="AM791" s="567"/>
      <c r="AN791" s="594"/>
    </row>
    <row r="792" spans="1:81" s="548" customFormat="1" ht="12.75" customHeight="1">
      <c r="B792" s="613"/>
      <c r="C792" s="935"/>
      <c r="D792" s="535" t="s">
        <v>1390</v>
      </c>
      <c r="E792" s="931"/>
      <c r="F792" s="931"/>
      <c r="G792" s="931"/>
      <c r="H792" s="2546" t="s">
        <v>589</v>
      </c>
      <c r="I792" s="2546"/>
      <c r="J792" s="640"/>
      <c r="K792" s="640"/>
      <c r="L792" s="640"/>
      <c r="M792" s="640"/>
      <c r="N792" s="640"/>
      <c r="O792" s="640"/>
      <c r="P792" s="640"/>
      <c r="Q792" s="640"/>
      <c r="R792" s="640"/>
      <c r="S792" s="640"/>
      <c r="T792" s="640"/>
      <c r="U792" s="640"/>
      <c r="V792" s="640"/>
      <c r="W792" s="640"/>
      <c r="X792" s="640"/>
      <c r="Y792" s="640"/>
      <c r="Z792" s="640"/>
      <c r="AA792" s="640"/>
      <c r="AB792" s="640"/>
      <c r="AC792" s="640"/>
      <c r="AD792" s="640"/>
      <c r="AE792" s="640"/>
      <c r="AF792" s="640"/>
      <c r="AG792" s="613"/>
      <c r="AH792" s="535"/>
      <c r="AI792" s="542"/>
      <c r="AJ792" s="592"/>
      <c r="AK792" s="592"/>
      <c r="AL792" s="592"/>
      <c r="AN792" s="594"/>
    </row>
    <row r="793" spans="1:81" s="548" customFormat="1" ht="12.75" customHeight="1">
      <c r="B793" s="613"/>
      <c r="C793" s="935"/>
      <c r="D793" s="613"/>
      <c r="E793" s="613"/>
      <c r="F793" s="613"/>
      <c r="G793" s="613"/>
      <c r="H793" s="613"/>
      <c r="I793" s="613"/>
      <c r="J793" s="613"/>
      <c r="K793" s="613"/>
      <c r="L793" s="613"/>
      <c r="M793" s="613"/>
      <c r="N793" s="613"/>
      <c r="O793" s="613"/>
      <c r="P793" s="613"/>
      <c r="Q793" s="613"/>
      <c r="R793" s="613"/>
      <c r="S793" s="613"/>
      <c r="T793" s="613"/>
      <c r="U793" s="613"/>
      <c r="V793" s="613"/>
      <c r="W793" s="613"/>
      <c r="X793" s="613"/>
      <c r="Y793" s="613"/>
      <c r="Z793" s="613"/>
      <c r="AA793" s="613"/>
      <c r="AB793" s="613"/>
      <c r="AC793" s="613"/>
      <c r="AD793" s="613"/>
      <c r="AE793" s="613"/>
      <c r="AF793" s="613"/>
      <c r="AG793" s="613"/>
      <c r="AH793" s="535"/>
      <c r="AI793" s="542"/>
      <c r="AJ793" s="592"/>
      <c r="AK793" s="592"/>
      <c r="AL793" s="592"/>
      <c r="AN793" s="594"/>
    </row>
    <row r="794" spans="1:81" s="548" customFormat="1" ht="12.75" customHeight="1">
      <c r="A794" s="603"/>
      <c r="B794" s="660"/>
      <c r="C794" s="950"/>
      <c r="D794" s="660"/>
      <c r="E794" s="660"/>
      <c r="F794" s="660"/>
      <c r="G794" s="660"/>
      <c r="H794" s="660"/>
      <c r="I794" s="660"/>
      <c r="J794" s="660"/>
      <c r="K794" s="660"/>
      <c r="L794" s="660"/>
      <c r="M794" s="660"/>
      <c r="N794" s="660"/>
      <c r="O794" s="660"/>
      <c r="P794" s="660"/>
      <c r="Q794" s="660"/>
      <c r="R794" s="660"/>
      <c r="S794" s="660"/>
      <c r="T794" s="660"/>
      <c r="U794" s="660"/>
      <c r="V794" s="660"/>
      <c r="W794" s="660"/>
      <c r="X794" s="660"/>
      <c r="Y794" s="660"/>
      <c r="Z794" s="660"/>
      <c r="AA794" s="660"/>
      <c r="AB794" s="660"/>
      <c r="AC794" s="660"/>
      <c r="AD794" s="660"/>
      <c r="AE794" s="660"/>
      <c r="AF794" s="660"/>
      <c r="AG794" s="660"/>
      <c r="AH794" s="598"/>
      <c r="AI794" s="562" t="s">
        <v>1438</v>
      </c>
      <c r="AJ794" s="2491">
        <f>VLOOKUP($H$792,$AO$782:$AP$784,2,FALSE)</f>
        <v>0</v>
      </c>
      <c r="AK794" s="2493"/>
      <c r="AL794" s="592"/>
      <c r="AN794" s="594"/>
    </row>
    <row r="795" spans="1:81" s="567" customFormat="1">
      <c r="A795" s="548"/>
      <c r="B795" s="613"/>
      <c r="C795" s="935"/>
      <c r="D795" s="613"/>
      <c r="E795" s="613"/>
      <c r="F795" s="613"/>
      <c r="G795" s="613"/>
      <c r="H795" s="613"/>
      <c r="I795" s="613"/>
      <c r="J795" s="613"/>
      <c r="K795" s="613"/>
      <c r="L795" s="613"/>
      <c r="M795" s="613"/>
      <c r="N795" s="613"/>
      <c r="O795" s="613"/>
      <c r="P795" s="613"/>
      <c r="Q795" s="613"/>
      <c r="R795" s="613"/>
      <c r="S795" s="613"/>
      <c r="T795" s="613"/>
      <c r="U795" s="613"/>
      <c r="V795" s="613"/>
      <c r="W795" s="613"/>
      <c r="X795" s="613"/>
      <c r="Y795" s="613"/>
      <c r="Z795" s="613"/>
      <c r="AA795" s="613"/>
      <c r="AB795" s="613"/>
      <c r="AC795" s="613"/>
      <c r="AD795" s="613"/>
      <c r="AE795" s="613"/>
      <c r="AF795" s="613"/>
      <c r="AG795" s="613"/>
      <c r="AH795" s="535"/>
      <c r="AI795" s="542"/>
      <c r="AJ795" s="592"/>
      <c r="AK795" s="592"/>
      <c r="AL795" s="592"/>
      <c r="AM795" s="548"/>
      <c r="AN795" s="679"/>
      <c r="AS795" s="669"/>
      <c r="AT795" s="669"/>
      <c r="AU795" s="669"/>
      <c r="AV795" s="669"/>
      <c r="AW795" s="669"/>
      <c r="AX795" s="669"/>
      <c r="AY795" s="669"/>
      <c r="AZ795" s="669"/>
      <c r="BA795" s="669"/>
      <c r="BB795" s="669"/>
      <c r="BC795" s="669"/>
      <c r="BD795" s="685"/>
      <c r="BE795" s="685"/>
      <c r="BF795" s="685"/>
      <c r="BG795" s="685"/>
      <c r="BH795" s="685"/>
      <c r="BI795" s="669"/>
      <c r="BJ795" s="669"/>
      <c r="BK795" s="669"/>
      <c r="BL795" s="669"/>
      <c r="BM795" s="669"/>
      <c r="BN795" s="669"/>
      <c r="BO795" s="669"/>
      <c r="BP795" s="669"/>
      <c r="BQ795" s="669"/>
      <c r="BR795" s="669"/>
      <c r="BS795" s="669"/>
      <c r="BT795" s="669"/>
      <c r="BU795" s="669"/>
      <c r="BV795" s="669"/>
      <c r="BW795" s="669"/>
      <c r="BX795" s="669"/>
      <c r="BY795" s="669"/>
      <c r="BZ795" s="669"/>
      <c r="CA795" s="669"/>
      <c r="CB795" s="669"/>
      <c r="CC795" s="669"/>
    </row>
    <row r="796" spans="1:81" s="567" customFormat="1">
      <c r="A796" s="548"/>
      <c r="B796" s="613"/>
      <c r="C796" s="538" t="s">
        <v>1439</v>
      </c>
      <c r="D796" s="613"/>
      <c r="E796" s="613"/>
      <c r="F796" s="613"/>
      <c r="G796" s="613"/>
      <c r="H796" s="613"/>
      <c r="I796" s="613"/>
      <c r="J796" s="613"/>
      <c r="K796" s="613"/>
      <c r="L796" s="613"/>
      <c r="M796" s="613"/>
      <c r="N796" s="613"/>
      <c r="O796" s="613"/>
      <c r="P796" s="613"/>
      <c r="Q796" s="613"/>
      <c r="R796" s="613"/>
      <c r="S796" s="613"/>
      <c r="T796" s="613"/>
      <c r="U796" s="613"/>
      <c r="V796" s="613"/>
      <c r="W796" s="613"/>
      <c r="X796" s="613"/>
      <c r="Y796" s="613"/>
      <c r="Z796" s="613"/>
      <c r="AA796" s="613"/>
      <c r="AB796" s="613"/>
      <c r="AC796" s="613"/>
      <c r="AD796" s="613"/>
      <c r="AE796" s="613"/>
      <c r="AF796" s="613"/>
      <c r="AG796" s="613"/>
      <c r="AH796" s="535"/>
      <c r="AI796" s="542"/>
      <c r="AJ796" s="592"/>
      <c r="AK796" s="592"/>
      <c r="AL796" s="592"/>
      <c r="AM796" s="548"/>
      <c r="AN796" s="679"/>
      <c r="AT796" s="669"/>
      <c r="AU796" s="669"/>
      <c r="AV796" s="669"/>
      <c r="AW796" s="669"/>
      <c r="AX796" s="669"/>
      <c r="AY796" s="669"/>
      <c r="AZ796" s="669"/>
    </row>
    <row r="797" spans="1:81" s="567" customFormat="1">
      <c r="A797" s="548"/>
      <c r="B797" s="613"/>
      <c r="C797" s="935"/>
      <c r="D797" s="613"/>
      <c r="E797" s="613"/>
      <c r="F797" s="613"/>
      <c r="G797" s="613"/>
      <c r="H797" s="613"/>
      <c r="I797" s="613"/>
      <c r="J797" s="613"/>
      <c r="K797" s="613"/>
      <c r="L797" s="613"/>
      <c r="M797" s="613"/>
      <c r="N797" s="613"/>
      <c r="O797" s="613"/>
      <c r="P797" s="613"/>
      <c r="Q797" s="613"/>
      <c r="R797" s="613"/>
      <c r="S797" s="613"/>
      <c r="T797" s="613"/>
      <c r="U797" s="613"/>
      <c r="V797" s="613"/>
      <c r="W797" s="613"/>
      <c r="X797" s="613"/>
      <c r="Y797" s="613"/>
      <c r="Z797" s="613"/>
      <c r="AA797" s="613"/>
      <c r="AB797" s="613"/>
      <c r="AC797" s="613"/>
      <c r="AD797" s="613"/>
      <c r="AE797" s="535"/>
      <c r="AF797" s="535"/>
      <c r="AG797" s="535"/>
      <c r="AH797" s="535"/>
      <c r="AI797" s="535"/>
      <c r="AJ797" s="535"/>
      <c r="AK797" s="535"/>
      <c r="AL797" s="592"/>
      <c r="AM797" s="548"/>
      <c r="AN797" s="679"/>
      <c r="AO797" s="548" t="s">
        <v>589</v>
      </c>
      <c r="AP797" s="675">
        <v>0</v>
      </c>
      <c r="AS797" s="669"/>
      <c r="AT797" s="669"/>
      <c r="AU797" s="669"/>
      <c r="AV797" s="669"/>
      <c r="AW797" s="669"/>
      <c r="AX797" s="669"/>
      <c r="AY797" s="669"/>
      <c r="AZ797" s="669"/>
      <c r="BA797" s="669"/>
      <c r="BB797" s="669"/>
      <c r="BC797" s="669"/>
      <c r="BD797" s="685"/>
      <c r="BE797" s="685"/>
      <c r="BF797" s="685"/>
      <c r="BG797" s="685"/>
      <c r="BH797" s="685"/>
      <c r="BI797" s="669"/>
      <c r="BJ797" s="669"/>
      <c r="BK797" s="669"/>
      <c r="BL797" s="669"/>
      <c r="BM797" s="669"/>
      <c r="BN797" s="669"/>
      <c r="BO797" s="669"/>
      <c r="BP797" s="669"/>
      <c r="BQ797" s="669"/>
      <c r="BR797" s="669"/>
      <c r="BS797" s="669"/>
      <c r="BT797" s="669"/>
      <c r="BU797" s="669"/>
      <c r="BV797" s="669"/>
      <c r="BW797" s="669"/>
      <c r="BX797" s="669"/>
      <c r="BY797" s="669"/>
      <c r="BZ797" s="669"/>
      <c r="CA797" s="669"/>
      <c r="CB797" s="669"/>
      <c r="CC797" s="669"/>
    </row>
    <row r="798" spans="1:81" s="567" customFormat="1" ht="13.7" customHeight="1">
      <c r="A798" s="548"/>
      <c r="B798" s="613"/>
      <c r="C798" s="935"/>
      <c r="D798" s="658" t="s">
        <v>685</v>
      </c>
      <c r="E798" s="2483" t="s">
        <v>2636</v>
      </c>
      <c r="F798" s="2483"/>
      <c r="G798" s="2483"/>
      <c r="H798" s="2483"/>
      <c r="I798" s="2483"/>
      <c r="J798" s="2483"/>
      <c r="K798" s="2483"/>
      <c r="L798" s="2483"/>
      <c r="M798" s="2483"/>
      <c r="N798" s="2483"/>
      <c r="O798" s="2483"/>
      <c r="P798" s="2483"/>
      <c r="Q798" s="2483"/>
      <c r="R798" s="2483"/>
      <c r="S798" s="2483"/>
      <c r="T798" s="2483"/>
      <c r="U798" s="2483"/>
      <c r="V798" s="2483"/>
      <c r="W798" s="2483"/>
      <c r="X798" s="2483"/>
      <c r="Y798" s="2483"/>
      <c r="Z798" s="2483"/>
      <c r="AA798" s="2483"/>
      <c r="AB798" s="2483"/>
      <c r="AC798" s="2483"/>
      <c r="AD798" s="2483"/>
      <c r="AE798" s="535"/>
      <c r="AF798" s="2466" t="s">
        <v>1344</v>
      </c>
      <c r="AG798" s="2466"/>
      <c r="AH798" s="2466"/>
      <c r="AI798" s="2466"/>
      <c r="AJ798" s="2466"/>
      <c r="AK798" s="2466"/>
      <c r="AL798" s="2466"/>
      <c r="AM798" s="610"/>
      <c r="AN798" s="679"/>
      <c r="AO798" s="608" t="s">
        <v>543</v>
      </c>
      <c r="AP798" s="548">
        <v>3</v>
      </c>
      <c r="AT798" s="669"/>
      <c r="AU798" s="669"/>
      <c r="AV798" s="669"/>
      <c r="AW798" s="669"/>
      <c r="AX798" s="669"/>
      <c r="AY798" s="669"/>
      <c r="AZ798" s="669"/>
    </row>
    <row r="799" spans="1:81" s="567" customFormat="1" ht="13.7" customHeight="1">
      <c r="A799" s="548"/>
      <c r="B799" s="613"/>
      <c r="C799" s="935"/>
      <c r="D799" s="658"/>
      <c r="E799" s="2483"/>
      <c r="F799" s="2483"/>
      <c r="G799" s="2483"/>
      <c r="H799" s="2483"/>
      <c r="I799" s="2483"/>
      <c r="J799" s="2483"/>
      <c r="K799" s="2483"/>
      <c r="L799" s="2483"/>
      <c r="M799" s="2483"/>
      <c r="N799" s="2483"/>
      <c r="O799" s="2483"/>
      <c r="P799" s="2483"/>
      <c r="Q799" s="2483"/>
      <c r="R799" s="2483"/>
      <c r="S799" s="2483"/>
      <c r="T799" s="2483"/>
      <c r="U799" s="2483"/>
      <c r="V799" s="2483"/>
      <c r="W799" s="2483"/>
      <c r="X799" s="2483"/>
      <c r="Y799" s="2483"/>
      <c r="Z799" s="2483"/>
      <c r="AA799" s="2483"/>
      <c r="AB799" s="2483"/>
      <c r="AC799" s="2483"/>
      <c r="AD799" s="2483"/>
      <c r="AE799" s="535"/>
      <c r="AF799" s="591"/>
      <c r="AG799" s="591"/>
      <c r="AH799" s="591"/>
      <c r="AI799" s="591"/>
      <c r="AJ799" s="591"/>
      <c r="AK799" s="591"/>
      <c r="AL799" s="591"/>
      <c r="AM799" s="610"/>
      <c r="AN799" s="679"/>
      <c r="AO799" s="608"/>
      <c r="AP799" s="548"/>
      <c r="AT799" s="669"/>
      <c r="AU799" s="669"/>
      <c r="AV799" s="669"/>
      <c r="AW799" s="669"/>
      <c r="AX799" s="669"/>
      <c r="AY799" s="669"/>
      <c r="AZ799" s="669"/>
    </row>
    <row r="800" spans="1:81" s="567" customFormat="1">
      <c r="A800" s="548"/>
      <c r="B800" s="613"/>
      <c r="C800" s="935"/>
      <c r="D800" s="658"/>
      <c r="E800" s="2483"/>
      <c r="F800" s="2483"/>
      <c r="G800" s="2483"/>
      <c r="H800" s="2483"/>
      <c r="I800" s="2483"/>
      <c r="J800" s="2483"/>
      <c r="K800" s="2483"/>
      <c r="L800" s="2483"/>
      <c r="M800" s="2483"/>
      <c r="N800" s="2483"/>
      <c r="O800" s="2483"/>
      <c r="P800" s="2483"/>
      <c r="Q800" s="2483"/>
      <c r="R800" s="2483"/>
      <c r="S800" s="2483"/>
      <c r="T800" s="2483"/>
      <c r="U800" s="2483"/>
      <c r="V800" s="2483"/>
      <c r="W800" s="2483"/>
      <c r="X800" s="2483"/>
      <c r="Y800" s="2483"/>
      <c r="Z800" s="2483"/>
      <c r="AA800" s="2483"/>
      <c r="AB800" s="2483"/>
      <c r="AC800" s="2483"/>
      <c r="AD800" s="2483"/>
      <c r="AE800" s="591"/>
      <c r="AF800" s="591"/>
      <c r="AG800" s="591"/>
      <c r="AH800" s="591"/>
      <c r="AI800" s="591"/>
      <c r="AJ800" s="591"/>
      <c r="AK800" s="591"/>
      <c r="AL800" s="591"/>
      <c r="AM800" s="610"/>
      <c r="AN800" s="679"/>
      <c r="AO800" s="608"/>
      <c r="AP800" s="548"/>
      <c r="AT800" s="669"/>
      <c r="AU800" s="669"/>
      <c r="AV800" s="669"/>
      <c r="AW800" s="669"/>
      <c r="AX800" s="669"/>
      <c r="AY800" s="669"/>
      <c r="AZ800" s="669"/>
    </row>
    <row r="801" spans="1:81" s="567" customFormat="1">
      <c r="A801" s="548"/>
      <c r="B801" s="613"/>
      <c r="C801" s="935"/>
      <c r="D801" s="658"/>
      <c r="E801" s="2483"/>
      <c r="F801" s="2483"/>
      <c r="G801" s="2483"/>
      <c r="H801" s="2483"/>
      <c r="I801" s="2483"/>
      <c r="J801" s="2483"/>
      <c r="K801" s="2483"/>
      <c r="L801" s="2483"/>
      <c r="M801" s="2483"/>
      <c r="N801" s="2483"/>
      <c r="O801" s="2483"/>
      <c r="P801" s="2483"/>
      <c r="Q801" s="2483"/>
      <c r="R801" s="2483"/>
      <c r="S801" s="2483"/>
      <c r="T801" s="2483"/>
      <c r="U801" s="2483"/>
      <c r="V801" s="2483"/>
      <c r="W801" s="2483"/>
      <c r="X801" s="2483"/>
      <c r="Y801" s="2483"/>
      <c r="Z801" s="2483"/>
      <c r="AA801" s="2483"/>
      <c r="AB801" s="2483"/>
      <c r="AC801" s="2483"/>
      <c r="AD801" s="2483"/>
      <c r="AE801" s="591"/>
      <c r="AF801" s="591"/>
      <c r="AG801" s="591"/>
      <c r="AH801" s="591"/>
      <c r="AI801" s="591"/>
      <c r="AJ801" s="591"/>
      <c r="AK801" s="591"/>
      <c r="AL801" s="591"/>
      <c r="AM801" s="610"/>
      <c r="AN801" s="679"/>
      <c r="AO801" s="686"/>
      <c r="AT801" s="669"/>
      <c r="AU801" s="669"/>
      <c r="AV801" s="669"/>
      <c r="AW801" s="669"/>
      <c r="AX801" s="669"/>
      <c r="AY801" s="669"/>
      <c r="AZ801" s="669"/>
    </row>
    <row r="802" spans="1:81" s="567" customFormat="1">
      <c r="A802" s="548"/>
      <c r="B802" s="613"/>
      <c r="C802" s="935"/>
      <c r="D802" s="658"/>
      <c r="E802" s="640"/>
      <c r="F802" s="640"/>
      <c r="G802" s="640"/>
      <c r="H802" s="640"/>
      <c r="I802" s="640"/>
      <c r="J802" s="640"/>
      <c r="K802" s="640"/>
      <c r="L802" s="640"/>
      <c r="M802" s="640"/>
      <c r="N802" s="640"/>
      <c r="O802" s="640"/>
      <c r="P802" s="640"/>
      <c r="Q802" s="640"/>
      <c r="R802" s="640"/>
      <c r="S802" s="640"/>
      <c r="T802" s="640"/>
      <c r="U802" s="640"/>
      <c r="V802" s="640"/>
      <c r="W802" s="640"/>
      <c r="X802" s="640"/>
      <c r="Y802" s="640"/>
      <c r="Z802" s="640"/>
      <c r="AA802" s="640"/>
      <c r="AB802" s="640"/>
      <c r="AC802" s="640"/>
      <c r="AD802" s="640"/>
      <c r="AE802" s="591"/>
      <c r="AF802" s="591"/>
      <c r="AG802" s="591"/>
      <c r="AH802" s="591"/>
      <c r="AI802" s="591"/>
      <c r="AJ802" s="591"/>
      <c r="AK802" s="591"/>
      <c r="AL802" s="591"/>
      <c r="AM802" s="610"/>
      <c r="AN802" s="679"/>
      <c r="AO802" s="686"/>
      <c r="AT802" s="669"/>
      <c r="AU802" s="669"/>
      <c r="AV802" s="669"/>
      <c r="AW802" s="669"/>
      <c r="AX802" s="669"/>
      <c r="AY802" s="669"/>
      <c r="AZ802" s="669"/>
    </row>
    <row r="803" spans="1:81" s="567" customFormat="1">
      <c r="A803" s="548"/>
      <c r="B803" s="613"/>
      <c r="C803" s="935"/>
      <c r="D803" s="535" t="s">
        <v>1390</v>
      </c>
      <c r="E803" s="931"/>
      <c r="F803" s="931"/>
      <c r="G803" s="931"/>
      <c r="H803" s="2546" t="s">
        <v>589</v>
      </c>
      <c r="I803" s="2546"/>
      <c r="J803" s="613"/>
      <c r="K803" s="613"/>
      <c r="L803" s="613"/>
      <c r="M803" s="613"/>
      <c r="N803" s="613"/>
      <c r="O803" s="613"/>
      <c r="P803" s="613"/>
      <c r="Q803" s="613"/>
      <c r="R803" s="613"/>
      <c r="S803" s="613"/>
      <c r="T803" s="613"/>
      <c r="U803" s="613"/>
      <c r="V803" s="613"/>
      <c r="W803" s="613"/>
      <c r="X803" s="613"/>
      <c r="Y803" s="613"/>
      <c r="Z803" s="613"/>
      <c r="AA803" s="613"/>
      <c r="AB803" s="613"/>
      <c r="AC803" s="613"/>
      <c r="AD803" s="613"/>
      <c r="AE803" s="613"/>
      <c r="AF803" s="613"/>
      <c r="AG803" s="613"/>
      <c r="AH803" s="535"/>
      <c r="AI803" s="542"/>
      <c r="AJ803" s="592"/>
      <c r="AK803" s="592"/>
      <c r="AL803" s="592"/>
      <c r="AM803" s="548"/>
      <c r="AN803" s="679"/>
      <c r="AS803" s="669"/>
      <c r="AT803" s="669"/>
      <c r="AU803" s="669"/>
      <c r="AV803" s="669"/>
      <c r="AW803" s="669"/>
      <c r="AX803" s="669"/>
      <c r="AZ803" s="669"/>
      <c r="BA803" s="669"/>
      <c r="BB803" s="669"/>
      <c r="BC803" s="669"/>
      <c r="BD803" s="685"/>
      <c r="BE803" s="685"/>
      <c r="BF803" s="685"/>
      <c r="BG803" s="685"/>
      <c r="BH803" s="685"/>
      <c r="BI803" s="669"/>
      <c r="BJ803" s="669"/>
      <c r="BK803" s="669"/>
      <c r="BL803" s="669"/>
      <c r="BM803" s="669"/>
      <c r="BN803" s="669"/>
      <c r="BO803" s="669"/>
      <c r="BP803" s="669"/>
      <c r="BQ803" s="669"/>
      <c r="BR803" s="669"/>
      <c r="BS803" s="669"/>
      <c r="BT803" s="669"/>
      <c r="BU803" s="669"/>
      <c r="BV803" s="669"/>
      <c r="BW803" s="669"/>
      <c r="BX803" s="669"/>
      <c r="BY803" s="669"/>
      <c r="BZ803" s="669"/>
      <c r="CA803" s="669"/>
      <c r="CB803" s="669"/>
      <c r="CC803" s="669"/>
    </row>
    <row r="804" spans="1:81" s="567" customFormat="1">
      <c r="A804" s="548"/>
      <c r="B804" s="613"/>
      <c r="C804" s="683"/>
      <c r="D804" s="549"/>
      <c r="E804" s="549"/>
      <c r="F804" s="549"/>
      <c r="G804" s="549"/>
      <c r="H804" s="549"/>
      <c r="I804" s="549"/>
      <c r="J804" s="549"/>
      <c r="K804" s="549"/>
      <c r="L804" s="549"/>
      <c r="M804" s="549"/>
      <c r="N804" s="549"/>
      <c r="O804" s="549"/>
      <c r="P804" s="549"/>
      <c r="Q804" s="549"/>
      <c r="R804" s="549"/>
      <c r="S804" s="549"/>
      <c r="T804" s="549"/>
      <c r="U804" s="549"/>
      <c r="V804" s="549"/>
      <c r="W804" s="549"/>
      <c r="X804" s="549"/>
      <c r="Y804" s="549"/>
      <c r="Z804" s="549"/>
      <c r="AA804" s="549"/>
      <c r="AB804" s="549"/>
      <c r="AC804" s="549"/>
      <c r="AD804" s="613"/>
      <c r="AE804" s="549"/>
      <c r="AF804" s="549"/>
      <c r="AG804" s="549"/>
      <c r="AH804" s="549"/>
      <c r="AI804" s="548"/>
      <c r="AJ804" s="548"/>
      <c r="AK804" s="548"/>
      <c r="AL804" s="548"/>
      <c r="AM804" s="548"/>
      <c r="AN804" s="679"/>
      <c r="AT804" s="669"/>
      <c r="AU804" s="669"/>
      <c r="AV804" s="669"/>
      <c r="AW804" s="669"/>
      <c r="AX804" s="669"/>
      <c r="AY804" s="669"/>
      <c r="AZ804" s="669"/>
    </row>
    <row r="805" spans="1:81" s="567" customFormat="1">
      <c r="A805" s="603"/>
      <c r="B805" s="660"/>
      <c r="C805" s="684"/>
      <c r="D805" s="659"/>
      <c r="E805" s="659"/>
      <c r="F805" s="659"/>
      <c r="G805" s="659"/>
      <c r="H805" s="659"/>
      <c r="I805" s="659"/>
      <c r="J805" s="659"/>
      <c r="K805" s="659"/>
      <c r="L805" s="659"/>
      <c r="M805" s="659"/>
      <c r="N805" s="659"/>
      <c r="O805" s="659"/>
      <c r="P805" s="659"/>
      <c r="Q805" s="659"/>
      <c r="R805" s="659"/>
      <c r="S805" s="659"/>
      <c r="T805" s="659"/>
      <c r="U805" s="659"/>
      <c r="V805" s="659"/>
      <c r="W805" s="659"/>
      <c r="X805" s="659"/>
      <c r="Y805" s="659"/>
      <c r="Z805" s="659"/>
      <c r="AA805" s="659"/>
      <c r="AB805" s="659"/>
      <c r="AC805" s="660"/>
      <c r="AD805" s="659"/>
      <c r="AE805" s="659"/>
      <c r="AF805" s="659"/>
      <c r="AG805" s="659"/>
      <c r="AH805" s="561"/>
      <c r="AI805" s="562" t="s">
        <v>1440</v>
      </c>
      <c r="AJ805" s="2491">
        <f>VLOOKUP($H$803,$AO$797:$AP$798,2,FALSE)</f>
        <v>0</v>
      </c>
      <c r="AK805" s="2493"/>
      <c r="AL805" s="592"/>
      <c r="AM805" s="548"/>
      <c r="AN805" s="679"/>
      <c r="AS805" s="669"/>
      <c r="AT805" s="669"/>
      <c r="AU805" s="669"/>
      <c r="AV805" s="669"/>
      <c r="AW805" s="669"/>
      <c r="AX805" s="669"/>
      <c r="AY805" s="669"/>
      <c r="AZ805" s="669"/>
      <c r="BA805" s="669"/>
      <c r="BB805" s="669"/>
      <c r="BC805" s="669"/>
      <c r="BD805" s="685"/>
      <c r="BE805" s="685"/>
      <c r="BF805" s="685"/>
      <c r="BG805" s="685"/>
      <c r="BH805" s="685"/>
      <c r="BI805" s="669"/>
      <c r="BJ805" s="669"/>
      <c r="BK805" s="669"/>
      <c r="BL805" s="669"/>
      <c r="BM805" s="669"/>
      <c r="BN805" s="669"/>
      <c r="BO805" s="669"/>
      <c r="BP805" s="669"/>
      <c r="BQ805" s="669"/>
      <c r="BR805" s="669"/>
      <c r="BS805" s="669"/>
      <c r="BT805" s="669"/>
      <c r="BU805" s="669"/>
      <c r="BV805" s="669"/>
      <c r="BW805" s="669"/>
      <c r="BX805" s="669"/>
      <c r="BY805" s="669"/>
      <c r="BZ805" s="669"/>
      <c r="CA805" s="669"/>
      <c r="CB805" s="669"/>
      <c r="CC805" s="669"/>
    </row>
    <row r="806" spans="1:81" s="548" customFormat="1" ht="12.75" customHeight="1">
      <c r="B806" s="613"/>
      <c r="C806" s="683"/>
      <c r="D806" s="549"/>
      <c r="E806" s="549"/>
      <c r="F806" s="549"/>
      <c r="G806" s="549"/>
      <c r="H806" s="549"/>
      <c r="I806" s="549"/>
      <c r="J806" s="549"/>
      <c r="K806" s="549"/>
      <c r="L806" s="549"/>
      <c r="M806" s="549"/>
      <c r="N806" s="549"/>
      <c r="O806" s="549"/>
      <c r="P806" s="549"/>
      <c r="Q806" s="549"/>
      <c r="R806" s="549"/>
      <c r="S806" s="549"/>
      <c r="T806" s="549"/>
      <c r="U806" s="549"/>
      <c r="V806" s="549"/>
      <c r="W806" s="549"/>
      <c r="X806" s="549"/>
      <c r="Y806" s="549"/>
      <c r="Z806" s="549"/>
      <c r="AA806" s="549"/>
      <c r="AB806" s="549"/>
      <c r="AC806" s="549"/>
      <c r="AD806" s="613"/>
      <c r="AE806" s="549"/>
      <c r="AF806" s="549"/>
      <c r="AG806" s="549"/>
      <c r="AH806" s="549"/>
      <c r="AN806" s="594"/>
    </row>
    <row r="807" spans="1:81" s="548" customFormat="1" ht="12.75" customHeight="1">
      <c r="B807" s="613"/>
      <c r="C807" s="538" t="s">
        <v>2597</v>
      </c>
      <c r="D807" s="549"/>
      <c r="E807" s="549"/>
      <c r="F807" s="549"/>
      <c r="G807" s="549"/>
      <c r="H807" s="549"/>
      <c r="I807" s="549"/>
      <c r="J807" s="549"/>
      <c r="K807" s="549"/>
      <c r="L807" s="549"/>
      <c r="M807" s="549"/>
      <c r="N807" s="549"/>
      <c r="O807" s="549"/>
      <c r="P807" s="549"/>
      <c r="Q807" s="549"/>
      <c r="R807" s="549"/>
      <c r="S807" s="549"/>
      <c r="T807" s="549"/>
      <c r="U807" s="549"/>
      <c r="V807" s="549"/>
      <c r="W807" s="549"/>
      <c r="X807" s="549"/>
      <c r="Y807" s="549"/>
      <c r="Z807" s="549"/>
      <c r="AA807" s="549"/>
      <c r="AB807" s="549"/>
      <c r="AC807" s="549"/>
      <c r="AD807" s="613"/>
      <c r="AE807" s="549"/>
      <c r="AF807" s="549"/>
      <c r="AG807" s="549"/>
      <c r="AH807" s="549"/>
      <c r="AN807" s="594"/>
    </row>
    <row r="808" spans="1:81" s="548" customFormat="1" ht="12.75" customHeight="1">
      <c r="B808" s="613"/>
      <c r="C808" s="683"/>
      <c r="D808" s="549"/>
      <c r="E808" s="549"/>
      <c r="F808" s="549"/>
      <c r="G808" s="549"/>
      <c r="H808" s="549"/>
      <c r="I808" s="549"/>
      <c r="J808" s="549"/>
      <c r="K808" s="549"/>
      <c r="L808" s="549"/>
      <c r="M808" s="549"/>
      <c r="N808" s="549"/>
      <c r="O808" s="549"/>
      <c r="P808" s="549"/>
      <c r="Q808" s="549"/>
      <c r="R808" s="549"/>
      <c r="S808" s="549"/>
      <c r="T808" s="549"/>
      <c r="U808" s="549"/>
      <c r="V808" s="549"/>
      <c r="W808" s="549"/>
      <c r="X808" s="549"/>
      <c r="Y808" s="549"/>
      <c r="Z808" s="549"/>
      <c r="AA808" s="549"/>
      <c r="AB808" s="549"/>
      <c r="AC808" s="549"/>
      <c r="AD808" s="613"/>
      <c r="AE808" s="549"/>
      <c r="AF808" s="549"/>
      <c r="AG808" s="549"/>
      <c r="AH808" s="549"/>
      <c r="AN808" s="594"/>
    </row>
    <row r="809" spans="1:81" s="548" customFormat="1" ht="12.75" customHeight="1">
      <c r="B809" s="613"/>
      <c r="C809" s="683"/>
      <c r="D809" s="658" t="s">
        <v>685</v>
      </c>
      <c r="E809" s="2483" t="s">
        <v>2598</v>
      </c>
      <c r="F809" s="2483"/>
      <c r="G809" s="2483"/>
      <c r="H809" s="2483"/>
      <c r="I809" s="2483"/>
      <c r="J809" s="2483"/>
      <c r="K809" s="2483"/>
      <c r="L809" s="2483"/>
      <c r="M809" s="2483"/>
      <c r="N809" s="2483"/>
      <c r="O809" s="2483"/>
      <c r="P809" s="2483"/>
      <c r="Q809" s="2483"/>
      <c r="R809" s="2483"/>
      <c r="S809" s="2483"/>
      <c r="T809" s="2483"/>
      <c r="U809" s="2483"/>
      <c r="V809" s="2483"/>
      <c r="W809" s="2483"/>
      <c r="X809" s="2483"/>
      <c r="Y809" s="2483"/>
      <c r="Z809" s="2483"/>
      <c r="AA809" s="2483"/>
      <c r="AB809" s="2483"/>
      <c r="AC809" s="2483"/>
      <c r="AD809" s="2483"/>
      <c r="AE809" s="549"/>
      <c r="AF809" s="2466" t="s">
        <v>1369</v>
      </c>
      <c r="AG809" s="2466"/>
      <c r="AH809" s="2466"/>
      <c r="AI809" s="2466"/>
      <c r="AJ809" s="2466"/>
      <c r="AK809" s="2466"/>
      <c r="AL809" s="2466"/>
      <c r="AN809" s="594"/>
    </row>
    <row r="810" spans="1:81" s="548" customFormat="1" ht="12.75" customHeight="1">
      <c r="B810" s="613"/>
      <c r="C810" s="683"/>
      <c r="D810" s="658"/>
      <c r="E810" s="2483"/>
      <c r="F810" s="2483"/>
      <c r="G810" s="2483"/>
      <c r="H810" s="2483"/>
      <c r="I810" s="2483"/>
      <c r="J810" s="2483"/>
      <c r="K810" s="2483"/>
      <c r="L810" s="2483"/>
      <c r="M810" s="2483"/>
      <c r="N810" s="2483"/>
      <c r="O810" s="2483"/>
      <c r="P810" s="2483"/>
      <c r="Q810" s="2483"/>
      <c r="R810" s="2483"/>
      <c r="S810" s="2483"/>
      <c r="T810" s="2483"/>
      <c r="U810" s="2483"/>
      <c r="V810" s="2483"/>
      <c r="W810" s="2483"/>
      <c r="X810" s="2483"/>
      <c r="Y810" s="2483"/>
      <c r="Z810" s="2483"/>
      <c r="AA810" s="2483"/>
      <c r="AB810" s="2483"/>
      <c r="AC810" s="2483"/>
      <c r="AD810" s="2483"/>
      <c r="AE810" s="549"/>
      <c r="AF810" s="549"/>
      <c r="AG810" s="549"/>
      <c r="AH810" s="549"/>
      <c r="AN810" s="594"/>
    </row>
    <row r="811" spans="1:81" s="548" customFormat="1" ht="12.75" customHeight="1">
      <c r="B811" s="613"/>
      <c r="C811" s="683"/>
      <c r="D811" s="549"/>
      <c r="E811" s="549"/>
      <c r="F811" s="549"/>
      <c r="G811" s="549"/>
      <c r="H811" s="549"/>
      <c r="I811" s="549"/>
      <c r="J811" s="549"/>
      <c r="K811" s="549"/>
      <c r="L811" s="549"/>
      <c r="M811" s="549"/>
      <c r="N811" s="549"/>
      <c r="O811" s="549"/>
      <c r="P811" s="549"/>
      <c r="Q811" s="549"/>
      <c r="R811" s="549"/>
      <c r="S811" s="549"/>
      <c r="T811" s="549"/>
      <c r="U811" s="549"/>
      <c r="V811" s="549"/>
      <c r="W811" s="549"/>
      <c r="X811" s="549"/>
      <c r="Y811" s="549"/>
      <c r="Z811" s="549"/>
      <c r="AA811" s="549"/>
      <c r="AB811" s="549"/>
      <c r="AC811" s="549"/>
      <c r="AD811" s="613"/>
      <c r="AE811" s="549"/>
      <c r="AF811" s="549"/>
      <c r="AG811" s="549"/>
      <c r="AH811" s="549"/>
      <c r="AN811" s="594"/>
    </row>
    <row r="812" spans="1:81" s="567" customFormat="1">
      <c r="A812" s="548"/>
      <c r="B812" s="613"/>
      <c r="C812" s="935"/>
      <c r="D812" s="535" t="s">
        <v>1390</v>
      </c>
      <c r="E812" s="931"/>
      <c r="F812" s="931"/>
      <c r="G812" s="931"/>
      <c r="H812" s="2546" t="s">
        <v>589</v>
      </c>
      <c r="I812" s="2546"/>
      <c r="J812" s="613"/>
      <c r="K812" s="613"/>
      <c r="L812" s="613"/>
      <c r="M812" s="613"/>
      <c r="N812" s="613"/>
      <c r="O812" s="613"/>
      <c r="P812" s="613"/>
      <c r="Q812" s="613"/>
      <c r="R812" s="613"/>
      <c r="S812" s="613"/>
      <c r="T812" s="613"/>
      <c r="U812" s="613"/>
      <c r="V812" s="613"/>
      <c r="W812" s="613"/>
      <c r="X812" s="613"/>
      <c r="Y812" s="613"/>
      <c r="Z812" s="613"/>
      <c r="AA812" s="613"/>
      <c r="AB812" s="613"/>
      <c r="AC812" s="613"/>
      <c r="AD812" s="613"/>
      <c r="AE812" s="613"/>
      <c r="AF812" s="613"/>
      <c r="AG812" s="613"/>
      <c r="AH812" s="535"/>
      <c r="AI812" s="542"/>
      <c r="AJ812" s="592"/>
      <c r="AK812" s="592"/>
      <c r="AL812" s="592"/>
      <c r="AM812" s="548"/>
      <c r="AN812" s="679"/>
      <c r="AS812" s="669"/>
      <c r="AT812" s="669"/>
      <c r="AU812" s="669"/>
      <c r="AV812" s="669"/>
      <c r="AW812" s="669"/>
      <c r="AX812" s="669"/>
      <c r="AZ812" s="669"/>
      <c r="BA812" s="669"/>
      <c r="BB812" s="669"/>
      <c r="BC812" s="669"/>
      <c r="BD812" s="685"/>
      <c r="BE812" s="685"/>
      <c r="BF812" s="685"/>
      <c r="BG812" s="685"/>
      <c r="BH812" s="685"/>
      <c r="BI812" s="669"/>
      <c r="BJ812" s="669"/>
      <c r="BK812" s="669"/>
      <c r="BL812" s="669"/>
      <c r="BM812" s="669"/>
      <c r="BN812" s="669"/>
      <c r="BO812" s="669"/>
      <c r="BP812" s="669"/>
      <c r="BQ812" s="669"/>
      <c r="BR812" s="669"/>
      <c r="BS812" s="669"/>
      <c r="BT812" s="669"/>
      <c r="BU812" s="669"/>
      <c r="BV812" s="669"/>
      <c r="BW812" s="669"/>
      <c r="BX812" s="669"/>
      <c r="BY812" s="669"/>
      <c r="BZ812" s="669"/>
      <c r="CA812" s="669"/>
      <c r="CB812" s="669"/>
      <c r="CC812" s="669"/>
    </row>
    <row r="813" spans="1:81" s="567" customFormat="1">
      <c r="A813" s="548"/>
      <c r="B813" s="613"/>
      <c r="C813" s="683"/>
      <c r="D813" s="549"/>
      <c r="E813" s="549"/>
      <c r="F813" s="549"/>
      <c r="G813" s="549"/>
      <c r="H813" s="549"/>
      <c r="I813" s="549"/>
      <c r="J813" s="549"/>
      <c r="K813" s="549"/>
      <c r="L813" s="549"/>
      <c r="M813" s="549"/>
      <c r="N813" s="549"/>
      <c r="O813" s="549"/>
      <c r="P813" s="549"/>
      <c r="Q813" s="549"/>
      <c r="R813" s="549"/>
      <c r="S813" s="549"/>
      <c r="T813" s="549"/>
      <c r="U813" s="549"/>
      <c r="V813" s="549"/>
      <c r="W813" s="549"/>
      <c r="X813" s="549"/>
      <c r="Y813" s="549"/>
      <c r="Z813" s="549"/>
      <c r="AA813" s="549"/>
      <c r="AB813" s="549"/>
      <c r="AC813" s="549"/>
      <c r="AD813" s="613"/>
      <c r="AE813" s="549"/>
      <c r="AF813" s="549"/>
      <c r="AG813" s="549"/>
      <c r="AH813" s="549"/>
      <c r="AI813" s="548"/>
      <c r="AJ813" s="548"/>
      <c r="AK813" s="548"/>
      <c r="AL813" s="548"/>
      <c r="AM813" s="548"/>
      <c r="AN813" s="679"/>
      <c r="AT813" s="669"/>
      <c r="AU813" s="669"/>
      <c r="AV813" s="669"/>
      <c r="AW813" s="669"/>
      <c r="AX813" s="669"/>
      <c r="AY813" s="669"/>
      <c r="AZ813" s="669"/>
    </row>
    <row r="814" spans="1:81" s="567" customFormat="1">
      <c r="A814" s="603"/>
      <c r="B814" s="660"/>
      <c r="C814" s="684"/>
      <c r="D814" s="659"/>
      <c r="E814" s="659"/>
      <c r="F814" s="659"/>
      <c r="G814" s="659"/>
      <c r="H814" s="659"/>
      <c r="I814" s="659"/>
      <c r="J814" s="659"/>
      <c r="K814" s="659"/>
      <c r="L814" s="659"/>
      <c r="M814" s="659"/>
      <c r="N814" s="659"/>
      <c r="O814" s="659"/>
      <c r="P814" s="659"/>
      <c r="Q814" s="659"/>
      <c r="R814" s="659"/>
      <c r="S814" s="659"/>
      <c r="T814" s="659"/>
      <c r="U814" s="659"/>
      <c r="V814" s="659"/>
      <c r="W814" s="659"/>
      <c r="X814" s="659"/>
      <c r="Y814" s="659"/>
      <c r="Z814" s="659"/>
      <c r="AA814" s="659"/>
      <c r="AB814" s="659"/>
      <c r="AC814" s="660"/>
      <c r="AD814" s="659"/>
      <c r="AE814" s="659"/>
      <c r="AF814" s="659"/>
      <c r="AG814" s="659"/>
      <c r="AH814" s="561"/>
      <c r="AI814" s="562" t="s">
        <v>2599</v>
      </c>
      <c r="AJ814" s="2491">
        <f>IF(H812="Yes",5,0)</f>
        <v>0</v>
      </c>
      <c r="AK814" s="2493"/>
      <c r="AL814" s="592"/>
      <c r="AM814" s="548"/>
      <c r="AN814" s="679"/>
      <c r="AS814" s="669"/>
      <c r="AT814" s="669"/>
      <c r="AU814" s="669"/>
      <c r="AV814" s="669"/>
      <c r="AW814" s="669"/>
      <c r="AX814" s="669"/>
      <c r="AY814" s="669"/>
      <c r="AZ814" s="669"/>
      <c r="BA814" s="669"/>
      <c r="BB814" s="669"/>
      <c r="BC814" s="669"/>
      <c r="BD814" s="685"/>
      <c r="BE814" s="685"/>
      <c r="BF814" s="685"/>
      <c r="BG814" s="685"/>
      <c r="BH814" s="685"/>
      <c r="BI814" s="669"/>
      <c r="BJ814" s="669"/>
      <c r="BK814" s="669"/>
      <c r="BL814" s="669"/>
      <c r="BM814" s="669"/>
      <c r="BN814" s="669"/>
      <c r="BO814" s="669"/>
      <c r="BP814" s="669"/>
      <c r="BQ814" s="669"/>
      <c r="BR814" s="669"/>
      <c r="BS814" s="669"/>
      <c r="BT814" s="669"/>
      <c r="BU814" s="669"/>
      <c r="BV814" s="669"/>
      <c r="BW814" s="669"/>
      <c r="BX814" s="669"/>
      <c r="BY814" s="669"/>
      <c r="BZ814" s="669"/>
      <c r="CA814" s="669"/>
      <c r="CB814" s="669"/>
      <c r="CC814" s="669"/>
    </row>
    <row r="815" spans="1:81" s="548" customFormat="1" ht="12.75" customHeight="1">
      <c r="B815" s="613"/>
      <c r="C815" s="683"/>
      <c r="D815" s="549"/>
      <c r="E815" s="549"/>
      <c r="F815" s="549"/>
      <c r="G815" s="549"/>
      <c r="H815" s="549"/>
      <c r="I815" s="549"/>
      <c r="J815" s="549"/>
      <c r="K815" s="549"/>
      <c r="L815" s="549"/>
      <c r="M815" s="549"/>
      <c r="N815" s="549"/>
      <c r="O815" s="549"/>
      <c r="P815" s="549"/>
      <c r="Q815" s="549"/>
      <c r="R815" s="549"/>
      <c r="S815" s="549"/>
      <c r="T815" s="549"/>
      <c r="U815" s="549"/>
      <c r="V815" s="549"/>
      <c r="W815" s="549"/>
      <c r="X815" s="549"/>
      <c r="Y815" s="549"/>
      <c r="Z815" s="549"/>
      <c r="AA815" s="549"/>
      <c r="AB815" s="549"/>
      <c r="AC815" s="549"/>
      <c r="AD815" s="613"/>
      <c r="AE815" s="549"/>
      <c r="AF815" s="549"/>
      <c r="AG815" s="549"/>
      <c r="AH815" s="549"/>
      <c r="AN815" s="594"/>
    </row>
    <row r="816" spans="1:81" s="548" customFormat="1" ht="12.75" customHeight="1">
      <c r="A816" s="603"/>
      <c r="B816" s="659"/>
      <c r="C816" s="659"/>
      <c r="D816" s="659"/>
      <c r="E816" s="659"/>
      <c r="F816" s="659"/>
      <c r="G816" s="659"/>
      <c r="H816" s="659"/>
      <c r="I816" s="659"/>
      <c r="J816" s="659"/>
      <c r="K816" s="659"/>
      <c r="L816" s="659"/>
      <c r="M816" s="659"/>
      <c r="N816" s="659"/>
      <c r="O816" s="659"/>
      <c r="P816" s="659"/>
      <c r="Q816" s="659"/>
      <c r="R816" s="659"/>
      <c r="S816" s="659"/>
      <c r="T816" s="659"/>
      <c r="U816" s="659"/>
      <c r="V816" s="659"/>
      <c r="W816" s="659"/>
      <c r="X816" s="659"/>
      <c r="Y816" s="659"/>
      <c r="Z816" s="659"/>
      <c r="AA816" s="659"/>
      <c r="AB816" s="659"/>
      <c r="AC816" s="660"/>
      <c r="AD816" s="659"/>
      <c r="AE816" s="561"/>
      <c r="AF816" s="561"/>
      <c r="AG816" s="561"/>
      <c r="AH816" s="561"/>
      <c r="AI816" s="562"/>
      <c r="AJ816" s="562" t="s">
        <v>1441</v>
      </c>
      <c r="AK816" s="2491">
        <f>IF(($AJ$634+$AJ$653+$AJ$665+$AJ$700+$AJ$724+$AJ$738+$AJ$750+$AJ$766+$AJ$778+$AJ$794+AJ805+AJ814)&gt;10,10,($AJ$634+$AJ$653+$AJ$665+$AJ$700+$AJ$724+$AJ$738+$AJ$750+$AJ$766+$AJ$778+$AJ$794+AJ805+AJ814))</f>
        <v>10</v>
      </c>
      <c r="AL816" s="2492"/>
      <c r="AM816" s="2493"/>
      <c r="AN816" s="594"/>
    </row>
    <row r="817" spans="1:43" s="548" customFormat="1" ht="12.75" customHeight="1">
      <c r="B817" s="549"/>
      <c r="C817" s="549"/>
      <c r="D817" s="549"/>
      <c r="E817" s="549"/>
      <c r="F817" s="549"/>
      <c r="G817" s="549"/>
      <c r="H817" s="549"/>
      <c r="I817" s="549"/>
      <c r="J817" s="549"/>
      <c r="K817" s="549"/>
      <c r="L817" s="549"/>
      <c r="M817" s="549"/>
      <c r="N817" s="549"/>
      <c r="O817" s="549"/>
      <c r="P817" s="549"/>
      <c r="Q817" s="549"/>
      <c r="R817" s="549"/>
      <c r="S817" s="549"/>
      <c r="T817" s="549"/>
      <c r="U817" s="549"/>
      <c r="V817" s="549"/>
      <c r="W817" s="549"/>
      <c r="X817" s="549"/>
      <c r="Y817" s="549"/>
      <c r="Z817" s="549"/>
      <c r="AA817" s="549"/>
      <c r="AB817" s="549"/>
      <c r="AC817" s="613"/>
      <c r="AD817" s="549"/>
      <c r="AI817" s="542"/>
      <c r="AJ817" s="542"/>
      <c r="AK817" s="592"/>
      <c r="AL817" s="592"/>
      <c r="AM817" s="592"/>
      <c r="AN817" s="594"/>
    </row>
    <row r="818" spans="1:43">
      <c r="B818" s="548"/>
      <c r="C818" s="548"/>
      <c r="D818" s="548"/>
      <c r="E818" s="548"/>
      <c r="F818" s="548"/>
      <c r="G818" s="548"/>
      <c r="H818" s="548"/>
      <c r="I818" s="548"/>
      <c r="J818" s="548"/>
      <c r="K818" s="548"/>
      <c r="L818" s="548"/>
      <c r="M818" s="548"/>
      <c r="N818" s="548"/>
      <c r="O818" s="548"/>
      <c r="P818" s="548"/>
      <c r="Q818" s="548"/>
      <c r="R818" s="548"/>
      <c r="S818" s="548"/>
      <c r="T818" s="548"/>
      <c r="U818" s="548"/>
      <c r="V818" s="548"/>
      <c r="W818" s="548"/>
      <c r="X818" s="548"/>
      <c r="Y818" s="548"/>
      <c r="Z818" s="548"/>
      <c r="AA818" s="548"/>
      <c r="AB818" s="548"/>
      <c r="AC818" s="548"/>
      <c r="AD818" s="548"/>
      <c r="AE818" s="548"/>
      <c r="AF818" s="548"/>
      <c r="AG818" s="548"/>
      <c r="AH818" s="548"/>
      <c r="AI818" s="548"/>
      <c r="AJ818" s="548"/>
      <c r="AK818" s="548"/>
      <c r="AL818" s="548"/>
      <c r="AM818" s="548"/>
    </row>
    <row r="819" spans="1:43">
      <c r="A819" s="2578" t="s">
        <v>1556</v>
      </c>
      <c r="B819" s="2579"/>
      <c r="C819" s="2579"/>
      <c r="D819" s="2579"/>
      <c r="E819" s="2579"/>
      <c r="F819" s="2579"/>
      <c r="G819" s="2579"/>
      <c r="H819" s="2579"/>
      <c r="I819" s="2579"/>
      <c r="J819" s="2579"/>
      <c r="K819" s="2579"/>
      <c r="L819" s="2579"/>
      <c r="M819" s="2579"/>
      <c r="N819" s="2579"/>
      <c r="O819" s="2579"/>
      <c r="P819" s="2579"/>
      <c r="Q819" s="2579"/>
      <c r="R819" s="2579"/>
      <c r="S819" s="2579"/>
      <c r="T819" s="2579"/>
      <c r="U819" s="2579"/>
      <c r="V819" s="2579"/>
      <c r="W819" s="2579"/>
      <c r="X819" s="2579"/>
      <c r="Y819" s="2579"/>
      <c r="Z819" s="2579"/>
      <c r="AA819" s="2579"/>
      <c r="AB819" s="2579"/>
      <c r="AC819" s="2579"/>
      <c r="AD819" s="2579"/>
      <c r="AE819" s="2579"/>
      <c r="AF819" s="2579"/>
      <c r="AG819" s="2579"/>
      <c r="AH819" s="2579"/>
      <c r="AI819" s="2579"/>
      <c r="AJ819" s="2579"/>
      <c r="AK819" s="2579"/>
      <c r="AL819" s="2579"/>
      <c r="AM819" s="2579"/>
    </row>
    <row r="820" spans="1:43">
      <c r="A820" s="2580"/>
      <c r="B820" s="2580"/>
      <c r="C820" s="2580"/>
      <c r="D820" s="2580"/>
      <c r="E820" s="2580"/>
      <c r="F820" s="2580"/>
      <c r="G820" s="2580"/>
      <c r="H820" s="2580"/>
      <c r="I820" s="2580"/>
      <c r="J820" s="2580"/>
      <c r="K820" s="2580"/>
      <c r="L820" s="2580"/>
      <c r="M820" s="2580"/>
      <c r="N820" s="2580"/>
      <c r="O820" s="2580"/>
      <c r="P820" s="2580"/>
      <c r="Q820" s="2580"/>
      <c r="R820" s="2580"/>
      <c r="S820" s="2580"/>
      <c r="T820" s="2580"/>
      <c r="U820" s="2580"/>
      <c r="V820" s="2580"/>
      <c r="W820" s="2580"/>
      <c r="X820" s="2580"/>
      <c r="Y820" s="2580"/>
      <c r="Z820" s="2580"/>
      <c r="AA820" s="2580"/>
      <c r="AB820" s="2580"/>
      <c r="AC820" s="2580"/>
      <c r="AD820" s="2580"/>
      <c r="AE820" s="2580"/>
      <c r="AF820" s="2580"/>
      <c r="AG820" s="2580"/>
      <c r="AH820" s="2580"/>
      <c r="AI820" s="2580"/>
      <c r="AJ820" s="2580"/>
      <c r="AK820" s="2580"/>
      <c r="AL820" s="2580"/>
      <c r="AM820" s="2580"/>
      <c r="AO820" s="811"/>
      <c r="AP820" s="811"/>
      <c r="AQ820" s="811"/>
    </row>
    <row r="821" spans="1:43">
      <c r="A821" s="548"/>
      <c r="B821" s="568"/>
      <c r="C821" s="569"/>
      <c r="D821" s="569"/>
      <c r="E821" s="569"/>
      <c r="F821" s="569"/>
      <c r="G821" s="569"/>
      <c r="H821" s="569"/>
      <c r="I821" s="570"/>
      <c r="J821" s="570"/>
      <c r="K821" s="570"/>
      <c r="L821" s="570"/>
      <c r="M821" s="570"/>
      <c r="N821" s="570"/>
      <c r="O821" s="570"/>
      <c r="P821" s="570"/>
      <c r="Q821" s="570"/>
      <c r="S821" s="538"/>
      <c r="T821" s="538"/>
      <c r="U821" s="538"/>
      <c r="V821" s="538"/>
      <c r="W821" s="538"/>
      <c r="X821" s="538"/>
      <c r="Y821" s="538"/>
      <c r="Z821" s="538"/>
      <c r="AA821" s="538"/>
      <c r="AB821" s="538"/>
      <c r="AC821" s="538"/>
      <c r="AD821" s="538"/>
      <c r="AE821" s="538"/>
      <c r="AG821" s="538"/>
      <c r="AH821" s="538"/>
      <c r="AI821" s="538"/>
      <c r="AJ821" s="538"/>
      <c r="AK821" s="548"/>
      <c r="AL821" s="548"/>
      <c r="AM821" s="536"/>
      <c r="AO821" s="811"/>
      <c r="AP821" s="811"/>
      <c r="AQ821" s="811"/>
    </row>
    <row r="822" spans="1:43">
      <c r="A822" s="2529"/>
      <c r="B822" s="2529"/>
      <c r="C822" s="2529"/>
      <c r="D822" s="2529"/>
      <c r="E822" s="2529"/>
      <c r="F822" s="2529"/>
      <c r="G822" s="2529"/>
      <c r="H822" s="2529"/>
      <c r="I822" s="2529"/>
      <c r="J822" s="2529"/>
      <c r="K822" s="2529"/>
      <c r="L822" s="2529"/>
      <c r="M822" s="2529"/>
      <c r="N822" s="2529"/>
      <c r="O822" s="2529"/>
      <c r="P822" s="2529"/>
      <c r="Q822" s="2529"/>
      <c r="R822" s="2529"/>
      <c r="S822" s="2529"/>
      <c r="T822" s="2529"/>
      <c r="U822" s="2529"/>
      <c r="V822" s="2529"/>
      <c r="W822" s="2529"/>
      <c r="X822" s="2529"/>
      <c r="Y822" s="2529"/>
      <c r="Z822" s="2529"/>
      <c r="AA822" s="2529"/>
      <c r="AB822" s="2529"/>
      <c r="AC822" s="2529"/>
      <c r="AD822" s="2529"/>
      <c r="AE822" s="2529"/>
      <c r="AF822" s="2529"/>
      <c r="AG822" s="2529"/>
      <c r="AH822" s="2529"/>
      <c r="AI822" s="2529"/>
      <c r="AJ822" s="2529"/>
      <c r="AK822" s="2529"/>
      <c r="AL822" s="2529"/>
      <c r="AM822" s="2529"/>
      <c r="AP822" s="811"/>
      <c r="AQ822" s="811"/>
    </row>
    <row r="823" spans="1:43">
      <c r="A823" s="2529"/>
      <c r="B823" s="2529"/>
      <c r="C823" s="2529"/>
      <c r="D823" s="2529"/>
      <c r="E823" s="2529"/>
      <c r="F823" s="2529"/>
      <c r="G823" s="2529"/>
      <c r="H823" s="2529"/>
      <c r="I823" s="2529"/>
      <c r="J823" s="2529"/>
      <c r="K823" s="2529"/>
      <c r="L823" s="2529"/>
      <c r="M823" s="2529"/>
      <c r="N823" s="2529"/>
      <c r="O823" s="2529"/>
      <c r="P823" s="2529"/>
      <c r="Q823" s="2529"/>
      <c r="R823" s="2529"/>
      <c r="S823" s="2529"/>
      <c r="T823" s="2529"/>
      <c r="U823" s="2529"/>
      <c r="V823" s="2529"/>
      <c r="W823" s="2529"/>
      <c r="X823" s="2529"/>
      <c r="Y823" s="2529"/>
      <c r="Z823" s="2529"/>
      <c r="AA823" s="2529"/>
      <c r="AB823" s="2529"/>
      <c r="AC823" s="2529"/>
      <c r="AD823" s="2529"/>
      <c r="AE823" s="2529"/>
      <c r="AF823" s="2529"/>
      <c r="AG823" s="2529"/>
      <c r="AH823" s="2529"/>
      <c r="AI823" s="2529"/>
      <c r="AJ823" s="2529"/>
      <c r="AK823" s="2529"/>
      <c r="AL823" s="2529"/>
      <c r="AM823" s="2529"/>
      <c r="AO823" s="811"/>
      <c r="AQ823" s="811"/>
    </row>
    <row r="824" spans="1:43">
      <c r="A824" s="812"/>
      <c r="B824" s="662"/>
      <c r="C824" s="662"/>
      <c r="D824" s="662"/>
      <c r="E824" s="662"/>
      <c r="F824" s="662"/>
      <c r="G824" s="662"/>
      <c r="H824" s="662"/>
      <c r="I824" s="662"/>
      <c r="J824" s="662"/>
      <c r="K824" s="662"/>
      <c r="L824" s="662"/>
      <c r="M824" s="662"/>
      <c r="N824" s="662"/>
      <c r="O824" s="662"/>
      <c r="P824" s="662"/>
      <c r="Q824" s="662"/>
      <c r="R824" s="662"/>
      <c r="S824" s="664"/>
      <c r="T824" s="2581" t="s">
        <v>1557</v>
      </c>
      <c r="U824" s="2582"/>
      <c r="V824" s="2582"/>
      <c r="W824" s="2582"/>
      <c r="X824" s="2582"/>
      <c r="Y824" s="2583"/>
      <c r="Z824" s="2581" t="s">
        <v>1558</v>
      </c>
      <c r="AA824" s="2582"/>
      <c r="AB824" s="2582"/>
      <c r="AC824" s="2582"/>
      <c r="AD824" s="2582"/>
      <c r="AE824" s="2583"/>
      <c r="AF824" s="2581" t="s">
        <v>1559</v>
      </c>
      <c r="AG824" s="2582"/>
      <c r="AH824" s="2582"/>
      <c r="AI824" s="2582"/>
      <c r="AJ824" s="2582"/>
      <c r="AK824" s="2583"/>
      <c r="AL824" s="813"/>
      <c r="AM824" s="593"/>
      <c r="AO824" s="811"/>
      <c r="AP824" s="811"/>
      <c r="AQ824" s="811"/>
    </row>
    <row r="825" spans="1:43">
      <c r="A825" s="814"/>
      <c r="B825" s="689"/>
      <c r="C825" s="689"/>
      <c r="D825" s="689"/>
      <c r="E825" s="689"/>
      <c r="F825" s="689"/>
      <c r="G825" s="689"/>
      <c r="H825" s="689"/>
      <c r="I825" s="689"/>
      <c r="J825" s="689"/>
      <c r="K825" s="689"/>
      <c r="L825" s="689"/>
      <c r="M825" s="689"/>
      <c r="N825" s="689"/>
      <c r="O825" s="689"/>
      <c r="P825" s="689"/>
      <c r="Q825" s="689"/>
      <c r="R825" s="689"/>
      <c r="S825" s="703"/>
      <c r="T825" s="2584"/>
      <c r="U825" s="2585"/>
      <c r="V825" s="2585"/>
      <c r="W825" s="2585"/>
      <c r="X825" s="2585"/>
      <c r="Y825" s="2586"/>
      <c r="Z825" s="2584"/>
      <c r="AA825" s="2585"/>
      <c r="AB825" s="2585"/>
      <c r="AC825" s="2585"/>
      <c r="AD825" s="2585"/>
      <c r="AE825" s="2586"/>
      <c r="AF825" s="2584"/>
      <c r="AG825" s="2585"/>
      <c r="AH825" s="2585"/>
      <c r="AI825" s="2585"/>
      <c r="AJ825" s="2585"/>
      <c r="AK825" s="2586"/>
      <c r="AL825" s="813"/>
      <c r="AM825" s="593"/>
      <c r="AO825" s="811"/>
      <c r="AP825" s="811"/>
      <c r="AQ825" s="811"/>
    </row>
    <row r="826" spans="1:43">
      <c r="A826" s="814" t="s">
        <v>755</v>
      </c>
      <c r="B826" s="2561" t="str">
        <f>B7</f>
        <v xml:space="preserve">Acquisition/Rehabilitation Project Priorities </v>
      </c>
      <c r="C826" s="2561"/>
      <c r="D826" s="2561"/>
      <c r="E826" s="2561"/>
      <c r="F826" s="2561"/>
      <c r="G826" s="2561"/>
      <c r="H826" s="2561"/>
      <c r="I826" s="2561"/>
      <c r="J826" s="2561"/>
      <c r="K826" s="2561"/>
      <c r="L826" s="2561"/>
      <c r="M826" s="2561"/>
      <c r="N826" s="2561"/>
      <c r="O826" s="2561"/>
      <c r="P826" s="2561"/>
      <c r="Q826" s="2561"/>
      <c r="R826" s="2561"/>
      <c r="S826" s="2562"/>
      <c r="T826" s="2563">
        <f>AK61</f>
        <v>0</v>
      </c>
      <c r="U826" s="2564"/>
      <c r="V826" s="2564"/>
      <c r="W826" s="2564"/>
      <c r="X826" s="2564"/>
      <c r="Y826" s="2565"/>
      <c r="Z826" s="2566">
        <v>20</v>
      </c>
      <c r="AA826" s="2564"/>
      <c r="AB826" s="2564"/>
      <c r="AC826" s="2564"/>
      <c r="AD826" s="2564"/>
      <c r="AE826" s="2565"/>
      <c r="AF826" s="2559">
        <f>IF(T826&gt;Z826,Z826,T826)</f>
        <v>0</v>
      </c>
      <c r="AG826" s="2559"/>
      <c r="AH826" s="2559"/>
      <c r="AI826" s="2559"/>
      <c r="AJ826" s="2559"/>
      <c r="AK826" s="2559"/>
      <c r="AL826" s="813"/>
      <c r="AM826" s="593"/>
      <c r="AO826" s="811"/>
      <c r="AP826" s="811"/>
      <c r="AQ826" s="811"/>
    </row>
    <row r="827" spans="1:43">
      <c r="A827" s="814" t="s">
        <v>1530</v>
      </c>
      <c r="B827" s="2561" t="s">
        <v>1305</v>
      </c>
      <c r="C827" s="2561"/>
      <c r="D827" s="2561"/>
      <c r="E827" s="2561"/>
      <c r="F827" s="2561"/>
      <c r="G827" s="2561"/>
      <c r="H827" s="2561"/>
      <c r="I827" s="2561"/>
      <c r="J827" s="2561"/>
      <c r="K827" s="2561"/>
      <c r="L827" s="2561"/>
      <c r="M827" s="2561"/>
      <c r="N827" s="2561"/>
      <c r="O827" s="2561"/>
      <c r="P827" s="2561"/>
      <c r="Q827" s="2561"/>
      <c r="R827" s="2561"/>
      <c r="S827" s="2562"/>
      <c r="T827" s="2563">
        <f>AK83</f>
        <v>10</v>
      </c>
      <c r="U827" s="2564"/>
      <c r="V827" s="2564"/>
      <c r="W827" s="2564"/>
      <c r="X827" s="2564"/>
      <c r="Y827" s="2565"/>
      <c r="Z827" s="2566">
        <v>10</v>
      </c>
      <c r="AA827" s="2564"/>
      <c r="AB827" s="2564"/>
      <c r="AC827" s="2564"/>
      <c r="AD827" s="2564"/>
      <c r="AE827" s="2565"/>
      <c r="AF827" s="2559">
        <f>IF(T827&gt;Z827,Z827,T827)</f>
        <v>10</v>
      </c>
      <c r="AG827" s="2559"/>
      <c r="AH827" s="2559"/>
      <c r="AI827" s="2559"/>
      <c r="AJ827" s="2559"/>
      <c r="AK827" s="2559"/>
      <c r="AL827" s="813"/>
      <c r="AM827" s="593"/>
      <c r="AO827" s="811"/>
      <c r="AP827" s="811"/>
      <c r="AQ827" s="811"/>
    </row>
    <row r="828" spans="1:43">
      <c r="A828" s="814" t="s">
        <v>1539</v>
      </c>
      <c r="B828" s="2561" t="s">
        <v>1315</v>
      </c>
      <c r="C828" s="2561"/>
      <c r="D828" s="2561"/>
      <c r="E828" s="2561"/>
      <c r="F828" s="2561"/>
      <c r="G828" s="2561"/>
      <c r="H828" s="2561"/>
      <c r="I828" s="2561"/>
      <c r="J828" s="2561"/>
      <c r="K828" s="2561"/>
      <c r="L828" s="2561"/>
      <c r="M828" s="2561"/>
      <c r="N828" s="2561"/>
      <c r="O828" s="2561"/>
      <c r="P828" s="2561"/>
      <c r="Q828" s="2561"/>
      <c r="R828" s="2561"/>
      <c r="S828" s="2562"/>
      <c r="T828" s="2563">
        <f ca="1">AK108</f>
        <v>20</v>
      </c>
      <c r="U828" s="2564"/>
      <c r="V828" s="2564"/>
      <c r="W828" s="2564"/>
      <c r="X828" s="2564"/>
      <c r="Y828" s="2565"/>
      <c r="Z828" s="2566">
        <v>20</v>
      </c>
      <c r="AA828" s="2564"/>
      <c r="AB828" s="2564"/>
      <c r="AC828" s="2564"/>
      <c r="AD828" s="2564"/>
      <c r="AE828" s="2565"/>
      <c r="AF828" s="2559">
        <f ca="1">IF(T828&gt;Z828,Z828,T828)</f>
        <v>20</v>
      </c>
      <c r="AG828" s="2559"/>
      <c r="AH828" s="2559"/>
      <c r="AI828" s="2559"/>
      <c r="AJ828" s="2559"/>
      <c r="AK828" s="2559"/>
      <c r="AL828" s="813"/>
      <c r="AM828" s="593"/>
      <c r="AO828" s="811"/>
      <c r="AP828" s="811"/>
      <c r="AQ828" s="811"/>
    </row>
    <row r="829" spans="1:43">
      <c r="A829" s="814" t="s">
        <v>1560</v>
      </c>
      <c r="B829" s="2561" t="s">
        <v>1325</v>
      </c>
      <c r="C829" s="2561"/>
      <c r="D829" s="2561"/>
      <c r="E829" s="2561"/>
      <c r="F829" s="2561"/>
      <c r="G829" s="2561"/>
      <c r="H829" s="2561"/>
      <c r="I829" s="2561"/>
      <c r="J829" s="2561"/>
      <c r="K829" s="2561"/>
      <c r="L829" s="2561"/>
      <c r="M829" s="2561"/>
      <c r="N829" s="2561"/>
      <c r="O829" s="2561"/>
      <c r="P829" s="2561"/>
      <c r="Q829" s="2561"/>
      <c r="R829" s="2561"/>
      <c r="S829" s="2562"/>
      <c r="T829" s="2563">
        <f>AK142</f>
        <v>10</v>
      </c>
      <c r="U829" s="2564"/>
      <c r="V829" s="2564"/>
      <c r="W829" s="2564"/>
      <c r="X829" s="2564"/>
      <c r="Y829" s="2565"/>
      <c r="Z829" s="2566">
        <v>10</v>
      </c>
      <c r="AA829" s="2564"/>
      <c r="AB829" s="2564"/>
      <c r="AC829" s="2564"/>
      <c r="AD829" s="2564"/>
      <c r="AE829" s="2565"/>
      <c r="AF829" s="2559">
        <f>IF(T829&gt;Z829,Z829,T829)</f>
        <v>10</v>
      </c>
      <c r="AG829" s="2559"/>
      <c r="AH829" s="2559"/>
      <c r="AI829" s="2559"/>
      <c r="AJ829" s="2559"/>
      <c r="AK829" s="2559"/>
      <c r="AL829" s="813"/>
      <c r="AM829" s="593"/>
      <c r="AO829" s="811"/>
      <c r="AP829" s="811"/>
      <c r="AQ829" s="811"/>
    </row>
    <row r="830" spans="1:43">
      <c r="A830" s="815" t="s">
        <v>1561</v>
      </c>
      <c r="B830" s="2561" t="s">
        <v>1562</v>
      </c>
      <c r="C830" s="2561"/>
      <c r="D830" s="2561"/>
      <c r="E830" s="2561"/>
      <c r="F830" s="2561"/>
      <c r="G830" s="2561"/>
      <c r="H830" s="2561"/>
      <c r="I830" s="2561"/>
      <c r="J830" s="2561"/>
      <c r="K830" s="2561"/>
      <c r="L830" s="2561"/>
      <c r="M830" s="2561"/>
      <c r="N830" s="2561"/>
      <c r="O830" s="2561"/>
      <c r="P830" s="2561"/>
      <c r="Q830" s="2561"/>
      <c r="R830" s="2561"/>
      <c r="S830" s="2562"/>
      <c r="T830" s="2587">
        <f>SUM(T831:Y832)</f>
        <v>10</v>
      </c>
      <c r="U830" s="2587"/>
      <c r="V830" s="2587"/>
      <c r="W830" s="2587"/>
      <c r="X830" s="2587"/>
      <c r="Y830" s="2587"/>
      <c r="Z830" s="2559">
        <v>10</v>
      </c>
      <c r="AA830" s="2559"/>
      <c r="AB830" s="2559"/>
      <c r="AC830" s="2559"/>
      <c r="AD830" s="2559"/>
      <c r="AE830" s="2559"/>
      <c r="AF830" s="2559">
        <f>IF(T830&gt;Z830,Z830,T830)</f>
        <v>10</v>
      </c>
      <c r="AG830" s="2559"/>
      <c r="AH830" s="2559"/>
      <c r="AI830" s="2559"/>
      <c r="AJ830" s="2559"/>
      <c r="AK830" s="2559"/>
      <c r="AL830" s="813"/>
      <c r="AM830" s="593"/>
    </row>
    <row r="831" spans="1:43">
      <c r="A831" s="534"/>
      <c r="B831" s="598"/>
      <c r="C831" s="2588" t="s">
        <v>1563</v>
      </c>
      <c r="D831" s="2588"/>
      <c r="E831" s="2588"/>
      <c r="F831" s="2588"/>
      <c r="G831" s="2588"/>
      <c r="H831" s="2588"/>
      <c r="I831" s="2588"/>
      <c r="J831" s="2588"/>
      <c r="K831" s="2588"/>
      <c r="L831" s="2588"/>
      <c r="M831" s="2588"/>
      <c r="N831" s="2588"/>
      <c r="O831" s="2588"/>
      <c r="P831" s="2588"/>
      <c r="Q831" s="2588"/>
      <c r="R831" s="2588"/>
      <c r="S831" s="2589"/>
      <c r="T831" s="2480">
        <f>AJ165</f>
        <v>7</v>
      </c>
      <c r="U831" s="2480"/>
      <c r="V831" s="2480"/>
      <c r="W831" s="2480"/>
      <c r="X831" s="2480"/>
      <c r="Y831" s="2480"/>
      <c r="Z831" s="2481">
        <v>7</v>
      </c>
      <c r="AA831" s="2481"/>
      <c r="AB831" s="2481"/>
      <c r="AC831" s="2481"/>
      <c r="AD831" s="2481"/>
      <c r="AE831" s="2481"/>
      <c r="AF831" s="2590"/>
      <c r="AG831" s="2590"/>
      <c r="AH831" s="2590"/>
      <c r="AI831" s="2590"/>
      <c r="AJ831" s="2590"/>
      <c r="AK831" s="2590"/>
      <c r="AL831" s="813"/>
      <c r="AM831" s="593"/>
    </row>
    <row r="832" spans="1:43">
      <c r="A832" s="597"/>
      <c r="B832" s="598"/>
      <c r="C832" s="2588" t="s">
        <v>1564</v>
      </c>
      <c r="D832" s="2588"/>
      <c r="E832" s="2588"/>
      <c r="F832" s="2588"/>
      <c r="G832" s="2588"/>
      <c r="H832" s="2588"/>
      <c r="I832" s="2588"/>
      <c r="J832" s="2588"/>
      <c r="K832" s="2588"/>
      <c r="L832" s="2588"/>
      <c r="M832" s="2588"/>
      <c r="N832" s="2588"/>
      <c r="O832" s="2588"/>
      <c r="P832" s="2588"/>
      <c r="Q832" s="2588"/>
      <c r="R832" s="2588"/>
      <c r="S832" s="2589"/>
      <c r="T832" s="2480">
        <f>AJ179</f>
        <v>3</v>
      </c>
      <c r="U832" s="2480"/>
      <c r="V832" s="2480"/>
      <c r="W832" s="2480"/>
      <c r="X832" s="2480"/>
      <c r="Y832" s="2480"/>
      <c r="Z832" s="2481">
        <v>3</v>
      </c>
      <c r="AA832" s="2481"/>
      <c r="AB832" s="2481"/>
      <c r="AC832" s="2481"/>
      <c r="AD832" s="2481"/>
      <c r="AE832" s="2481"/>
      <c r="AF832" s="2590"/>
      <c r="AG832" s="2590"/>
      <c r="AH832" s="2590"/>
      <c r="AI832" s="2590"/>
      <c r="AJ832" s="2590"/>
      <c r="AK832" s="2590"/>
      <c r="AL832" s="813"/>
      <c r="AM832" s="593"/>
      <c r="AO832" s="548"/>
    </row>
    <row r="833" spans="1:81">
      <c r="A833" s="815" t="s">
        <v>1353</v>
      </c>
      <c r="B833" s="2561" t="s">
        <v>1565</v>
      </c>
      <c r="C833" s="2561"/>
      <c r="D833" s="2561"/>
      <c r="E833" s="2561"/>
      <c r="F833" s="2561"/>
      <c r="G833" s="2561"/>
      <c r="H833" s="2561"/>
      <c r="I833" s="2561"/>
      <c r="J833" s="2561"/>
      <c r="K833" s="2561"/>
      <c r="L833" s="2561"/>
      <c r="M833" s="2561"/>
      <c r="N833" s="2561"/>
      <c r="O833" s="2561"/>
      <c r="P833" s="2561"/>
      <c r="Q833" s="2561"/>
      <c r="R833" s="2561"/>
      <c r="S833" s="2562"/>
      <c r="T833" s="2587">
        <f>AK190</f>
        <v>10</v>
      </c>
      <c r="U833" s="2587"/>
      <c r="V833" s="2587"/>
      <c r="W833" s="2587"/>
      <c r="X833" s="2587"/>
      <c r="Y833" s="2587"/>
      <c r="Z833" s="2559">
        <v>10</v>
      </c>
      <c r="AA833" s="2559"/>
      <c r="AB833" s="2559"/>
      <c r="AC833" s="2559"/>
      <c r="AD833" s="2559"/>
      <c r="AE833" s="2559"/>
      <c r="AF833" s="2559">
        <f>IF(T833&gt;Z833,Z833,T833)</f>
        <v>10</v>
      </c>
      <c r="AG833" s="2559"/>
      <c r="AH833" s="2559"/>
      <c r="AI833" s="2559"/>
      <c r="AJ833" s="2559"/>
      <c r="AK833" s="2559"/>
      <c r="AL833" s="813"/>
      <c r="AM833" s="593"/>
    </row>
    <row r="834" spans="1:81" hidden="1">
      <c r="A834" s="814" t="s">
        <v>1361</v>
      </c>
      <c r="B834" s="2561" t="s">
        <v>1362</v>
      </c>
      <c r="C834" s="2561"/>
      <c r="D834" s="2561"/>
      <c r="E834" s="2561"/>
      <c r="F834" s="2561"/>
      <c r="G834" s="2561"/>
      <c r="H834" s="2561"/>
      <c r="I834" s="2561"/>
      <c r="J834" s="2561"/>
      <c r="K834" s="2561"/>
      <c r="L834" s="2561"/>
      <c r="M834" s="2561"/>
      <c r="N834" s="2561"/>
      <c r="O834" s="2561"/>
      <c r="P834" s="2561"/>
      <c r="Q834" s="2561"/>
      <c r="R834" s="2561"/>
      <c r="S834" s="2562"/>
      <c r="T834" s="2587">
        <f>AK272</f>
        <v>0</v>
      </c>
      <c r="U834" s="2587"/>
      <c r="V834" s="2587"/>
      <c r="W834" s="2587"/>
      <c r="X834" s="2587"/>
      <c r="Y834" s="2587"/>
      <c r="Z834" s="2566">
        <v>8</v>
      </c>
      <c r="AA834" s="2564"/>
      <c r="AB834" s="2564"/>
      <c r="AC834" s="2564"/>
      <c r="AD834" s="2564"/>
      <c r="AE834" s="2565"/>
      <c r="AF834" s="2559"/>
      <c r="AG834" s="2559"/>
      <c r="AH834" s="2559"/>
      <c r="AI834" s="2559"/>
      <c r="AJ834" s="2559"/>
      <c r="AK834" s="2559"/>
      <c r="AL834" s="813"/>
      <c r="AM834" s="593"/>
    </row>
    <row r="835" spans="1:81" s="533" customFormat="1" hidden="1">
      <c r="A835" s="815" t="s">
        <v>587</v>
      </c>
      <c r="B835" s="2561" t="s">
        <v>1566</v>
      </c>
      <c r="C835" s="2561"/>
      <c r="D835" s="2561"/>
      <c r="E835" s="2561"/>
      <c r="F835" s="2561"/>
      <c r="G835" s="2561"/>
      <c r="H835" s="2561"/>
      <c r="I835" s="2561"/>
      <c r="J835" s="2561"/>
      <c r="K835" s="2561"/>
      <c r="L835" s="2561"/>
      <c r="M835" s="2561"/>
      <c r="N835" s="2561"/>
      <c r="O835" s="2561"/>
      <c r="P835" s="2561"/>
      <c r="Q835" s="2561"/>
      <c r="R835" s="2561"/>
      <c r="S835" s="2562"/>
      <c r="T835" s="2587">
        <f>IF(AK548&gt;5,5,AK548)</f>
        <v>0</v>
      </c>
      <c r="U835" s="2587"/>
      <c r="V835" s="2587"/>
      <c r="W835" s="2587"/>
      <c r="X835" s="2587"/>
      <c r="Y835" s="2587"/>
      <c r="Z835" s="2559">
        <v>5</v>
      </c>
      <c r="AA835" s="2559"/>
      <c r="AB835" s="2559"/>
      <c r="AC835" s="2559"/>
      <c r="AD835" s="2559"/>
      <c r="AE835" s="2559"/>
      <c r="AF835" s="2559"/>
      <c r="AG835" s="2559"/>
      <c r="AH835" s="2559"/>
      <c r="AI835" s="2559"/>
      <c r="AJ835" s="2559"/>
      <c r="AK835" s="2559"/>
      <c r="AL835" s="813"/>
      <c r="AM835" s="593"/>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3" customFormat="1">
      <c r="A836" s="814" t="str">
        <f>A275</f>
        <v>h.</v>
      </c>
      <c r="B836" s="2561" t="str">
        <f>B275</f>
        <v>Readiness to Proceed</v>
      </c>
      <c r="C836" s="2561"/>
      <c r="D836" s="2561"/>
      <c r="E836" s="2561"/>
      <c r="F836" s="2561"/>
      <c r="G836" s="2561"/>
      <c r="H836" s="2561"/>
      <c r="I836" s="2561"/>
      <c r="J836" s="2561"/>
      <c r="K836" s="2561"/>
      <c r="L836" s="2561"/>
      <c r="M836" s="2561"/>
      <c r="N836" s="2561"/>
      <c r="O836" s="2561"/>
      <c r="P836" s="2561"/>
      <c r="Q836" s="2561"/>
      <c r="R836" s="2561"/>
      <c r="S836" s="2562"/>
      <c r="T836" s="2587">
        <f>AK298</f>
        <v>10</v>
      </c>
      <c r="U836" s="2587"/>
      <c r="V836" s="2587"/>
      <c r="W836" s="2587"/>
      <c r="X836" s="2587"/>
      <c r="Y836" s="2587"/>
      <c r="Z836" s="2559">
        <v>10</v>
      </c>
      <c r="AA836" s="2559"/>
      <c r="AB836" s="2559"/>
      <c r="AC836" s="2559"/>
      <c r="AD836" s="2559"/>
      <c r="AE836" s="2559"/>
      <c r="AF836" s="2592">
        <f>IF(T836&gt;Z836,Z836,T836)</f>
        <v>10</v>
      </c>
      <c r="AG836" s="2593"/>
      <c r="AH836" s="2593"/>
      <c r="AI836" s="2593"/>
      <c r="AJ836" s="2593"/>
      <c r="AK836" s="2594"/>
      <c r="AL836" s="813"/>
      <c r="AM836" s="593"/>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3" customFormat="1">
      <c r="A837" s="815" t="str">
        <f>A301</f>
        <v>i.</v>
      </c>
      <c r="B837" s="2561" t="str">
        <f>B301</f>
        <v>Access to Opportunity</v>
      </c>
      <c r="C837" s="2561"/>
      <c r="D837" s="2561"/>
      <c r="E837" s="2561"/>
      <c r="F837" s="2561"/>
      <c r="G837" s="2561"/>
      <c r="H837" s="2561"/>
      <c r="I837" s="2561"/>
      <c r="J837" s="2561"/>
      <c r="K837" s="2561"/>
      <c r="L837" s="2561"/>
      <c r="M837" s="2561"/>
      <c r="N837" s="2561"/>
      <c r="O837" s="2561"/>
      <c r="P837" s="2561"/>
      <c r="Q837" s="2561"/>
      <c r="R837" s="2561"/>
      <c r="S837" s="2562"/>
      <c r="T837" s="2587">
        <f>AK351</f>
        <v>9</v>
      </c>
      <c r="U837" s="2587"/>
      <c r="V837" s="2587"/>
      <c r="W837" s="2587"/>
      <c r="X837" s="2587"/>
      <c r="Y837" s="2587"/>
      <c r="Z837" s="2592">
        <v>10</v>
      </c>
      <c r="AA837" s="2593"/>
      <c r="AB837" s="2593"/>
      <c r="AC837" s="2593"/>
      <c r="AD837" s="2593"/>
      <c r="AE837" s="2594"/>
      <c r="AF837" s="2592">
        <f>IF(T837&gt;Z837,Z837,T837)</f>
        <v>9</v>
      </c>
      <c r="AG837" s="2593"/>
      <c r="AH837" s="2593"/>
      <c r="AI837" s="2593"/>
      <c r="AJ837" s="2593"/>
      <c r="AK837" s="2594"/>
      <c r="AL837" s="538"/>
      <c r="AM837" s="593"/>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3" customFormat="1" hidden="1">
      <c r="A838" s="815"/>
      <c r="B838" s="816"/>
      <c r="C838" s="817" t="s">
        <v>1567</v>
      </c>
      <c r="D838" s="818"/>
      <c r="E838" s="818"/>
      <c r="F838" s="818"/>
      <c r="G838" s="818"/>
      <c r="H838" s="818"/>
      <c r="I838" s="818"/>
      <c r="J838" s="818"/>
      <c r="K838" s="818"/>
      <c r="L838" s="818"/>
      <c r="M838" s="818"/>
      <c r="N838" s="818"/>
      <c r="O838" s="818"/>
      <c r="P838" s="818"/>
      <c r="Q838" s="818"/>
      <c r="R838" s="816"/>
      <c r="S838" s="819"/>
      <c r="T838" s="2480">
        <f>AK351</f>
        <v>9</v>
      </c>
      <c r="U838" s="2480"/>
      <c r="V838" s="2480"/>
      <c r="W838" s="2480"/>
      <c r="X838" s="2480"/>
      <c r="Y838" s="2480"/>
      <c r="Z838" s="2491">
        <v>20</v>
      </c>
      <c r="AA838" s="2492"/>
      <c r="AB838" s="2492"/>
      <c r="AC838" s="2492"/>
      <c r="AD838" s="2492"/>
      <c r="AE838" s="2493"/>
      <c r="AF838" s="2590"/>
      <c r="AG838" s="2590"/>
      <c r="AH838" s="2590"/>
      <c r="AI838" s="2590"/>
      <c r="AJ838" s="2590"/>
      <c r="AK838" s="2590"/>
      <c r="AL838" s="538"/>
      <c r="AM838" s="593"/>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3" customFormat="1">
      <c r="A839" s="815" t="str">
        <f>A354</f>
        <v>j.</v>
      </c>
      <c r="B839" s="2561" t="s">
        <v>843</v>
      </c>
      <c r="C839" s="2561"/>
      <c r="D839" s="2561"/>
      <c r="E839" s="2561"/>
      <c r="F839" s="2561"/>
      <c r="G839" s="2561"/>
      <c r="H839" s="2561"/>
      <c r="I839" s="2561"/>
      <c r="J839" s="2561"/>
      <c r="K839" s="2561"/>
      <c r="L839" s="2561"/>
      <c r="M839" s="2561"/>
      <c r="N839" s="2561"/>
      <c r="O839" s="2561"/>
      <c r="P839" s="2561"/>
      <c r="Q839" s="2561"/>
      <c r="R839" s="2561"/>
      <c r="S839" s="2562"/>
      <c r="T839" s="2587">
        <f>AK482</f>
        <v>10</v>
      </c>
      <c r="U839" s="2587"/>
      <c r="V839" s="2587"/>
      <c r="W839" s="2587"/>
      <c r="X839" s="2587"/>
      <c r="Y839" s="2587"/>
      <c r="Z839" s="2592">
        <v>10</v>
      </c>
      <c r="AA839" s="2593"/>
      <c r="AB839" s="2593"/>
      <c r="AC839" s="2593"/>
      <c r="AD839" s="2593"/>
      <c r="AE839" s="2594"/>
      <c r="AF839" s="2559">
        <f>IF(T839&gt;Z839,Z839,T839)</f>
        <v>10</v>
      </c>
      <c r="AG839" s="2559"/>
      <c r="AH839" s="2559"/>
      <c r="AI839" s="2559"/>
      <c r="AJ839" s="2559"/>
      <c r="AK839" s="2559"/>
      <c r="AL839" s="538"/>
      <c r="AM839" s="593"/>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3" customFormat="1">
      <c r="A840" s="815" t="str">
        <f>A551</f>
        <v>k.</v>
      </c>
      <c r="B840" s="2561" t="s">
        <v>1548</v>
      </c>
      <c r="C840" s="2561"/>
      <c r="D840" s="2561"/>
      <c r="E840" s="2561"/>
      <c r="F840" s="2561"/>
      <c r="G840" s="2561"/>
      <c r="H840" s="2561"/>
      <c r="I840" s="2561"/>
      <c r="J840" s="2561"/>
      <c r="K840" s="2561"/>
      <c r="L840" s="2561"/>
      <c r="M840" s="2561"/>
      <c r="N840" s="2561"/>
      <c r="O840" s="2561"/>
      <c r="P840" s="2561"/>
      <c r="Q840" s="2561"/>
      <c r="R840" s="2561"/>
      <c r="S840" s="2562"/>
      <c r="T840" s="2587">
        <f>AK572</f>
        <v>12</v>
      </c>
      <c r="U840" s="2587"/>
      <c r="V840" s="2587"/>
      <c r="W840" s="2587"/>
      <c r="X840" s="2587"/>
      <c r="Y840" s="2587"/>
      <c r="Z840" s="2592">
        <v>12</v>
      </c>
      <c r="AA840" s="2593"/>
      <c r="AB840" s="2593"/>
      <c r="AC840" s="2593"/>
      <c r="AD840" s="2593"/>
      <c r="AE840" s="2594"/>
      <c r="AF840" s="2559">
        <f>IF(T840&gt;Z840,Z840,T840)</f>
        <v>12</v>
      </c>
      <c r="AG840" s="2559"/>
      <c r="AH840" s="2559"/>
      <c r="AI840" s="2559"/>
      <c r="AJ840" s="2559"/>
      <c r="AK840" s="2559"/>
      <c r="AL840" s="538"/>
      <c r="AM840" s="593"/>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3" customFormat="1">
      <c r="A841" s="815" t="str">
        <f>A575</f>
        <v>l.</v>
      </c>
      <c r="B841" s="2561" t="s">
        <v>1568</v>
      </c>
      <c r="C841" s="2561"/>
      <c r="D841" s="2561"/>
      <c r="E841" s="2561"/>
      <c r="F841" s="2561"/>
      <c r="G841" s="2561"/>
      <c r="H841" s="2561"/>
      <c r="I841" s="2561"/>
      <c r="J841" s="2561"/>
      <c r="K841" s="2561"/>
      <c r="L841" s="2561"/>
      <c r="M841" s="2561"/>
      <c r="N841" s="2561"/>
      <c r="O841" s="2561"/>
      <c r="P841" s="2561"/>
      <c r="Q841" s="2561"/>
      <c r="R841" s="2561"/>
      <c r="S841" s="2562"/>
      <c r="T841" s="2587">
        <f>AK816</f>
        <v>10</v>
      </c>
      <c r="U841" s="2587"/>
      <c r="V841" s="2587"/>
      <c r="W841" s="2587"/>
      <c r="X841" s="2587"/>
      <c r="Y841" s="2587"/>
      <c r="Z841" s="2592">
        <v>10</v>
      </c>
      <c r="AA841" s="2593"/>
      <c r="AB841" s="2593"/>
      <c r="AC841" s="2593"/>
      <c r="AD841" s="2593"/>
      <c r="AE841" s="2594"/>
      <c r="AF841" s="2559">
        <f>IF(T841&gt;Z841,Z841,T841)</f>
        <v>10</v>
      </c>
      <c r="AG841" s="2559"/>
      <c r="AH841" s="2559"/>
      <c r="AI841" s="2559"/>
      <c r="AJ841" s="2559"/>
      <c r="AK841" s="2559"/>
      <c r="AL841" s="538"/>
      <c r="AM841" s="593"/>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3" customFormat="1">
      <c r="A842" s="537" t="s">
        <v>1982</v>
      </c>
      <c r="B842" s="695" t="s">
        <v>1569</v>
      </c>
      <c r="C842" s="695"/>
      <c r="D842" s="695"/>
      <c r="E842" s="695"/>
      <c r="F842" s="695"/>
      <c r="G842" s="695"/>
      <c r="H842" s="695"/>
      <c r="I842" s="695"/>
      <c r="J842" s="695"/>
      <c r="K842" s="695"/>
      <c r="L842" s="695"/>
      <c r="M842" s="695"/>
      <c r="N842" s="695"/>
      <c r="O842" s="695"/>
      <c r="P842" s="695"/>
      <c r="Q842" s="695"/>
      <c r="R842" s="695"/>
      <c r="S842" s="1199"/>
      <c r="T842" s="2591"/>
      <c r="U842" s="2591"/>
      <c r="V842" s="2591"/>
      <c r="W842" s="2591"/>
      <c r="X842" s="2591"/>
      <c r="Y842" s="2591"/>
      <c r="Z842" s="2481" t="s">
        <v>1570</v>
      </c>
      <c r="AA842" s="2481"/>
      <c r="AB842" s="2481"/>
      <c r="AC842" s="2481"/>
      <c r="AD842" s="2481"/>
      <c r="AE842" s="2481"/>
      <c r="AF842" s="2592">
        <f>ABS(T842)</f>
        <v>0</v>
      </c>
      <c r="AG842" s="2593"/>
      <c r="AH842" s="2593"/>
      <c r="AI842" s="2593"/>
      <c r="AJ842" s="2593"/>
      <c r="AK842" s="2594"/>
      <c r="AL842" s="588"/>
      <c r="AM842" s="593"/>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3" customFormat="1" ht="15.75">
      <c r="A843" s="2595" t="s">
        <v>1571</v>
      </c>
      <c r="B843" s="2596"/>
      <c r="C843" s="2596"/>
      <c r="D843" s="2596"/>
      <c r="E843" s="2596"/>
      <c r="F843" s="2596"/>
      <c r="G843" s="2596"/>
      <c r="H843" s="2596"/>
      <c r="I843" s="2596"/>
      <c r="J843" s="2596"/>
      <c r="K843" s="2596"/>
      <c r="L843" s="2596"/>
      <c r="M843" s="2596"/>
      <c r="N843" s="2596"/>
      <c r="O843" s="2596"/>
      <c r="P843" s="2596"/>
      <c r="Q843" s="2596"/>
      <c r="R843" s="2596"/>
      <c r="S843" s="2596"/>
      <c r="T843" s="2596"/>
      <c r="U843" s="2596"/>
      <c r="V843" s="2596"/>
      <c r="W843" s="2596"/>
      <c r="X843" s="2596"/>
      <c r="Y843" s="2596"/>
      <c r="Z843" s="2596"/>
      <c r="AA843" s="2596"/>
      <c r="AB843" s="2596"/>
      <c r="AC843" s="2596"/>
      <c r="AD843" s="2596"/>
      <c r="AE843" s="2597"/>
      <c r="AF843" s="2601">
        <f ca="1">SUM(AF826:AK841)-AF842</f>
        <v>111</v>
      </c>
      <c r="AG843" s="2602"/>
      <c r="AH843" s="2602"/>
      <c r="AI843" s="2602"/>
      <c r="AJ843" s="2602"/>
      <c r="AK843" s="2603"/>
      <c r="AL843" s="820"/>
      <c r="AM843" s="548"/>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3" customFormat="1" ht="15.75">
      <c r="A844" s="2598"/>
      <c r="B844" s="2599"/>
      <c r="C844" s="2599"/>
      <c r="D844" s="2599"/>
      <c r="E844" s="2599"/>
      <c r="F844" s="2599"/>
      <c r="G844" s="2599"/>
      <c r="H844" s="2599"/>
      <c r="I844" s="2599"/>
      <c r="J844" s="2599"/>
      <c r="K844" s="2599"/>
      <c r="L844" s="2599"/>
      <c r="M844" s="2599"/>
      <c r="N844" s="2599"/>
      <c r="O844" s="2599"/>
      <c r="P844" s="2599"/>
      <c r="Q844" s="2599"/>
      <c r="R844" s="2599"/>
      <c r="S844" s="2599"/>
      <c r="T844" s="2599"/>
      <c r="U844" s="2599"/>
      <c r="V844" s="2599"/>
      <c r="W844" s="2599"/>
      <c r="X844" s="2599"/>
      <c r="Y844" s="2599"/>
      <c r="Z844" s="2599"/>
      <c r="AA844" s="2599"/>
      <c r="AB844" s="2599"/>
      <c r="AC844" s="2599"/>
      <c r="AD844" s="2599"/>
      <c r="AE844" s="2600"/>
      <c r="AF844" s="2604"/>
      <c r="AG844" s="2605"/>
      <c r="AH844" s="2605"/>
      <c r="AI844" s="2605"/>
      <c r="AJ844" s="2605"/>
      <c r="AK844" s="2606"/>
      <c r="AL844" s="820"/>
      <c r="AM844" s="548"/>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3" customFormat="1">
      <c r="A845" s="658"/>
      <c r="B845" s="658"/>
      <c r="C845" s="658"/>
      <c r="D845" s="658"/>
      <c r="E845" s="658"/>
      <c r="F845" s="658"/>
      <c r="G845" s="658"/>
      <c r="H845" s="658"/>
      <c r="I845" s="658"/>
      <c r="J845" s="658"/>
      <c r="K845" s="658"/>
      <c r="L845" s="658"/>
      <c r="M845" s="658"/>
      <c r="N845" s="658"/>
      <c r="O845" s="658"/>
      <c r="P845" s="658"/>
      <c r="Q845" s="658"/>
      <c r="R845" s="658"/>
      <c r="S845" s="658"/>
      <c r="T845" s="658"/>
      <c r="U845" s="658"/>
      <c r="V845" s="658"/>
      <c r="W845" s="658"/>
      <c r="X845" s="658"/>
      <c r="Y845" s="658"/>
      <c r="Z845" s="658"/>
      <c r="AA845" s="658"/>
      <c r="AB845" s="658"/>
      <c r="AC845" s="658"/>
      <c r="AD845" s="658"/>
      <c r="AE845" s="658"/>
      <c r="AF845" s="658"/>
      <c r="AG845" s="658"/>
      <c r="AH845" s="658"/>
      <c r="AI845" s="658"/>
      <c r="AJ845" s="658"/>
      <c r="AK845" s="658"/>
      <c r="AL845" s="658"/>
      <c r="AM845" s="821"/>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Frances Sarmiento</cp:lastModifiedBy>
  <cp:lastPrinted>2026-05-05T04:05:25Z</cp:lastPrinted>
  <dcterms:created xsi:type="dcterms:W3CDTF">2007-12-27T18:26:28Z</dcterms:created>
  <dcterms:modified xsi:type="dcterms:W3CDTF">2026-05-19T17:02:13Z</dcterms:modified>
</cp:coreProperties>
</file>